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240" windowWidth="17175" windowHeight="6750" activeTab="3"/>
  </bookViews>
  <sheets>
    <sheet name="Fő" sheetId="6" r:id="rId1"/>
    <sheet name="Részesedések" sheetId="9" r:id="rId2"/>
    <sheet name="Könyvtár" sheetId="10" r:id="rId3"/>
    <sheet name="2017. évi támogatások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pm2002">[1]PAR10!$A$1:$H$1672</definedName>
    <definedName name="__pm2002">[1]PAR10!$A$1:$H$1672</definedName>
    <definedName name="_pm2002">[1]PAR10!$A$1:$H$1672</definedName>
    <definedName name="_xlnm.Database" localSheetId="3">#REF!</definedName>
    <definedName name="_xlnm.Database" localSheetId="2">#REF!</definedName>
    <definedName name="_xlnm.Database" localSheetId="1">#REF!</definedName>
    <definedName name="_xlnm.Database">#REF!</definedName>
    <definedName name="alap">[2]Munkalap4!$A$1:$D$254</definedName>
    <definedName name="l">[3]PAR10!$A$1:$I$2039</definedName>
    <definedName name="Lakas2004">[4]EP10!$A$1:$G$83</definedName>
    <definedName name="ll">[5]EP10!$A$1:$G$83</definedName>
    <definedName name="lol">[6]EP10!$A$1:$G$82</definedName>
    <definedName name="vagyon2007">[7]JO!$A$1:$W$4923</definedName>
  </definedNames>
  <calcPr calcId="124519"/>
</workbook>
</file>

<file path=xl/calcChain.xml><?xml version="1.0" encoding="utf-8"?>
<calcChain xmlns="http://schemas.openxmlformats.org/spreadsheetml/2006/main">
  <c r="F57" i="11"/>
  <c r="D35" i="10"/>
  <c r="D22"/>
  <c r="F17" i="9"/>
  <c r="E17"/>
  <c r="C17"/>
  <c r="B17"/>
  <c r="G16"/>
  <c r="D16"/>
  <c r="G15"/>
  <c r="D15"/>
  <c r="G14"/>
  <c r="D14"/>
  <c r="G13"/>
  <c r="D13"/>
  <c r="G12"/>
  <c r="D12"/>
  <c r="G11"/>
  <c r="D11"/>
  <c r="G10"/>
  <c r="D10"/>
  <c r="G9"/>
  <c r="G17" s="1"/>
  <c r="D9"/>
  <c r="D17" s="1"/>
  <c r="D2982" i="6"/>
  <c r="D2983"/>
  <c r="D2971"/>
  <c r="D2972"/>
  <c r="D2973"/>
  <c r="D2974"/>
  <c r="D2975"/>
  <c r="D2970"/>
  <c r="C2976"/>
  <c r="C2977" s="1"/>
  <c r="B2976"/>
  <c r="C2992"/>
  <c r="B2992"/>
  <c r="D2991"/>
  <c r="D2990"/>
  <c r="D2989"/>
  <c r="D2988"/>
  <c r="D2987"/>
  <c r="D2986"/>
  <c r="C2969"/>
  <c r="B2969"/>
  <c r="D2967"/>
  <c r="D2968"/>
  <c r="D2964"/>
  <c r="D2965"/>
  <c r="D2966"/>
  <c r="D2962"/>
  <c r="D2963"/>
  <c r="D2961"/>
  <c r="C2960"/>
  <c r="B2960"/>
  <c r="D2959"/>
  <c r="D2958"/>
  <c r="D2957"/>
  <c r="D2956"/>
  <c r="D2955"/>
  <c r="A2955"/>
  <c r="D2954"/>
  <c r="A2954"/>
  <c r="D2953"/>
  <c r="D2952"/>
  <c r="D2951"/>
  <c r="D2950"/>
  <c r="A2950"/>
  <c r="D2949"/>
  <c r="D2948"/>
  <c r="D2947"/>
  <c r="D2937"/>
  <c r="D2938"/>
  <c r="D2939"/>
  <c r="D2940"/>
  <c r="D2941"/>
  <c r="D2942"/>
  <c r="D2943"/>
  <c r="D2944"/>
  <c r="D2945"/>
  <c r="D2946"/>
  <c r="C2936"/>
  <c r="B2936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A2893"/>
  <c r="A2892"/>
  <c r="A2891"/>
  <c r="A2890"/>
  <c r="A2889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A2793"/>
  <c r="A2782"/>
  <c r="A2781"/>
  <c r="A2761"/>
  <c r="A2760"/>
  <c r="A2751"/>
  <c r="A2688"/>
  <c r="A2635"/>
  <c r="A2634"/>
  <c r="D2587"/>
  <c r="D2586"/>
  <c r="D2585"/>
  <c r="D2584"/>
  <c r="A2584"/>
  <c r="D2583"/>
  <c r="D2582"/>
  <c r="D2581"/>
  <c r="D2580"/>
  <c r="D2579"/>
  <c r="D2578"/>
  <c r="D2577"/>
  <c r="D2576"/>
  <c r="D2575"/>
  <c r="D2574"/>
  <c r="D2573"/>
  <c r="D2572"/>
  <c r="D2571"/>
  <c r="D2570"/>
  <c r="D2569"/>
  <c r="D2568"/>
  <c r="D2567"/>
  <c r="D2566"/>
  <c r="D2565"/>
  <c r="D2564"/>
  <c r="D2563"/>
  <c r="D2562"/>
  <c r="D2561"/>
  <c r="D2560"/>
  <c r="D2559"/>
  <c r="D2558"/>
  <c r="D2557"/>
  <c r="D2556"/>
  <c r="D2555"/>
  <c r="D2554"/>
  <c r="D2553"/>
  <c r="D2552"/>
  <c r="D2551"/>
  <c r="D2550"/>
  <c r="D2549"/>
  <c r="D2548"/>
  <c r="D2547"/>
  <c r="D2546"/>
  <c r="D2545"/>
  <c r="D2544"/>
  <c r="D2543"/>
  <c r="D2542"/>
  <c r="D2541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A2539"/>
  <c r="A2490"/>
  <c r="C2479"/>
  <c r="B2479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A2435"/>
  <c r="D2420"/>
  <c r="D2421"/>
  <c r="D2422"/>
  <c r="D2423"/>
  <c r="D2424"/>
  <c r="D2416"/>
  <c r="D2417"/>
  <c r="D2418"/>
  <c r="D2419"/>
  <c r="C2415"/>
  <c r="B2415"/>
  <c r="D2407"/>
  <c r="D2408"/>
  <c r="D2409"/>
  <c r="D2410"/>
  <c r="D2411"/>
  <c r="D2412"/>
  <c r="D2413"/>
  <c r="D2414"/>
  <c r="D2406"/>
  <c r="B2405"/>
  <c r="C2405"/>
  <c r="D2403"/>
  <c r="D2404"/>
  <c r="D2402"/>
  <c r="D1197"/>
  <c r="D2357"/>
  <c r="A2357"/>
  <c r="C2401"/>
  <c r="B2401"/>
  <c r="D2371"/>
  <c r="D2372"/>
  <c r="D2373"/>
  <c r="D2395"/>
  <c r="D2374"/>
  <c r="D2375"/>
  <c r="D2376"/>
  <c r="D2377"/>
  <c r="D2378"/>
  <c r="D2379"/>
  <c r="D2396"/>
  <c r="D2397"/>
  <c r="D2380"/>
  <c r="D2381"/>
  <c r="D2382"/>
  <c r="D2383"/>
  <c r="D2384"/>
  <c r="D2385"/>
  <c r="D2398"/>
  <c r="D2386"/>
  <c r="D2387"/>
  <c r="D2388"/>
  <c r="D2399"/>
  <c r="D2400"/>
  <c r="D2389"/>
  <c r="D2390"/>
  <c r="D2391"/>
  <c r="D2392"/>
  <c r="D2393"/>
  <c r="D2394"/>
  <c r="A2391"/>
  <c r="A2390"/>
  <c r="A2380"/>
  <c r="A2396"/>
  <c r="A2379"/>
  <c r="A2378"/>
  <c r="A2377"/>
  <c r="A2376"/>
  <c r="A2375"/>
  <c r="A2374"/>
  <c r="A2373"/>
  <c r="A2372"/>
  <c r="C2370"/>
  <c r="B2370"/>
  <c r="D2369"/>
  <c r="D2368"/>
  <c r="D2367"/>
  <c r="A2367"/>
  <c r="D2366"/>
  <c r="D2365"/>
  <c r="D2364"/>
  <c r="D2363"/>
  <c r="D2362"/>
  <c r="D2361"/>
  <c r="D2360"/>
  <c r="D2359"/>
  <c r="D2358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189"/>
  <c r="A2356"/>
  <c r="A2348"/>
  <c r="A2340"/>
  <c r="A2331"/>
  <c r="A2330"/>
  <c r="A2303"/>
  <c r="A2302"/>
  <c r="A2301"/>
  <c r="A2299"/>
  <c r="A2298"/>
  <c r="A2297"/>
  <c r="A2296"/>
  <c r="A2295"/>
  <c r="A2287"/>
  <c r="A2286"/>
  <c r="A2285"/>
  <c r="A2284"/>
  <c r="A2280"/>
  <c r="A2279"/>
  <c r="A2278"/>
  <c r="A2277"/>
  <c r="A2276"/>
  <c r="A2275"/>
  <c r="A2263"/>
  <c r="A2262"/>
  <c r="A2256"/>
  <c r="A2254"/>
  <c r="A2253"/>
  <c r="A2248"/>
  <c r="A2244"/>
  <c r="A2237"/>
  <c r="A2216"/>
  <c r="A2211"/>
  <c r="A2206"/>
  <c r="A2205"/>
  <c r="A2204"/>
  <c r="A2202"/>
  <c r="A2201"/>
  <c r="C2188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1984"/>
  <c r="A2185"/>
  <c r="A2184"/>
  <c r="A2183"/>
  <c r="A2182"/>
  <c r="A2181"/>
  <c r="A2180"/>
  <c r="A2179"/>
  <c r="A2165"/>
  <c r="A2164"/>
  <c r="A2163"/>
  <c r="A2162"/>
  <c r="A2161"/>
  <c r="A2160"/>
  <c r="A2159"/>
  <c r="A2141"/>
  <c r="A2140"/>
  <c r="A2132"/>
  <c r="A2131"/>
  <c r="A2130"/>
  <c r="A2129"/>
  <c r="A2128"/>
  <c r="A2127"/>
  <c r="A2126"/>
  <c r="A2125"/>
  <c r="A2124"/>
  <c r="A2123"/>
  <c r="A2122"/>
  <c r="A2121"/>
  <c r="A2120"/>
  <c r="A2119"/>
  <c r="A2118"/>
  <c r="A2116"/>
  <c r="A2114"/>
  <c r="A2113"/>
  <c r="A2112"/>
  <c r="A2111"/>
  <c r="A2110"/>
  <c r="A2108"/>
  <c r="A2107"/>
  <c r="A2106"/>
  <c r="A2105"/>
  <c r="A2104"/>
  <c r="A2103"/>
  <c r="A2101"/>
  <c r="A2100"/>
  <c r="A2099"/>
  <c r="A2098"/>
  <c r="A2097"/>
  <c r="A2096"/>
  <c r="A2095"/>
  <c r="A2094"/>
  <c r="A2093"/>
  <c r="A2092"/>
  <c r="A2091"/>
  <c r="A2090"/>
  <c r="A2089"/>
  <c r="A2088"/>
  <c r="A2087"/>
  <c r="A2086"/>
  <c r="A2085"/>
  <c r="A2084"/>
  <c r="A2083"/>
  <c r="A2082"/>
  <c r="A2081"/>
  <c r="A2080"/>
  <c r="A2079"/>
  <c r="A2078"/>
  <c r="A2077"/>
  <c r="A2076"/>
  <c r="A2073"/>
  <c r="A2072"/>
  <c r="A2069"/>
  <c r="A2068"/>
  <c r="A2067"/>
  <c r="A2065"/>
  <c r="A2064"/>
  <c r="A2061"/>
  <c r="A2060"/>
  <c r="A2059"/>
  <c r="A2058"/>
  <c r="A2057"/>
  <c r="A2056"/>
  <c r="A2055"/>
  <c r="A2054"/>
  <c r="A2053"/>
  <c r="A2051"/>
  <c r="A2050"/>
  <c r="A2049"/>
  <c r="A2048"/>
  <c r="A2047"/>
  <c r="A2046"/>
  <c r="A2045"/>
  <c r="A2044"/>
  <c r="A2043"/>
  <c r="A2042"/>
  <c r="A2041"/>
  <c r="A2040"/>
  <c r="A2039"/>
  <c r="A2033"/>
  <c r="A2032"/>
  <c r="A2030"/>
  <c r="A2029"/>
  <c r="A2028"/>
  <c r="A2027"/>
  <c r="A2026"/>
  <c r="A2023"/>
  <c r="A2022"/>
  <c r="A2017"/>
  <c r="A2016"/>
  <c r="A2015"/>
  <c r="A2014"/>
  <c r="A2013"/>
  <c r="A2012"/>
  <c r="A2010"/>
  <c r="A1999"/>
  <c r="A1998"/>
  <c r="A1987"/>
  <c r="A1984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876"/>
  <c r="C1983"/>
  <c r="B1983"/>
  <c r="A1981"/>
  <c r="A1980"/>
  <c r="A1979"/>
  <c r="A1978"/>
  <c r="A1977"/>
  <c r="A1976"/>
  <c r="A1975"/>
  <c r="A1974"/>
  <c r="A1973"/>
  <c r="A1972"/>
  <c r="A1971"/>
  <c r="A1970"/>
  <c r="A1969"/>
  <c r="A1968"/>
  <c r="A1967"/>
  <c r="A1966"/>
  <c r="A1965"/>
  <c r="A1962"/>
  <c r="A1961"/>
  <c r="A1960"/>
  <c r="A1959"/>
  <c r="A1958"/>
  <c r="A1956"/>
  <c r="A1955"/>
  <c r="A1954"/>
  <c r="A1953"/>
  <c r="A1952"/>
  <c r="A1951"/>
  <c r="A1950"/>
  <c r="A1949"/>
  <c r="A1948"/>
  <c r="A1947"/>
  <c r="A1946"/>
  <c r="A1945"/>
  <c r="A1944"/>
  <c r="A1943"/>
  <c r="A1942"/>
  <c r="A1941"/>
  <c r="A1940"/>
  <c r="A1939"/>
  <c r="A1938"/>
  <c r="A1937"/>
  <c r="A1936"/>
  <c r="A1935"/>
  <c r="A1934"/>
  <c r="A1933"/>
  <c r="A1932"/>
  <c r="A1931"/>
  <c r="A1930"/>
  <c r="A1928"/>
  <c r="A1927"/>
  <c r="A1926"/>
  <c r="A1925"/>
  <c r="A1923"/>
  <c r="A1922"/>
  <c r="A1921"/>
  <c r="A1920"/>
  <c r="A1918"/>
  <c r="A1917"/>
  <c r="A1915"/>
  <c r="A1914"/>
  <c r="A1913"/>
  <c r="A1912"/>
  <c r="A1911"/>
  <c r="A1907"/>
  <c r="A1906"/>
  <c r="A1902"/>
  <c r="A1901"/>
  <c r="A1900"/>
  <c r="A1899"/>
  <c r="A1897"/>
  <c r="A1896"/>
  <c r="A1895"/>
  <c r="A1894"/>
  <c r="A1893"/>
  <c r="A1892"/>
  <c r="A1891"/>
  <c r="A1890"/>
  <c r="A1889"/>
  <c r="A1888"/>
  <c r="A1887"/>
  <c r="A1886"/>
  <c r="A1885"/>
  <c r="A1884"/>
  <c r="A1883"/>
  <c r="A1882"/>
  <c r="A1881"/>
  <c r="A1880"/>
  <c r="A1879"/>
  <c r="A1878"/>
  <c r="A1877"/>
  <c r="A1876"/>
  <c r="C1873"/>
  <c r="B1873"/>
  <c r="D1872"/>
  <c r="D1870"/>
  <c r="D1871"/>
  <c r="A1871"/>
  <c r="A1870"/>
  <c r="C1869"/>
  <c r="B1869"/>
  <c r="D1868"/>
  <c r="D1867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A1864"/>
  <c r="A1863"/>
  <c r="A1862"/>
  <c r="A1850"/>
  <c r="A1848"/>
  <c r="A1843"/>
  <c r="A1837"/>
  <c r="C1825"/>
  <c r="B1825"/>
  <c r="D1824"/>
  <c r="D1825" s="1"/>
  <c r="D1817"/>
  <c r="D1818"/>
  <c r="D1819"/>
  <c r="D1820"/>
  <c r="D1821"/>
  <c r="D1822"/>
  <c r="D1816"/>
  <c r="C1823"/>
  <c r="B1823"/>
  <c r="C1815"/>
  <c r="B1815"/>
  <c r="D1806"/>
  <c r="D1807"/>
  <c r="D1808"/>
  <c r="D1809"/>
  <c r="D1810"/>
  <c r="D1811"/>
  <c r="D1812"/>
  <c r="D1813"/>
  <c r="D1814"/>
  <c r="D1805"/>
  <c r="D2992" l="1"/>
  <c r="D2976"/>
  <c r="D2969"/>
  <c r="D2960"/>
  <c r="D2936"/>
  <c r="D2479"/>
  <c r="D2415"/>
  <c r="D2401"/>
  <c r="D2405"/>
  <c r="D2370"/>
  <c r="B2188"/>
  <c r="B2977" s="1"/>
  <c r="D1873"/>
  <c r="D2188"/>
  <c r="D1983"/>
  <c r="D1869"/>
  <c r="D1823"/>
  <c r="D1815"/>
  <c r="C1804"/>
  <c r="B1804"/>
  <c r="D1803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546"/>
  <c r="A1704"/>
  <c r="A1703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297"/>
  <c r="A1509"/>
  <c r="A1507"/>
  <c r="A1506"/>
  <c r="A1505"/>
  <c r="A1504"/>
  <c r="A1503"/>
  <c r="A1502"/>
  <c r="A1498"/>
  <c r="A1497"/>
  <c r="A1496"/>
  <c r="A1495"/>
  <c r="A1494"/>
  <c r="A1493"/>
  <c r="D1296"/>
  <c r="D1295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198"/>
  <c r="D1199"/>
  <c r="A1277"/>
  <c r="A1261"/>
  <c r="A1213"/>
  <c r="A1203"/>
  <c r="D1196"/>
  <c r="D1195"/>
  <c r="D1194"/>
  <c r="D1193"/>
  <c r="D1192"/>
  <c r="D1191"/>
  <c r="D1190"/>
  <c r="D1189"/>
  <c r="D1188"/>
  <c r="D1187"/>
  <c r="D1186"/>
  <c r="D1185"/>
  <c r="D1184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52"/>
  <c r="A1178"/>
  <c r="A1176"/>
  <c r="A1175"/>
  <c r="A1167"/>
  <c r="A1162"/>
  <c r="D1136"/>
  <c r="D1137"/>
  <c r="D1138"/>
  <c r="D1139"/>
  <c r="D1140"/>
  <c r="D1141"/>
  <c r="D1142"/>
  <c r="D1143"/>
  <c r="D1144"/>
  <c r="D1145"/>
  <c r="A1140"/>
  <c r="C1151"/>
  <c r="B1151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13"/>
  <c r="A1123"/>
  <c r="D1150"/>
  <c r="D1149"/>
  <c r="A1149"/>
  <c r="D1148"/>
  <c r="D1147"/>
  <c r="D114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A1109"/>
  <c r="A1107"/>
  <c r="A1100"/>
  <c r="A1097"/>
  <c r="C1096"/>
  <c r="B1096"/>
  <c r="D1095"/>
  <c r="D1094"/>
  <c r="C1092"/>
  <c r="B1092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57"/>
  <c r="C1056"/>
  <c r="B1056"/>
  <c r="D1053"/>
  <c r="D1054"/>
  <c r="D1055"/>
  <c r="D1052"/>
  <c r="B1051"/>
  <c r="D1050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571"/>
  <c r="D572"/>
  <c r="D573"/>
  <c r="D574"/>
  <c r="D575"/>
  <c r="D576"/>
  <c r="D577"/>
  <c r="D578"/>
  <c r="D579"/>
  <c r="D580"/>
  <c r="D581"/>
  <c r="D582"/>
  <c r="D583"/>
  <c r="D584"/>
  <c r="D585"/>
  <c r="D586"/>
  <c r="D570"/>
  <c r="C1049"/>
  <c r="D1049" s="1"/>
  <c r="A1038"/>
  <c r="A1035"/>
  <c r="A1034"/>
  <c r="A996"/>
  <c r="A995"/>
  <c r="A988"/>
  <c r="A984"/>
  <c r="A983"/>
  <c r="A982"/>
  <c r="A978"/>
  <c r="A977"/>
  <c r="A975"/>
  <c r="A962"/>
  <c r="A961"/>
  <c r="A960"/>
  <c r="A959"/>
  <c r="A958"/>
  <c r="A957"/>
  <c r="A955"/>
  <c r="A948"/>
  <c r="A945"/>
  <c r="A944"/>
  <c r="A941"/>
  <c r="A940"/>
  <c r="A939"/>
  <c r="A923"/>
  <c r="A921"/>
  <c r="A916"/>
  <c r="A910"/>
  <c r="A909"/>
  <c r="A908"/>
  <c r="A907"/>
  <c r="A906"/>
  <c r="A905"/>
  <c r="A895"/>
  <c r="A894"/>
  <c r="A892"/>
  <c r="A891"/>
  <c r="A890"/>
  <c r="A889"/>
  <c r="A888"/>
  <c r="A887"/>
  <c r="A886"/>
  <c r="A885"/>
  <c r="A880"/>
  <c r="A875"/>
  <c r="A865"/>
  <c r="A864"/>
  <c r="A863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4"/>
  <c r="A833"/>
  <c r="A811"/>
  <c r="A810"/>
  <c r="A809"/>
  <c r="A808"/>
  <c r="A806"/>
  <c r="A800"/>
  <c r="A799"/>
  <c r="A798"/>
  <c r="A796"/>
  <c r="A795"/>
  <c r="A794"/>
  <c r="A792"/>
  <c r="A791"/>
  <c r="A788"/>
  <c r="A787"/>
  <c r="A786"/>
  <c r="A785"/>
  <c r="A784"/>
  <c r="A783"/>
  <c r="A782"/>
  <c r="A781"/>
  <c r="A779"/>
  <c r="A778"/>
  <c r="A776"/>
  <c r="A770"/>
  <c r="A769"/>
  <c r="A768"/>
  <c r="A767"/>
  <c r="A765"/>
  <c r="A764"/>
  <c r="A763"/>
  <c r="A761"/>
  <c r="A760"/>
  <c r="A759"/>
  <c r="A758"/>
  <c r="A757"/>
  <c r="A756"/>
  <c r="A755"/>
  <c r="A752"/>
  <c r="A751"/>
  <c r="A750"/>
  <c r="A749"/>
  <c r="A748"/>
  <c r="A747"/>
  <c r="A740"/>
  <c r="A739"/>
  <c r="A738"/>
  <c r="A737"/>
  <c r="A736"/>
  <c r="A734"/>
  <c r="A730"/>
  <c r="A729"/>
  <c r="A728"/>
  <c r="A727"/>
  <c r="A726"/>
  <c r="A725"/>
  <c r="A720"/>
  <c r="A718"/>
  <c r="A717"/>
  <c r="A715"/>
  <c r="A714"/>
  <c r="A713"/>
  <c r="A712"/>
  <c r="A711"/>
  <c r="A710"/>
  <c r="A707"/>
  <c r="A706"/>
  <c r="A704"/>
  <c r="A703"/>
  <c r="A702"/>
  <c r="A701"/>
  <c r="A699"/>
  <c r="A698"/>
  <c r="A689"/>
  <c r="A687"/>
  <c r="A686"/>
  <c r="A685"/>
  <c r="A682"/>
  <c r="A681"/>
  <c r="A680"/>
  <c r="A679"/>
  <c r="A678"/>
  <c r="A677"/>
  <c r="A675"/>
  <c r="A673"/>
  <c r="A672"/>
  <c r="A671"/>
  <c r="A670"/>
  <c r="A669"/>
  <c r="A668"/>
  <c r="A667"/>
  <c r="A666"/>
  <c r="A654"/>
  <c r="A653"/>
  <c r="A651"/>
  <c r="A649"/>
  <c r="A648"/>
  <c r="A647"/>
  <c r="A646"/>
  <c r="A643"/>
  <c r="A635"/>
  <c r="A632"/>
  <c r="A631"/>
  <c r="A630"/>
  <c r="A629"/>
  <c r="A628"/>
  <c r="A626"/>
  <c r="A618"/>
  <c r="A608"/>
  <c r="A607"/>
  <c r="A603"/>
  <c r="A602"/>
  <c r="A601"/>
  <c r="A600"/>
  <c r="A599"/>
  <c r="A598"/>
  <c r="A597"/>
  <c r="A588"/>
  <c r="A583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484"/>
  <c r="C569"/>
  <c r="B569"/>
  <c r="A568"/>
  <c r="A567"/>
  <c r="A566"/>
  <c r="A565"/>
  <c r="A563"/>
  <c r="A562"/>
  <c r="A561"/>
  <c r="A560"/>
  <c r="A559"/>
  <c r="A558"/>
  <c r="A556"/>
  <c r="A554"/>
  <c r="A553"/>
  <c r="A552"/>
  <c r="A551"/>
  <c r="A549"/>
  <c r="A548"/>
  <c r="A547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4"/>
  <c r="A493"/>
  <c r="A489"/>
  <c r="A488"/>
  <c r="A487"/>
  <c r="A485"/>
  <c r="A484"/>
  <c r="C483"/>
  <c r="B483"/>
  <c r="D480"/>
  <c r="D481"/>
  <c r="D482"/>
  <c r="D479"/>
  <c r="C478"/>
  <c r="B478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34"/>
  <c r="A476"/>
  <c r="A475"/>
  <c r="A474"/>
  <c r="A473"/>
  <c r="A472"/>
  <c r="A471"/>
  <c r="A468"/>
  <c r="A467"/>
  <c r="A464"/>
  <c r="A462"/>
  <c r="A461"/>
  <c r="A449"/>
  <c r="A448"/>
  <c r="A445"/>
  <c r="A444"/>
  <c r="A443"/>
  <c r="A442"/>
  <c r="A441"/>
  <c r="A440"/>
  <c r="A439"/>
  <c r="A438"/>
  <c r="A437"/>
  <c r="A435"/>
  <c r="A426"/>
  <c r="A423"/>
  <c r="A422"/>
  <c r="A421"/>
  <c r="A420"/>
  <c r="A418"/>
  <c r="A417"/>
  <c r="A416"/>
  <c r="A415"/>
  <c r="A413"/>
  <c r="A412"/>
  <c r="A407"/>
  <c r="A406"/>
  <c r="A405"/>
  <c r="A402"/>
  <c r="A401"/>
  <c r="A400"/>
  <c r="A396"/>
  <c r="A387"/>
  <c r="A382"/>
  <c r="A373"/>
  <c r="A372"/>
  <c r="A371"/>
  <c r="A354"/>
  <c r="A353"/>
  <c r="A341"/>
  <c r="A336"/>
  <c r="A332"/>
  <c r="A331"/>
  <c r="A330"/>
  <c r="A327"/>
  <c r="A326"/>
  <c r="A325"/>
  <c r="A322"/>
  <c r="A318"/>
  <c r="A317"/>
  <c r="A316"/>
  <c r="A315"/>
  <c r="A314"/>
  <c r="A313"/>
  <c r="A310"/>
  <c r="A309"/>
  <c r="A307"/>
  <c r="A306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2"/>
  <c r="A280"/>
  <c r="A279"/>
  <c r="A278"/>
  <c r="A277"/>
  <c r="A276"/>
  <c r="A275"/>
  <c r="A273"/>
  <c r="A271"/>
  <c r="A270"/>
  <c r="A266"/>
  <c r="A265"/>
  <c r="A263"/>
  <c r="A262"/>
  <c r="A261"/>
  <c r="A260"/>
  <c r="A258"/>
  <c r="A257"/>
  <c r="A256"/>
  <c r="A254"/>
  <c r="A253"/>
  <c r="A251"/>
  <c r="A250"/>
  <c r="A249"/>
  <c r="A245"/>
  <c r="A244"/>
  <c r="A241"/>
  <c r="A239"/>
  <c r="A236"/>
  <c r="A234"/>
  <c r="A233"/>
  <c r="A232"/>
  <c r="A231"/>
  <c r="A228"/>
  <c r="A223"/>
  <c r="A221"/>
  <c r="A215"/>
  <c r="A214"/>
  <c r="A213"/>
  <c r="A212"/>
  <c r="A211"/>
  <c r="A207"/>
  <c r="A205"/>
  <c r="A198"/>
  <c r="A197"/>
  <c r="A191"/>
  <c r="A190"/>
  <c r="A189"/>
  <c r="A188"/>
  <c r="A186"/>
  <c r="A185"/>
  <c r="A176"/>
  <c r="A155"/>
  <c r="A153"/>
  <c r="A151"/>
  <c r="A150"/>
  <c r="A149"/>
  <c r="A148"/>
  <c r="A147"/>
  <c r="A146"/>
  <c r="A145"/>
  <c r="A144"/>
  <c r="A143"/>
  <c r="A142"/>
  <c r="A140"/>
  <c r="A138"/>
  <c r="A136"/>
  <c r="A135"/>
  <c r="A134"/>
  <c r="A133"/>
  <c r="A131"/>
  <c r="A127"/>
  <c r="A126"/>
  <c r="A125"/>
  <c r="A124"/>
  <c r="A123"/>
  <c r="A122"/>
  <c r="A121"/>
  <c r="A119"/>
  <c r="A118"/>
  <c r="A116"/>
  <c r="A110"/>
  <c r="A108"/>
  <c r="A106"/>
  <c r="A105"/>
  <c r="A88"/>
  <c r="A87"/>
  <c r="A85"/>
  <c r="A84"/>
  <c r="A75"/>
  <c r="A74"/>
  <c r="A73"/>
  <c r="A67"/>
  <c r="A64"/>
  <c r="A63"/>
  <c r="A51"/>
  <c r="A50"/>
  <c r="A49"/>
  <c r="A48"/>
  <c r="A46"/>
  <c r="C32"/>
  <c r="B32"/>
  <c r="D27"/>
  <c r="D28"/>
  <c r="D29"/>
  <c r="D30"/>
  <c r="D31"/>
  <c r="D21"/>
  <c r="D22"/>
  <c r="D23"/>
  <c r="D24"/>
  <c r="D25"/>
  <c r="D26"/>
  <c r="D20"/>
  <c r="C19"/>
  <c r="B19"/>
  <c r="D18"/>
  <c r="D9"/>
  <c r="D10"/>
  <c r="D11"/>
  <c r="D12"/>
  <c r="D13"/>
  <c r="D14"/>
  <c r="D15"/>
  <c r="D16"/>
  <c r="D17"/>
  <c r="A15"/>
  <c r="D6"/>
  <c r="D7"/>
  <c r="D8"/>
  <c r="D5"/>
  <c r="D2977" l="1"/>
  <c r="C1874"/>
  <c r="B1874"/>
  <c r="B1093"/>
  <c r="D1804"/>
  <c r="D1056"/>
  <c r="D1092"/>
  <c r="D1151"/>
  <c r="D1051"/>
  <c r="D1096"/>
  <c r="D478"/>
  <c r="C1051"/>
  <c r="C1093" s="1"/>
  <c r="D483"/>
  <c r="D569"/>
  <c r="D19"/>
  <c r="B33"/>
  <c r="C33"/>
  <c r="D32"/>
  <c r="C1875" l="1"/>
  <c r="C2978" s="1"/>
  <c r="C2984" s="1"/>
  <c r="B1875"/>
  <c r="B2978" s="1"/>
  <c r="B2984" s="1"/>
  <c r="D1874"/>
  <c r="D1093"/>
  <c r="D33"/>
  <c r="D1875" l="1"/>
  <c r="D2978" s="1"/>
  <c r="D2984" s="1"/>
</calcChain>
</file>

<file path=xl/sharedStrings.xml><?xml version="1.0" encoding="utf-8"?>
<sst xmlns="http://schemas.openxmlformats.org/spreadsheetml/2006/main" count="2375" uniqueCount="2274">
  <si>
    <t>Megnevezés</t>
  </si>
  <si>
    <t>Város rendezési terv</t>
  </si>
  <si>
    <t>Térfigyelő rendszer</t>
  </si>
  <si>
    <t>Taninform Gyémánt 1 csomag</t>
  </si>
  <si>
    <t>Hulladékgazdálkodási terv</t>
  </si>
  <si>
    <t>Windows 7 + Ms Office 2010 Enterprise 82 db gépre</t>
  </si>
  <si>
    <t>Digitális oktatási tartalom 82 db gépre</t>
  </si>
  <si>
    <t>Balassagyarmat Teljes digitális állami térkép adatbázis</t>
  </si>
  <si>
    <t>OFFICE HOME 2013 4 db</t>
  </si>
  <si>
    <t>Településrendezési terveinek digitális elkészítése</t>
  </si>
  <si>
    <t>Windows 7 Homepremium 64BIT 2 db</t>
  </si>
  <si>
    <t xml:space="preserve">OEM Office 2013 home </t>
  </si>
  <si>
    <t>Vízmű vagyon vagyonértékelés</t>
  </si>
  <si>
    <t>Windows 10 home 64 bit 4 db</t>
  </si>
  <si>
    <t>Windows 10 PRO 64 bit  3 db</t>
  </si>
  <si>
    <t>MS Office 2016    3 db</t>
  </si>
  <si>
    <t>Windows10 PRO 64 BIT</t>
  </si>
  <si>
    <t>MS OFFICE 2016 8 db</t>
  </si>
  <si>
    <t>Zártkert 8039</t>
  </si>
  <si>
    <t>Zártkert 8711</t>
  </si>
  <si>
    <t>Zártkert 8730</t>
  </si>
  <si>
    <t>Zártkert 8735</t>
  </si>
  <si>
    <t>Zártkert 9003</t>
  </si>
  <si>
    <t>Szontágh P. út</t>
  </si>
  <si>
    <t>Patvarci út</t>
  </si>
  <si>
    <t>Balassa út</t>
  </si>
  <si>
    <t>Deák F. út</t>
  </si>
  <si>
    <t>Deák F. út 19.</t>
  </si>
  <si>
    <t>Honvéd út</t>
  </si>
  <si>
    <t>Vizy Zs. út</t>
  </si>
  <si>
    <t>Algóvár út</t>
  </si>
  <si>
    <t>Belterület</t>
  </si>
  <si>
    <t>Vak B. út</t>
  </si>
  <si>
    <t>Batthyány út 28</t>
  </si>
  <si>
    <t>Kodály Z. út</t>
  </si>
  <si>
    <t>Április 4 tp</t>
  </si>
  <si>
    <t>Nyugati Ipar tel.</t>
  </si>
  <si>
    <t>Hősök tere          97</t>
  </si>
  <si>
    <t>Köztársaság tér     444</t>
  </si>
  <si>
    <t>Köztársaság tér zöld terület 1589</t>
  </si>
  <si>
    <t>Palóc liget         2</t>
  </si>
  <si>
    <t>Nyírjes</t>
  </si>
  <si>
    <t>Thököly utca 6 1459</t>
  </si>
  <si>
    <t>Thököly utca 33 1473</t>
  </si>
  <si>
    <t>Beépítetlen 1539</t>
  </si>
  <si>
    <t>Beépítetlen 2734</t>
  </si>
  <si>
    <t>Kodály utca 2859</t>
  </si>
  <si>
    <t>Kodály utca 2862</t>
  </si>
  <si>
    <t>Kodály utca 29 2907</t>
  </si>
  <si>
    <t>Tó 5102</t>
  </si>
  <si>
    <t>Üdülőépület udvar 5116</t>
  </si>
  <si>
    <t>Üdülőépület udvar 5123</t>
  </si>
  <si>
    <t>Beépítetlen terület 5230</t>
  </si>
  <si>
    <t>Szántó, erdő 036</t>
  </si>
  <si>
    <t>Szőlő kert 8125</t>
  </si>
  <si>
    <t>Beépítetlen terület 430</t>
  </si>
  <si>
    <t>Kóvár telek</t>
  </si>
  <si>
    <t>16-os Honvéd utca           66</t>
  </si>
  <si>
    <t>Achim A.u.                  1280</t>
  </si>
  <si>
    <t>Ady Endre u.                54</t>
  </si>
  <si>
    <t>Ady Endre u.                1640</t>
  </si>
  <si>
    <t>Akácfa u.                   219</t>
  </si>
  <si>
    <t>Algőver M.u.                329</t>
  </si>
  <si>
    <t>Aradi u.                    1772</t>
  </si>
  <si>
    <t>Aradi u.                    1778</t>
  </si>
  <si>
    <t>Arany J.u.                  1097</t>
  </si>
  <si>
    <t>Attila u.                   1959</t>
  </si>
  <si>
    <t>Balassa u.                  1543</t>
  </si>
  <si>
    <t>Baltik F.u.                 1476</t>
  </si>
  <si>
    <t>Baross G.u.                 2282</t>
  </si>
  <si>
    <t>Bartók B.u.                 2817</t>
  </si>
  <si>
    <t>Bartók B.u.                 2898</t>
  </si>
  <si>
    <t>Batthyány u.                2498</t>
  </si>
  <si>
    <t>Bem J.u.                    2135</t>
  </si>
  <si>
    <t>Benczur Gy.u.               80</t>
  </si>
  <si>
    <t>Benczur Gy.u.               1814</t>
  </si>
  <si>
    <t>Bercsényi u.                449</t>
  </si>
  <si>
    <t>Blázsik K.u.                2996</t>
  </si>
  <si>
    <t>Gimnázium köz               1601</t>
  </si>
  <si>
    <t>Gábor Á.u.                  1856</t>
  </si>
  <si>
    <t>Gábor Á.u.                  1908</t>
  </si>
  <si>
    <t>Gárdonyi G.u.               2990</t>
  </si>
  <si>
    <t>Hajós A.u.                  238</t>
  </si>
  <si>
    <t>Homok u.                    1304</t>
  </si>
  <si>
    <t>Honti u.                    2634</t>
  </si>
  <si>
    <t>Honti u.                    2229</t>
  </si>
  <si>
    <t>Honti u.                    2349</t>
  </si>
  <si>
    <t>Honti u.                    2497</t>
  </si>
  <si>
    <t>Hunyadi u.                  1419</t>
  </si>
  <si>
    <t>Hunyadi u.28.               1402</t>
  </si>
  <si>
    <t>Hársfa u.                   234</t>
  </si>
  <si>
    <t>Hétvezér u.                 206</t>
  </si>
  <si>
    <t>Hétvezér u.                 286</t>
  </si>
  <si>
    <t>Ifjuság u.                  2018</t>
  </si>
  <si>
    <t>Ipoly u.                    671</t>
  </si>
  <si>
    <t>Ipolyjáró u.                708</t>
  </si>
  <si>
    <t>Ipolypart u.                672</t>
  </si>
  <si>
    <t>Jeszenszky u.               3022</t>
  </si>
  <si>
    <t>Jókai Mór u.                1076</t>
  </si>
  <si>
    <t>Jópalócok u.                2942</t>
  </si>
  <si>
    <t>Jószív u.                   754</t>
  </si>
  <si>
    <t>Külterület                  0105</t>
  </si>
  <si>
    <t>Külterület                  0114</t>
  </si>
  <si>
    <t>Külterület                  0120</t>
  </si>
  <si>
    <t>Külterület                  0122</t>
  </si>
  <si>
    <t>Külterület                  0124</t>
  </si>
  <si>
    <t>Külterület                  0129</t>
  </si>
  <si>
    <t>Külterület                  0131</t>
  </si>
  <si>
    <t>Külterület                  0132</t>
  </si>
  <si>
    <t>Külterület                  0134</t>
  </si>
  <si>
    <t>Külterület                  0136</t>
  </si>
  <si>
    <t>Külterület                  0139</t>
  </si>
  <si>
    <t>Külterület                  0141</t>
  </si>
  <si>
    <t>Külterület                  0157</t>
  </si>
  <si>
    <t>Külterület                  0162</t>
  </si>
  <si>
    <t>Külterület                  0170</t>
  </si>
  <si>
    <t>Külterület                  0171</t>
  </si>
  <si>
    <t>Külterület                  0173</t>
  </si>
  <si>
    <t>Külterület                  0184</t>
  </si>
  <si>
    <t>Külterület                  0191</t>
  </si>
  <si>
    <t>Külterület                  080</t>
  </si>
  <si>
    <t>Külterület(homoki szőlők)   8405</t>
  </si>
  <si>
    <t>Móricz Zs.u.                962</t>
  </si>
  <si>
    <t>Nádor u.                    418</t>
  </si>
  <si>
    <t>Névtelen u.                 5029</t>
  </si>
  <si>
    <t>Névtelen u.                 5051</t>
  </si>
  <si>
    <t>Névtelen u.                 53</t>
  </si>
  <si>
    <t>Névtelen u.                 3064</t>
  </si>
  <si>
    <t>Névtelen u.                 5008</t>
  </si>
  <si>
    <t>Névtelen u.                 2787</t>
  </si>
  <si>
    <t>Névtelen u.                 2177</t>
  </si>
  <si>
    <t>Radnóti M.u.                2864</t>
  </si>
  <si>
    <t>Rozmaring u.                322</t>
  </si>
  <si>
    <t>Rákóczi u.                  26</t>
  </si>
  <si>
    <t>Rákóczi u.                  511</t>
  </si>
  <si>
    <t>Rákóczi u.                  513</t>
  </si>
  <si>
    <t>Rákóczi u.                  593</t>
  </si>
  <si>
    <t>Rákóczi u.                  609</t>
  </si>
  <si>
    <t>Rákóczi u.                  692</t>
  </si>
  <si>
    <t>Rákóczi u.                  836</t>
  </si>
  <si>
    <t>Rákóczi u.                  837</t>
  </si>
  <si>
    <t>Rákóczi u.                  1035</t>
  </si>
  <si>
    <t>Rákóczi u.                  1161</t>
  </si>
  <si>
    <t>Rákóczi u.                  1210</t>
  </si>
  <si>
    <t>Rákóczi u.                  1245</t>
  </si>
  <si>
    <t>Rákóczi u.                  1348</t>
  </si>
  <si>
    <t>Rákóczi u.                  1418</t>
  </si>
  <si>
    <t>Rákóczi u.                  1420</t>
  </si>
  <si>
    <t>Rákóczi u.                  1527</t>
  </si>
  <si>
    <t>Rákóczi u.                  1529</t>
  </si>
  <si>
    <t>Rákóczi u.                  1587</t>
  </si>
  <si>
    <t>Régimalom u.                364</t>
  </si>
  <si>
    <t>Rózsa u.                    2609</t>
  </si>
  <si>
    <t>Rózsavölgyi Márk u.         1873</t>
  </si>
  <si>
    <t>Semmelweis u.               860</t>
  </si>
  <si>
    <t>Szabó L.u.                  512</t>
  </si>
  <si>
    <t>Szabó Püspök u.             3123</t>
  </si>
  <si>
    <t>Szent Imre u.               1639</t>
  </si>
  <si>
    <t>Szent István u.             1709</t>
  </si>
  <si>
    <t>Szondi György u.            199</t>
  </si>
  <si>
    <t>Vidra u.                    8732</t>
  </si>
  <si>
    <t>Viola u.                    2228</t>
  </si>
  <si>
    <t>Vizy Zsigmond u.            1708</t>
  </si>
  <si>
    <t>Vörösmarty M.u.             1951</t>
  </si>
  <si>
    <t>Váci M.u.                   3098</t>
  </si>
  <si>
    <t>Vár u.                      626</t>
  </si>
  <si>
    <t>Zeke u.                     3131</t>
  </si>
  <si>
    <t>Zichy u.                    547</t>
  </si>
  <si>
    <t>Zrinyi M.u.                 136</t>
  </si>
  <si>
    <t>Zsák u.                     565</t>
  </si>
  <si>
    <t>Árpád u.                    783</t>
  </si>
  <si>
    <t>Égerfa u.                   8709</t>
  </si>
  <si>
    <t>Ó u.                        617</t>
  </si>
  <si>
    <t>Óváros tér                  571</t>
  </si>
  <si>
    <t>Óváros tér                  536</t>
  </si>
  <si>
    <t>Bástya út 9. udvar          657</t>
  </si>
  <si>
    <t>Hétvezér u.      253</t>
  </si>
  <si>
    <t>József A.u.1     1630</t>
  </si>
  <si>
    <t>József A u.3     1629</t>
  </si>
  <si>
    <t>Kossuth 39.      1665</t>
  </si>
  <si>
    <t>Köztársaság tér 5.   15</t>
  </si>
  <si>
    <t>Külter.Bgy.      0156</t>
  </si>
  <si>
    <t>Külter.Bgy.      0192</t>
  </si>
  <si>
    <t>Kócsag u.        5192</t>
  </si>
  <si>
    <t>Madách I.u.1.    503</t>
  </si>
  <si>
    <t>Nyirjes          5104</t>
  </si>
  <si>
    <t>Nyirjes          5193</t>
  </si>
  <si>
    <t>Patvarci u.2.    1496</t>
  </si>
  <si>
    <t>Patvarci u.2     1497</t>
  </si>
  <si>
    <t>Ligeti L.u.31.   328</t>
  </si>
  <si>
    <t>Bercsényi u.2    440</t>
  </si>
  <si>
    <t>Külter.          03</t>
  </si>
  <si>
    <t>Külter.árok      0197</t>
  </si>
  <si>
    <t>Nyirjes erdő 5105</t>
  </si>
  <si>
    <t>Nyirjes erdő 5107</t>
  </si>
  <si>
    <t>Nyirjes erdő   5111</t>
  </si>
  <si>
    <t>Palóc liget 10</t>
  </si>
  <si>
    <t>Gregori park 27</t>
  </si>
  <si>
    <t>Külterület 018</t>
  </si>
  <si>
    <t>Bobula ház föld 870</t>
  </si>
  <si>
    <t>Thököly 6 1459 hrsz</t>
  </si>
  <si>
    <t>Belterületi lakóút 123</t>
  </si>
  <si>
    <t>Vöröskereszt Hajléktalan szálló 1475</t>
  </si>
  <si>
    <t>Telephely 1770</t>
  </si>
  <si>
    <t>Belterületi kiszolgáló út 3168</t>
  </si>
  <si>
    <t>Üdülőépület és udvar 5108</t>
  </si>
  <si>
    <t>Saját használatú út 048</t>
  </si>
  <si>
    <t>Saját használatú út 070</t>
  </si>
  <si>
    <t>Saját használatú út 0102</t>
  </si>
  <si>
    <t>Átvett közút 1613</t>
  </si>
  <si>
    <t>Ifjúságút 2. Játékvár Ó. 2007</t>
  </si>
  <si>
    <t>Ifjúság út 2. Szabó Lőrinc Iskola 2008</t>
  </si>
  <si>
    <t>Köztársasság tér 3 Kiss Árpád Ált.17hrsz</t>
  </si>
  <si>
    <t>Bajcsy 9 Aininger ház 9 hrsz</t>
  </si>
  <si>
    <t>Springa erdősítés</t>
  </si>
  <si>
    <t>Rákóczi u.51.    1520</t>
  </si>
  <si>
    <t>Rákóczi u.107.   1239</t>
  </si>
  <si>
    <t>Rákóczi u.66.    870</t>
  </si>
  <si>
    <t>Rákóczi u.12.    507</t>
  </si>
  <si>
    <t>Rákóczi u.57.    1428</t>
  </si>
  <si>
    <t>Vizy Zs.u.       1760</t>
  </si>
  <si>
    <t>Ováros tér 11.   625</t>
  </si>
  <si>
    <t>Hulladéklerakó földterület</t>
  </si>
  <si>
    <t>Algőver M út 2633</t>
  </si>
  <si>
    <t>Rózsa U 2636</t>
  </si>
  <si>
    <t>Kóvár telek 5008</t>
  </si>
  <si>
    <t>Beépítetlen terület(üdülő altalaj)5110</t>
  </si>
  <si>
    <t>Beépítetlen terület 726</t>
  </si>
  <si>
    <t>Beépítetlen terület 3188</t>
  </si>
  <si>
    <t>Beépítetlen terület 3189</t>
  </si>
  <si>
    <t>Saját használatú út 013</t>
  </si>
  <si>
    <t>Idősek klubja föld Kóvári út3  177</t>
  </si>
  <si>
    <t>MKGSZSZ Nyírjesi üdülő földterület</t>
  </si>
  <si>
    <t>Busz pu terület</t>
  </si>
  <si>
    <t>Beépítetlen ingatlan</t>
  </si>
  <si>
    <t>Mikszáth utca 25 807</t>
  </si>
  <si>
    <t>Temető 1048</t>
  </si>
  <si>
    <t>Temető 1049</t>
  </si>
  <si>
    <t>Temető 1050</t>
  </si>
  <si>
    <t>Beépítetlen terület 1338</t>
  </si>
  <si>
    <t>Beépítetlen</t>
  </si>
  <si>
    <t>Rákóczi út 50 lakóház udvar</t>
  </si>
  <si>
    <t>Kóvár közterület</t>
  </si>
  <si>
    <t>Böjtös S.u.                 3075</t>
  </si>
  <si>
    <t>Bástya u.                   656</t>
  </si>
  <si>
    <t>Báthori I.u.                1281</t>
  </si>
  <si>
    <t>Damjanich u.                2299</t>
  </si>
  <si>
    <t>Damjanich u.                2687</t>
  </si>
  <si>
    <t>Daróczi G.u.                2400</t>
  </si>
  <si>
    <t>Deák F.u.                   1602</t>
  </si>
  <si>
    <t>Domb u.                     2466</t>
  </si>
  <si>
    <t>Dózsa Gy.u.                 1356</t>
  </si>
  <si>
    <t>Erkel F.u.                  1891</t>
  </si>
  <si>
    <t>Fenyves u.                  5109</t>
  </si>
  <si>
    <t>Fenyves u.                  9033</t>
  </si>
  <si>
    <t>Fráter E.u.                 2952</t>
  </si>
  <si>
    <t>Fáy András u.               2160</t>
  </si>
  <si>
    <t>Jószív u.                   856</t>
  </si>
  <si>
    <t>Jószív u.                   1023</t>
  </si>
  <si>
    <t>József A.u.                 1622</t>
  </si>
  <si>
    <t>Kandó K.u.                  2019</t>
  </si>
  <si>
    <t>Kandó K.u.                  2092</t>
  </si>
  <si>
    <t>Kertész u.                  419</t>
  </si>
  <si>
    <t>Klapka Gy.u.                2317</t>
  </si>
  <si>
    <t>Klapka Gy.u.                2575</t>
  </si>
  <si>
    <t>Klapka Gy.u.                2520</t>
  </si>
  <si>
    <t>Kodály u.                   3063</t>
  </si>
  <si>
    <t>Kodály u.                   2863</t>
  </si>
  <si>
    <t>Kolozsvári u.               2368</t>
  </si>
  <si>
    <t>Kolozsvári u.               2411</t>
  </si>
  <si>
    <t>Komjáthy J.u.               2897</t>
  </si>
  <si>
    <t>Kölcsey F.u.                1950</t>
  </si>
  <si>
    <t>Kölcsey F.u.                2252</t>
  </si>
  <si>
    <t>Köz u.                      576</t>
  </si>
  <si>
    <t>Köztársaság tér             16</t>
  </si>
  <si>
    <t>Köztársaság tér             442</t>
  </si>
  <si>
    <t>Köztársaság tér             443</t>
  </si>
  <si>
    <t>Külterület                  050</t>
  </si>
  <si>
    <t>Külterület                  053</t>
  </si>
  <si>
    <t>Külterület                  062</t>
  </si>
  <si>
    <t>Külterület                  063</t>
  </si>
  <si>
    <t>Külterület                  074</t>
  </si>
  <si>
    <t>Külterület                  077</t>
  </si>
  <si>
    <t>Külterület                  086</t>
  </si>
  <si>
    <t>Külterület                  091</t>
  </si>
  <si>
    <t>Külterület                  094</t>
  </si>
  <si>
    <t>Külterület                  0104</t>
  </si>
  <si>
    <t>Kócsag u.                   5191</t>
  </si>
  <si>
    <t>Kóvári u.                   176</t>
  </si>
  <si>
    <t>Kóvári u.                   293</t>
  </si>
  <si>
    <t>Kóvári u.                   296</t>
  </si>
  <si>
    <t>Kóvári u.                   354</t>
  </si>
  <si>
    <t>Kóvári u.                   336</t>
  </si>
  <si>
    <t>Ligeti Lajos u.             218</t>
  </si>
  <si>
    <t>Ligeti Lajos u.             331</t>
  </si>
  <si>
    <t>Losonci u.                  1096</t>
  </si>
  <si>
    <t>Losonci u.                  1098</t>
  </si>
  <si>
    <t>Luther u.                   1562</t>
  </si>
  <si>
    <t>Madách I.u.                 477</t>
  </si>
  <si>
    <t>Mauks Ilona u.              2962</t>
  </si>
  <si>
    <t>Mikszáth K.u.               695</t>
  </si>
  <si>
    <t>Mikszáth K.u.               727</t>
  </si>
  <si>
    <t>Mikszáth K.u.               734</t>
  </si>
  <si>
    <t>Mikszáth K.u.               817</t>
  </si>
  <si>
    <t>Mikó Z.u.                   2058</t>
  </si>
  <si>
    <t>Munkás u.                   1009</t>
  </si>
  <si>
    <t>Május 1.u.                  3121</t>
  </si>
  <si>
    <t>Május 1.u.                  2837</t>
  </si>
  <si>
    <t>Május 1.u.                  1874</t>
  </si>
  <si>
    <t>Mártírok u.                 2281</t>
  </si>
  <si>
    <t>Móra F.u.                   2804</t>
  </si>
  <si>
    <t>Névtelen u.                 2122</t>
  </si>
  <si>
    <t>Névtelen u.                 300</t>
  </si>
  <si>
    <t>Névtelen u.                 382</t>
  </si>
  <si>
    <t>Névtelen u.                 96</t>
  </si>
  <si>
    <t>Névtelen u.                 98</t>
  </si>
  <si>
    <t>Névtelen u.                 2926</t>
  </si>
  <si>
    <t>Névtelen u.                 375</t>
  </si>
  <si>
    <t>Névtelen u.                 1973</t>
  </si>
  <si>
    <t>Névtelen u.                 1975</t>
  </si>
  <si>
    <t>Névtelen u.                 1970</t>
  </si>
  <si>
    <t>Névtelen u.                 1047</t>
  </si>
  <si>
    <t>Névtelen u.                 1494</t>
  </si>
  <si>
    <t>Orgona u.                   311</t>
  </si>
  <si>
    <t>Pajor I.u.                  2976</t>
  </si>
  <si>
    <t>Palóc liget bekötő u.       34</t>
  </si>
  <si>
    <t>Palóc liget bekötő u.       47</t>
  </si>
  <si>
    <t>Palóc liget bekötő u.       19</t>
  </si>
  <si>
    <t>Petőfi S.u.                 81</t>
  </si>
  <si>
    <t>Szontágh P.u.               1136</t>
  </si>
  <si>
    <t>Széchenyi I.u.              166</t>
  </si>
  <si>
    <t>Teleki L.u.                 1567</t>
  </si>
  <si>
    <t>Temető u.                   1745</t>
  </si>
  <si>
    <t>Thököly u.                  1460</t>
  </si>
  <si>
    <t>Tihanyi u.                  1930</t>
  </si>
  <si>
    <t>Tompa M.u.                  1941</t>
  </si>
  <si>
    <t>Tompa M.u.                  2268</t>
  </si>
  <si>
    <t>Trikál J.u.                 155</t>
  </si>
  <si>
    <t>Trikál J.u.                 198</t>
  </si>
  <si>
    <t>Trikál J.u.                 267</t>
  </si>
  <si>
    <t>Trikál J.u.                 122</t>
  </si>
  <si>
    <t>Töltés u.                   5103</t>
  </si>
  <si>
    <t>Tábor u.                    5113</t>
  </si>
  <si>
    <t>Táncsics M.u.               3048</t>
  </si>
  <si>
    <t>Tátra u.                    1802</t>
  </si>
  <si>
    <t>Vak Bottyán u.              2641</t>
  </si>
  <si>
    <t>Közter.Szügyi tér páros o.  1974</t>
  </si>
  <si>
    <t>Közter. Kóvár               5042</t>
  </si>
  <si>
    <t>Közter. Nyirjes             5115</t>
  </si>
  <si>
    <t>Közter. Mikszáth 21         804</t>
  </si>
  <si>
    <t>Bajcsy u.8.      1614</t>
  </si>
  <si>
    <t>Madách út</t>
  </si>
  <si>
    <t>Móricz Zs.lakótelep</t>
  </si>
  <si>
    <t>Algőver út</t>
  </si>
  <si>
    <t>Bajcsy-Zs. út 16    1634</t>
  </si>
  <si>
    <t>Kóvár</t>
  </si>
  <si>
    <t>Arany J. út trafóház</t>
  </si>
  <si>
    <t>Táncsics M.közterület</t>
  </si>
  <si>
    <t>Belt. 5030</t>
  </si>
  <si>
    <t>Belt. 5035</t>
  </si>
  <si>
    <t>Ipolypart</t>
  </si>
  <si>
    <t>Szerb út</t>
  </si>
  <si>
    <t>Vár út</t>
  </si>
  <si>
    <t>Rákóczi út 62</t>
  </si>
  <si>
    <t>Árpád út 5</t>
  </si>
  <si>
    <t>Árpád út</t>
  </si>
  <si>
    <t>Régimalom út</t>
  </si>
  <si>
    <t>Jószív út 59</t>
  </si>
  <si>
    <t xml:space="preserve">Mikszáth Kálmán 25. </t>
  </si>
  <si>
    <t>Déli elkerülő I. ütem</t>
  </si>
  <si>
    <t>Török Ignác-Percel Mór utcában telek több hrsz</t>
  </si>
  <si>
    <t>Kóvári út 13. Tenisz pálya</t>
  </si>
  <si>
    <t>Kóvári út Nagypálya</t>
  </si>
  <si>
    <t xml:space="preserve">Nádor út </t>
  </si>
  <si>
    <t>Bgy Kóvári út Kemping</t>
  </si>
  <si>
    <t xml:space="preserve">Vízmű földterület Önkormányzati rész </t>
  </si>
  <si>
    <t>Rivál Mix Rákóczi 48</t>
  </si>
  <si>
    <t>Pedagógiai Intézet  Ady E 27</t>
  </si>
  <si>
    <t>Mozi  Bajcsy-Zs u. 9  1614</t>
  </si>
  <si>
    <t>Vöröskereszt Baltik F. u. 10</t>
  </si>
  <si>
    <t>Verner Istvánné Kossuth út 1.</t>
  </si>
  <si>
    <t>Üzlethelység Kossuth út 1</t>
  </si>
  <si>
    <t>Gondoskodás Közhasznú E. Kossuth út 1</t>
  </si>
  <si>
    <t>Nógrádker Rt Kossuth út 1</t>
  </si>
  <si>
    <t>Dr. Majoros Ferenc Kossuth út 1</t>
  </si>
  <si>
    <t>Kámea Kft Kossuth út 1</t>
  </si>
  <si>
    <t>Széchenyi Program Ir. NonPrf Kft Kossuth út 1</t>
  </si>
  <si>
    <t>Hrubecs Műszaki Kossuth út 1</t>
  </si>
  <si>
    <t>Lénárd Viktor Civitas Fortissima tér 3</t>
  </si>
  <si>
    <t>Bgy Kistérség Többcélú Társ. Rákóczi út 18</t>
  </si>
  <si>
    <t>Bgy Kistérség Többcélú Társ. Rákóczi 16</t>
  </si>
  <si>
    <t>Üres      Rákóczi út 18</t>
  </si>
  <si>
    <t>Lardi Hardi Kft Rákóczi út 18</t>
  </si>
  <si>
    <t>Rainbow Üzlet. Kft Könyvesbolt Rákóczi út 25</t>
  </si>
  <si>
    <t>Alkotóház Rákóczi út 27</t>
  </si>
  <si>
    <t>Roma Nemzetiségi Önk. Rákóczi út 33</t>
  </si>
  <si>
    <t>Madách út 1 503</t>
  </si>
  <si>
    <t>Volt Megyeháza fő épület 445</t>
  </si>
  <si>
    <t>Volt Megyeháza raktár 445</t>
  </si>
  <si>
    <t>Szondi Gy. Bercsényi út 2  440</t>
  </si>
  <si>
    <t>Szondi Gy. Büfé  440</t>
  </si>
  <si>
    <t>Csónakház 5104</t>
  </si>
  <si>
    <t>Nyírjes WC 5104</t>
  </si>
  <si>
    <t>Telefonfülke Klapka út 2520</t>
  </si>
  <si>
    <t>Polgármesteri Hivatal kerítés</t>
  </si>
  <si>
    <t>Madách út 1 kerítés</t>
  </si>
  <si>
    <t>Szabadtéri színpad kerítés</t>
  </si>
  <si>
    <t>Szökőkút   Tornyai Endre Díszkút</t>
  </si>
  <si>
    <t>Volt Megyeháza  445</t>
  </si>
  <si>
    <t>Földgáz ellátóvezeték Semmelweis u.</t>
  </si>
  <si>
    <t>Földgáz ellátóvezeték szennyvízt.</t>
  </si>
  <si>
    <t>Földgáz ellátóvezeték Rákóczi 76-80</t>
  </si>
  <si>
    <t>Földgáz ellátóvezeték Aradi út</t>
  </si>
  <si>
    <t>Palóc Liget szökőkút</t>
  </si>
  <si>
    <t>Szerszámos kamra Nyírjes</t>
  </si>
  <si>
    <t>Csónak ház Nyírjes</t>
  </si>
  <si>
    <t>Nyilvános WC</t>
  </si>
  <si>
    <t>Ligetbejáró           53</t>
  </si>
  <si>
    <t>Honvéd út             66</t>
  </si>
  <si>
    <t>Petőfi út             81</t>
  </si>
  <si>
    <t>Hősök tere            96</t>
  </si>
  <si>
    <t>Hősök tere            98</t>
  </si>
  <si>
    <t>Nagy Iván út          123</t>
  </si>
  <si>
    <t>Zrínyi út             136</t>
  </si>
  <si>
    <t>Széchenyi út          166</t>
  </si>
  <si>
    <t>Szondi út             199</t>
  </si>
  <si>
    <t>Ligeti Lajos út       218</t>
  </si>
  <si>
    <t>Akácfa út             219</t>
  </si>
  <si>
    <t>Hársfa út             234</t>
  </si>
  <si>
    <t>Hajós A. út           238</t>
  </si>
  <si>
    <t>Bekötő út             300</t>
  </si>
  <si>
    <t>Orgona út             311</t>
  </si>
  <si>
    <t>Rozmaring út          322</t>
  </si>
  <si>
    <t>Algőver M. út         329</t>
  </si>
  <si>
    <t>Nádor út mellett      375</t>
  </si>
  <si>
    <t>Horgász tanya mögött  382</t>
  </si>
  <si>
    <t>Nádor út              418</t>
  </si>
  <si>
    <t>Kertész út            419</t>
  </si>
  <si>
    <t>Bercsényi út          449</t>
  </si>
  <si>
    <t>Madách út             477</t>
  </si>
  <si>
    <t>Szabó L.út            512</t>
  </si>
  <si>
    <t>Semmelweis út         860</t>
  </si>
  <si>
    <t>Temető mögötti út     1047</t>
  </si>
  <si>
    <t>Jókai út              1076</t>
  </si>
  <si>
    <t>Arany J. út           1097</t>
  </si>
  <si>
    <t>Áchim A út            1280</t>
  </si>
  <si>
    <t>Báthory út            1281</t>
  </si>
  <si>
    <t>Homok út              1304</t>
  </si>
  <si>
    <t>Dózsa Gy. út          1356</t>
  </si>
  <si>
    <t>Hunyadi út járda      1402</t>
  </si>
  <si>
    <t>Baltik F. út          1476</t>
  </si>
  <si>
    <t>Hunyadi út            1419</t>
  </si>
  <si>
    <t>Thököly út            1460</t>
  </si>
  <si>
    <t>Baltik F. út járda    1494</t>
  </si>
  <si>
    <t>Balassa út            1543</t>
  </si>
  <si>
    <t>Luther út             1562</t>
  </si>
  <si>
    <t>Viola út              2228</t>
  </si>
  <si>
    <t>Mártírok útja         2281</t>
  </si>
  <si>
    <t>Baross G. út          2282</t>
  </si>
  <si>
    <t>Batthyány út          2498</t>
  </si>
  <si>
    <t>Algőver út            2633</t>
  </si>
  <si>
    <t>Vak Bottyán út        2641</t>
  </si>
  <si>
    <t>Önkormányzati út      2787</t>
  </si>
  <si>
    <t>Radnóti út            2864</t>
  </si>
  <si>
    <t>Jópalócok összekötö   2926</t>
  </si>
  <si>
    <t>Jópalócok összekötő   2942</t>
  </si>
  <si>
    <t>Fráter E. út          2952</t>
  </si>
  <si>
    <t>Mauks Ilona út        2962</t>
  </si>
  <si>
    <t>Pajor I út            2976</t>
  </si>
  <si>
    <t>Balázsik K út         2996</t>
  </si>
  <si>
    <t>Jeszenszki út         3022</t>
  </si>
  <si>
    <t>Szabó Püspök út       3123</t>
  </si>
  <si>
    <t>Zeke K. út            3131</t>
  </si>
  <si>
    <t>Külter. 8709</t>
  </si>
  <si>
    <t>Külter. 8732</t>
  </si>
  <si>
    <t>Külter. 9033</t>
  </si>
  <si>
    <t>Sétány</t>
  </si>
  <si>
    <t>Gyalog út</t>
  </si>
  <si>
    <t>ATI tanpálya</t>
  </si>
  <si>
    <t>Rákóczi út 1</t>
  </si>
  <si>
    <t>Dózsa Gy. út</t>
  </si>
  <si>
    <t>Ó utca</t>
  </si>
  <si>
    <t>Gárdonyi út</t>
  </si>
  <si>
    <t>Petőfi Sándor Általános Iskola Könyvt</t>
  </si>
  <si>
    <t>Petőfi Sándor Általános Iskola</t>
  </si>
  <si>
    <t>Szondi Gy Szak. Rákóczi út 8</t>
  </si>
  <si>
    <t>Vizesblokk Káptalanfüred</t>
  </si>
  <si>
    <t>Nyugat Nógrádi Vízmű Kft</t>
  </si>
  <si>
    <t>Kóvári Ivóvíz hálózat</t>
  </si>
  <si>
    <t>Rózsvölgyi Márk Zeneiskola</t>
  </si>
  <si>
    <t>Jókai út játszótér</t>
  </si>
  <si>
    <t>Hősök tere</t>
  </si>
  <si>
    <t>Járda 1587</t>
  </si>
  <si>
    <t>Szügyi tér</t>
  </si>
  <si>
    <t>Árok 5192</t>
  </si>
  <si>
    <t>Árok 03</t>
  </si>
  <si>
    <t>Közút 0159</t>
  </si>
  <si>
    <t>Árok 0192</t>
  </si>
  <si>
    <t>Árok 0197</t>
  </si>
  <si>
    <t>Jószív utca             865</t>
  </si>
  <si>
    <t>Losonci út              1096</t>
  </si>
  <si>
    <t>Losonci út              1098</t>
  </si>
  <si>
    <t>Aradi út                1778</t>
  </si>
  <si>
    <t>Aradi út                1772</t>
  </si>
  <si>
    <t>Böjtös út               3075</t>
  </si>
  <si>
    <t>Váci M. út              3098</t>
  </si>
  <si>
    <t>Böjtös mögötti önk.út   3064</t>
  </si>
  <si>
    <t>Bartók B.út             2898</t>
  </si>
  <si>
    <t>Bartók B.út             2817</t>
  </si>
  <si>
    <t>Móra F.út                  2804</t>
  </si>
  <si>
    <t>Daróczi G.út             2400</t>
  </si>
  <si>
    <t>Kolozsvári út            2368</t>
  </si>
  <si>
    <t>Kolozsvári út            2411</t>
  </si>
  <si>
    <t>Rózsa út                 2609</t>
  </si>
  <si>
    <t>Rózsa út                 2636</t>
  </si>
  <si>
    <t>Kodály Z.út               2863</t>
  </si>
  <si>
    <t>Kodály Z.út               3063</t>
  </si>
  <si>
    <t>Komjáthy út               2897</t>
  </si>
  <si>
    <t>Gárdonyi G.út             2990</t>
  </si>
  <si>
    <t>Kóvári úti járda         176</t>
  </si>
  <si>
    <t>Kóvári úti járda         293</t>
  </si>
  <si>
    <t>Kóvári úti járda         296</t>
  </si>
  <si>
    <t>Kóvári úti járda         354</t>
  </si>
  <si>
    <t>Rákóczi úti járda        511</t>
  </si>
  <si>
    <t>Rákóczi úti járda        513</t>
  </si>
  <si>
    <t>Mikszáth parkoló           804</t>
  </si>
  <si>
    <t>Nyírjesi úti buszmegálló</t>
  </si>
  <si>
    <t>Névtelen u. 5051</t>
  </si>
  <si>
    <t>Homoki szőlő 8405</t>
  </si>
  <si>
    <t>Külterületi közút 062</t>
  </si>
  <si>
    <t>Külterületi közút 074</t>
  </si>
  <si>
    <t>Külterületi közút 080</t>
  </si>
  <si>
    <t>Külterületi közút 086</t>
  </si>
  <si>
    <t>Külterületi közút 094</t>
  </si>
  <si>
    <t>Belterületi lakóút 2787</t>
  </si>
  <si>
    <t>Közpark(Madách szobor) 444</t>
  </si>
  <si>
    <t>Petőfi S. Kisegítő Ált.Isk. 1496</t>
  </si>
  <si>
    <t>Játszótér építés AGROPAC játékok 40 db</t>
  </si>
  <si>
    <t>Busz pályaudvar bekötőút 726</t>
  </si>
  <si>
    <t>Felsőmalom út</t>
  </si>
  <si>
    <t>Nyírjesi tó rekontr. 5104</t>
  </si>
  <si>
    <t>Hősi temető 1049</t>
  </si>
  <si>
    <t>Busz pályaudvar parkoló 3193</t>
  </si>
  <si>
    <t>Városi temető 1060</t>
  </si>
  <si>
    <t>Ipoly Áruház forgalomelt.oszl. 1527</t>
  </si>
  <si>
    <t>Nyírjes üdülő 5110  Kábel</t>
  </si>
  <si>
    <t>Antennaárboc 1629 József A. 3.</t>
  </si>
  <si>
    <t>Átvett állami út 1613</t>
  </si>
  <si>
    <t>Játékvár Óvoda B ép.Ifjúság u. 2.  2007</t>
  </si>
  <si>
    <t>Bercsényi út 2. 440</t>
  </si>
  <si>
    <t>Széntároló Ifjúság úti Iskola 2008</t>
  </si>
  <si>
    <t>Kerítés Ifjúság út 2. 2008</t>
  </si>
  <si>
    <t>Politechnika terem Ifjúság út 2 2008</t>
  </si>
  <si>
    <t>Idősek klubja épület  177</t>
  </si>
  <si>
    <t>Idősek klubja garázs  177</t>
  </si>
  <si>
    <t>Önkorm.lakás Kossuth L.u.39. 4db</t>
  </si>
  <si>
    <t>Önkorm.lakás Kossuth L.u.68. 1db</t>
  </si>
  <si>
    <t>Önkorm.lakás Kóvári u.7. 8db</t>
  </si>
  <si>
    <t>Önkorm.lakás Madách l.2. 3db</t>
  </si>
  <si>
    <t>Önkorm.lakás Madách l.3. 1db</t>
  </si>
  <si>
    <t>Önkorm.lakás Madách l.9. 2db</t>
  </si>
  <si>
    <t>Önkorm.lakás Madách l.10. 4db</t>
  </si>
  <si>
    <t>Önkorm.lakás Madách l.11. 3db</t>
  </si>
  <si>
    <t>Önkorm.lakás Madách l.14. 3db</t>
  </si>
  <si>
    <t>Önkorm.lakás Madách l.17. 3db</t>
  </si>
  <si>
    <t>Önkorm.lakás Móricz Zs.u.8. 1db</t>
  </si>
  <si>
    <t>Önkorm.lakás Móricz Zs.u.3. 3db</t>
  </si>
  <si>
    <t>Önkorm.lakás Móricz Zs.u.7. 1db</t>
  </si>
  <si>
    <t>Önkorm.lakás Móricz Zs.u.9. 2db</t>
  </si>
  <si>
    <t>Önkorm.lakás Óváros tér 4. 2db</t>
  </si>
  <si>
    <t>Önkorm.lakás Óváros tér 12. 2db</t>
  </si>
  <si>
    <t>Önkorm.lakás Patvarci u.1. 5db</t>
  </si>
  <si>
    <t>Önkorm.lakás Rákóczi út 7. 3db</t>
  </si>
  <si>
    <t>Önkorm.lakás Rákóczi út 9. 4db</t>
  </si>
  <si>
    <t>Önkorm.lakás Rákóczi út 23. 2db</t>
  </si>
  <si>
    <t>Önkorm.lakás Rákóczi út 25. 2db</t>
  </si>
  <si>
    <t>Önkorm.lakás Rákóczi út 27. 5db</t>
  </si>
  <si>
    <t>Önkorm.lakás Rákóczi út 85. 2db</t>
  </si>
  <si>
    <t>Önkorm.lakás Rákóczi út 123. 1db</t>
  </si>
  <si>
    <t>Önkorm.lakás Rozmaring u.11. 2db</t>
  </si>
  <si>
    <t>Önkorm.lakás Szabó Lőrinc u.14. 4db</t>
  </si>
  <si>
    <t>Önkorm.lakás Szabó püspök u.30-31. 4db</t>
  </si>
  <si>
    <t>Önkorm.lakás Móricz Zs.u.4. 1db</t>
  </si>
  <si>
    <t>Önkorm.lakás Régi út 16. 2db</t>
  </si>
  <si>
    <t>Önkorm.lakás Régi út 18. 2db</t>
  </si>
  <si>
    <t>MKGSZSZ "A"épület</t>
  </si>
  <si>
    <t>MKGSZSZ Kazánház</t>
  </si>
  <si>
    <t>MKGSZSZ Sportterem</t>
  </si>
  <si>
    <t>MKGSZSZ Tornaöltöző</t>
  </si>
  <si>
    <t>MKGSZSZ Könyvtár</t>
  </si>
  <si>
    <t>MKGSZSZ Tanhúsbolt</t>
  </si>
  <si>
    <t>MKGSZSZ Gyakkonyha Bgy, Bajcsy Zs.u.14.</t>
  </si>
  <si>
    <t>MKGSZSZ Tanáruház</t>
  </si>
  <si>
    <t>MKGSZSZ "B" épület</t>
  </si>
  <si>
    <t>MKGSZSZ Kerítés Bgy, Hétvezér út 26.</t>
  </si>
  <si>
    <t>MKGSZSZ Sportpálya kerítés</t>
  </si>
  <si>
    <t>Köztársaság tér 3. Kiss Á. 17 Hrsz</t>
  </si>
  <si>
    <t>Központi Konyha Bajcsy út 14.</t>
  </si>
  <si>
    <t>Thököly u.35. Hajléktatlan szálló</t>
  </si>
  <si>
    <t>Dózsa Iskola selejt raktár</t>
  </si>
  <si>
    <t>Gamesz műhely Szondi 13.  202</t>
  </si>
  <si>
    <t>Gamesz raktár Szondi 17.  202</t>
  </si>
  <si>
    <t>Gamesz vízóra akna Szondi 17. 202</t>
  </si>
  <si>
    <t>Tanműhely Szondi 19.  202</t>
  </si>
  <si>
    <t>BBG lakás Deák F. út</t>
  </si>
  <si>
    <t>Mélyfúrású kút 15.sz.</t>
  </si>
  <si>
    <t>Rendelőintézet felújítás ÉMOP4.2.1</t>
  </si>
  <si>
    <t>Káptalanfüredi tábor</t>
  </si>
  <si>
    <t>Csatlakozási pont DELPHI</t>
  </si>
  <si>
    <t>Bobula ház 870</t>
  </si>
  <si>
    <t>Térségi szennyvízcsatorna Balassagyarmat</t>
  </si>
  <si>
    <t>Hulladéklerakó Nógrádmarcal</t>
  </si>
  <si>
    <t>Külterületi közút 0104</t>
  </si>
  <si>
    <t>Külterületi közút 0105</t>
  </si>
  <si>
    <t>Külterületi közút 0114</t>
  </si>
  <si>
    <t>Külterületi közút 0120</t>
  </si>
  <si>
    <t>Külterületi közút 0122</t>
  </si>
  <si>
    <t>Külterületi közút 0124</t>
  </si>
  <si>
    <t>Külterületi közút 0129</t>
  </si>
  <si>
    <t>Külterületi közút 0131</t>
  </si>
  <si>
    <t>Külterületi közút 0132</t>
  </si>
  <si>
    <t>Külterületi közút 0134</t>
  </si>
  <si>
    <t>Külterületi közút 0136</t>
  </si>
  <si>
    <t>Külterületi közút 0139</t>
  </si>
  <si>
    <t>Külterületi közút 0141</t>
  </si>
  <si>
    <t>Külterületi közút 0157</t>
  </si>
  <si>
    <t>Külterületi közút 0162</t>
  </si>
  <si>
    <t>Külterületi közút 0170</t>
  </si>
  <si>
    <t>Külterületi közút 0171</t>
  </si>
  <si>
    <t>Külterületi közút 0173</t>
  </si>
  <si>
    <t>Külterületi közút 0184</t>
  </si>
  <si>
    <t>Külterületi közút 0191</t>
  </si>
  <si>
    <t>Külterületi közút 053</t>
  </si>
  <si>
    <t>Agárd Gárdony üdülő 6396</t>
  </si>
  <si>
    <t>Pagoda Nyírjes 9003</t>
  </si>
  <si>
    <t>Tanáruház Bajcsy út 1630</t>
  </si>
  <si>
    <t>Szondi Szki "B"épület</t>
  </si>
  <si>
    <t>Szondi Szki "A"épület</t>
  </si>
  <si>
    <t>Szondi Szki Faipari Tanműhely</t>
  </si>
  <si>
    <t>Szondi Szki Faipari Tanm.Szoc.blokk</t>
  </si>
  <si>
    <t>Szondi Szki Építőipari Tanműhely</t>
  </si>
  <si>
    <t>Szondi Szki Építőip.Tanm. Szoc.blokk</t>
  </si>
  <si>
    <t>Szondi Szki Hegesztő Tanműhely</t>
  </si>
  <si>
    <t>Szondi Szki Ács Tanműhely</t>
  </si>
  <si>
    <t>MIK Épületfelú.Kazán,Konyha,Üvegfal,Tető</t>
  </si>
  <si>
    <t>MIK Mosó-,szárító, vasaló kialakítása</t>
  </si>
  <si>
    <t>Madách Imre Kollégium Épület</t>
  </si>
  <si>
    <t>Önkorm.lakás Arany J.u.5-7. 1db</t>
  </si>
  <si>
    <t>Önkorm.lakás Dózsa Gy.u.2. 4db</t>
  </si>
  <si>
    <t>Önkorm.lakás Dózsa Gy.u.39. 11db</t>
  </si>
  <si>
    <t>Önkorm.lakás Deák F.u.3. 2db</t>
  </si>
  <si>
    <t>Önkorm.lakás Bajcsy Zs.u.9. 6db</t>
  </si>
  <si>
    <t>Önkorm.lakás Baltik F.u.8. 4db</t>
  </si>
  <si>
    <t>Önkorm.lakás Baltik F.u.9. 1db</t>
  </si>
  <si>
    <t>Önkorm.lakás Bástya u.8. 1db</t>
  </si>
  <si>
    <t>Önkorm.lakás Jókai u.2-8. 1db</t>
  </si>
  <si>
    <t>Önkorm.lakás Kossuth L.u.1. 1db</t>
  </si>
  <si>
    <t>Önkorm.lakás Kossuth L.u.18. 1db</t>
  </si>
  <si>
    <t>Önkorm.lakás Kossuth L.u.35. 4db</t>
  </si>
  <si>
    <t>Önkorm.lakás Szondi út 13. 2db</t>
  </si>
  <si>
    <t>Önkorm.lakás Szontágh P.u.12. 1db</t>
  </si>
  <si>
    <t>Önkorm.lakás Temető u.27. 2db</t>
  </si>
  <si>
    <t>Önkorm.lakás Szent Imre u.1. 5db</t>
  </si>
  <si>
    <t>Önkorm.lakás Zichy u.7. 2db</t>
  </si>
  <si>
    <t>Önkorm.lakás Vizy Zs.u.20. 1db</t>
  </si>
  <si>
    <t>Önkorm.lakás Rákóczi út 31. 1db</t>
  </si>
  <si>
    <t>Önkorm.lakás Madách l.1. 4db</t>
  </si>
  <si>
    <t>Önkorm.lakás Patvarci u.20.fsz.1.</t>
  </si>
  <si>
    <t>Önkorm.lakás Patvarci u.20.fsz.2.</t>
  </si>
  <si>
    <t>Önkorm.lakás Patvarci u.20.tt.7.</t>
  </si>
  <si>
    <t>Önkorm.lakás Patvarci u.20.tt.8.</t>
  </si>
  <si>
    <t>Önkorm.lakás Patvarci u.20.tt.9.</t>
  </si>
  <si>
    <t>Önkorm.lakás Patvarci u.20.tt.10.</t>
  </si>
  <si>
    <t>Önkorm.lakás Bajcsy Zs.u.8. 1db</t>
  </si>
  <si>
    <t>Önkorm.lakás Kóvári út 30. 3db</t>
  </si>
  <si>
    <t>WC Palóc liget</t>
  </si>
  <si>
    <t>Dögkút Szabadság út</t>
  </si>
  <si>
    <t>Szondi Gy. Faház Régimalom út</t>
  </si>
  <si>
    <t>Stég Káptalanfüred</t>
  </si>
  <si>
    <t>Vendégház Káptalanfüred</t>
  </si>
  <si>
    <t>Főépület Káptalanfüred</t>
  </si>
  <si>
    <t>Térburkolat , zászlótartó Káptalanf.</t>
  </si>
  <si>
    <t>Palóc liget szökőkút</t>
  </si>
  <si>
    <t>Palóc liget vízvezeték</t>
  </si>
  <si>
    <t>Megyeháza földalatti folyosó</t>
  </si>
  <si>
    <t>Nyírjes VII. tó zsilip 5104</t>
  </si>
  <si>
    <t>Madách út Autóbusz váró 505</t>
  </si>
  <si>
    <t>Önkormányzati csapadék csatornák</t>
  </si>
  <si>
    <t>Nyírjesi tó építmény 5104</t>
  </si>
  <si>
    <t>Járda Május 1 út 3121</t>
  </si>
  <si>
    <t>Járda Böjtös út       3075</t>
  </si>
  <si>
    <t>Buszmegálló öblök</t>
  </si>
  <si>
    <t>Ligetbejáró           10</t>
  </si>
  <si>
    <t>Ligetbejáró           19</t>
  </si>
  <si>
    <t>Ligetbejáró           34</t>
  </si>
  <si>
    <t>Ligetbejáró           47</t>
  </si>
  <si>
    <t>MKGSZSZ Nyírjes üdülő</t>
  </si>
  <si>
    <t>Szakképzőhely Szondi út TISZK</t>
  </si>
  <si>
    <t>Szakképzőhely II Szondi</t>
  </si>
  <si>
    <t>Zichy út              547</t>
  </si>
  <si>
    <t>Zsák út               565</t>
  </si>
  <si>
    <t>Óváros tér            571</t>
  </si>
  <si>
    <t>Vasudvar köz          576</t>
  </si>
  <si>
    <t>Ó út                  617</t>
  </si>
  <si>
    <t>Vár út                626</t>
  </si>
  <si>
    <t>Bástya út             656</t>
  </si>
  <si>
    <t>Ipoly út              671</t>
  </si>
  <si>
    <t>Ipolyjáró út          708</t>
  </si>
  <si>
    <t>Árpád út              783</t>
  </si>
  <si>
    <t>Móricz Zs. út         962</t>
  </si>
  <si>
    <t>Munkás út             1009</t>
  </si>
  <si>
    <t>Szontágh járda parkoló1136</t>
  </si>
  <si>
    <t>Teleki út             1567</t>
  </si>
  <si>
    <t>Gimnázium köz         1601</t>
  </si>
  <si>
    <t>Deák F. út            1602</t>
  </si>
  <si>
    <t>József A. út          1622</t>
  </si>
  <si>
    <t>Szent Imre út         1639</t>
  </si>
  <si>
    <t>Vizy Zs út            1708</t>
  </si>
  <si>
    <t>Szent István út       1709</t>
  </si>
  <si>
    <t>Temető út             1745</t>
  </si>
  <si>
    <t>Tátra út              1802</t>
  </si>
  <si>
    <t>Rózsavölgyi M. út     1873</t>
  </si>
  <si>
    <t>Erkel F. út           1891</t>
  </si>
  <si>
    <t>Tihanyi út            1930</t>
  </si>
  <si>
    <t>Vörösmarty út         1951</t>
  </si>
  <si>
    <t>Attila út             1959</t>
  </si>
  <si>
    <t>Ifjúság út            2018</t>
  </si>
  <si>
    <t>Mikó Z. út            2058</t>
  </si>
  <si>
    <t>Bem J. út             2135</t>
  </si>
  <si>
    <t>Fáy András út         2160</t>
  </si>
  <si>
    <t>Önkormányzati út      3168</t>
  </si>
  <si>
    <t>Önkormányzati út Nyírjes 5103</t>
  </si>
  <si>
    <t>Önkormányzati út Nyírjes 5109</t>
  </si>
  <si>
    <t>Önkormányzati út Nyírjes 5113</t>
  </si>
  <si>
    <t>Önkormányzati út Nyírjes 5131</t>
  </si>
  <si>
    <t>Önkormányzati út Nyírjes 5191</t>
  </si>
  <si>
    <t>Új út Kóvár</t>
  </si>
  <si>
    <t>Külter. 018</t>
  </si>
  <si>
    <t>Külter. 50</t>
  </si>
  <si>
    <t>Külter. 53</t>
  </si>
  <si>
    <t>Külter. 63</t>
  </si>
  <si>
    <t>Külter. 77</t>
  </si>
  <si>
    <t>Külter. 80</t>
  </si>
  <si>
    <t>Külter. 91</t>
  </si>
  <si>
    <t>Külter. 122</t>
  </si>
  <si>
    <t>Külter. 136</t>
  </si>
  <si>
    <t>Külter. 352</t>
  </si>
  <si>
    <t>Külter. 438</t>
  </si>
  <si>
    <t>Kecske liget</t>
  </si>
  <si>
    <t>Mártirok út játszó tér</t>
  </si>
  <si>
    <t>Köztársaság tér</t>
  </si>
  <si>
    <t>Köztársaság tér zöld terület</t>
  </si>
  <si>
    <t>Palóc liget</t>
  </si>
  <si>
    <t>Szerencsejáték Rt Rákóczi út 23</t>
  </si>
  <si>
    <t>Köztársaság tér 7</t>
  </si>
  <si>
    <t>Baltik Frigyes út 8</t>
  </si>
  <si>
    <t>Dejtár CRYSTALACTOR rend. vízlágyító</t>
  </si>
  <si>
    <t>Millennniumi emlékpark</t>
  </si>
  <si>
    <t>Buszváró   2 db</t>
  </si>
  <si>
    <t>Játszótér ISM pályázat</t>
  </si>
  <si>
    <t>Ravatalozó előtető 1060</t>
  </si>
  <si>
    <t>Árok 253 hrsz</t>
  </si>
  <si>
    <t>Névtelen tér 536</t>
  </si>
  <si>
    <t>Buszváro Delphi A-103</t>
  </si>
  <si>
    <t>Buszváró Delphi A-176</t>
  </si>
  <si>
    <t>Balassagyarmat Régi út 18.</t>
  </si>
  <si>
    <t>Önkorm. Lakás Kossuth 39.</t>
  </si>
  <si>
    <t>Koplányi Zs.-Rákóczi u.31</t>
  </si>
  <si>
    <t>Ady Endre út           1640</t>
  </si>
  <si>
    <t>Ady Endre út           54</t>
  </si>
  <si>
    <t>Benczur Gy. út         80</t>
  </si>
  <si>
    <t>Benczur Gy. út         1814</t>
  </si>
  <si>
    <t>Trikál J. út           122</t>
  </si>
  <si>
    <t>Trikál J.út            155</t>
  </si>
  <si>
    <t>Trikál J. út            198</t>
  </si>
  <si>
    <t>Trikál J. út            267</t>
  </si>
  <si>
    <t>Hétvezér út             206</t>
  </si>
  <si>
    <t>Hétvezér út             286</t>
  </si>
  <si>
    <t>Régimalom út            364</t>
  </si>
  <si>
    <t>Ipolypart út            672</t>
  </si>
  <si>
    <t>Jószív utca             754</t>
  </si>
  <si>
    <t>Jószív utca             1023</t>
  </si>
  <si>
    <t>Gábor Áron út              1856</t>
  </si>
  <si>
    <t>Gábor Áron út              1908</t>
  </si>
  <si>
    <t>Május 1. út                3121</t>
  </si>
  <si>
    <t>Május 1. út                2837</t>
  </si>
  <si>
    <t>Május 1. út                1874</t>
  </si>
  <si>
    <t>Tompa M.út                 2268</t>
  </si>
  <si>
    <t>Tompa M.út                 1941</t>
  </si>
  <si>
    <t>Kölcsey F.út               2250</t>
  </si>
  <si>
    <t>Kölcsey F.út              1950</t>
  </si>
  <si>
    <t>Kandó K.út               2092</t>
  </si>
  <si>
    <t>Kandó K.út               2019</t>
  </si>
  <si>
    <t>Bem-Kandó-Nyirjes        2177</t>
  </si>
  <si>
    <t>bem-Kandó-Nyirjes        2122</t>
  </si>
  <si>
    <t>Honti út                 2634</t>
  </si>
  <si>
    <t>Honti út                 2229</t>
  </si>
  <si>
    <t>Honti út                 2349</t>
  </si>
  <si>
    <t>Honti út                 2497</t>
  </si>
  <si>
    <t>Damjanich út             2299</t>
  </si>
  <si>
    <t>Damjanich út             2687</t>
  </si>
  <si>
    <t>Klapka út                2317</t>
  </si>
  <si>
    <t>Klapka út                2520</t>
  </si>
  <si>
    <t>Klapka út                2575</t>
  </si>
  <si>
    <t>Rákóczi úti járda        593</t>
  </si>
  <si>
    <t>Rákóczi úti járda        609</t>
  </si>
  <si>
    <t>Rákóczi úti járda        692</t>
  </si>
  <si>
    <t>Rákóczi úti járda        836</t>
  </si>
  <si>
    <t>Rákóczi úti járda        837</t>
  </si>
  <si>
    <t>Rákóczi úti járda        1035</t>
  </si>
  <si>
    <t>Rákóczi úti járda        1161</t>
  </si>
  <si>
    <t>Rákóczi úti járda        1210</t>
  </si>
  <si>
    <t>Rákóczi úti járda        1245</t>
  </si>
  <si>
    <t>Rákóczi úti járda        1348</t>
  </si>
  <si>
    <t>Rákóczi úti járda        1418</t>
  </si>
  <si>
    <t>Rákóczi úti járda        1420</t>
  </si>
  <si>
    <t>Rákóczi úti járda        1527</t>
  </si>
  <si>
    <t>Rákóczi úti járda          1529</t>
  </si>
  <si>
    <t>Rákóczi úti járda          442</t>
  </si>
  <si>
    <t>Rákóczi úti járda         443</t>
  </si>
  <si>
    <t>Rákóczi úti járda         16</t>
  </si>
  <si>
    <t>Rákóczi úti járda         26</t>
  </si>
  <si>
    <t>Mikszáth K.járda         695</t>
  </si>
  <si>
    <t>Mikszáth K.járda         727</t>
  </si>
  <si>
    <t>Mikszáth K.járda         734</t>
  </si>
  <si>
    <t>Mikszáth K.járda         817</t>
  </si>
  <si>
    <t>Buszmegálló öböl</t>
  </si>
  <si>
    <t>Táncsics M.út              3048</t>
  </si>
  <si>
    <t>Domb út                    2466</t>
  </si>
  <si>
    <t>Üres. Rákóczi út 33</t>
  </si>
  <si>
    <t>Gyüre Mihályné Rákóczi út 37</t>
  </si>
  <si>
    <t>KP és MT Bt Rákóczi út 38</t>
  </si>
  <si>
    <t>Hajdú Bernadett Rákóczi út 40</t>
  </si>
  <si>
    <t>Szerencsejáték Rt Rákóczi út 46</t>
  </si>
  <si>
    <t>Szendrei Kft Rákóczi út 46</t>
  </si>
  <si>
    <t>Digit-Home Kft Rákóczi út 48</t>
  </si>
  <si>
    <t>Tabatéka Bt Rákóczi út 48</t>
  </si>
  <si>
    <t>Sitec Kft Rákóczi út48</t>
  </si>
  <si>
    <t>APEH Rákóczi út 48</t>
  </si>
  <si>
    <t>CHOKI-Bo Kft Rákóczi út 48</t>
  </si>
  <si>
    <t>MILESZ Kft Rákóczi út 49</t>
  </si>
  <si>
    <t>Speciár Valéria Rákóczi út 49</t>
  </si>
  <si>
    <t>K&amp;H Bank. Rákóczi út 48</t>
  </si>
  <si>
    <t>ENTEOMI BT Rákóczi út 51</t>
  </si>
  <si>
    <t>ENTEOMI Bt Rákóczi út 51</t>
  </si>
  <si>
    <t>Üres Rákóczi út 53</t>
  </si>
  <si>
    <t>Láng Mihály Rákóczi út 57</t>
  </si>
  <si>
    <t>Csíkányné Mészáros M.Rákóczi út 57</t>
  </si>
  <si>
    <t>Kardos János Rákóczi út 57</t>
  </si>
  <si>
    <t>Sugár Optika Rákóczi út 57</t>
  </si>
  <si>
    <t>Bencsik Józsefné Rákóczi út 57</t>
  </si>
  <si>
    <t>Nemesvári Ottóné Teleki út 1</t>
  </si>
  <si>
    <t>Vöröskereszt Thököly út 35</t>
  </si>
  <si>
    <t>Önkorm.hétvégi ház Nyírjes 9003</t>
  </si>
  <si>
    <t>Polg.Hivatal "A" 507</t>
  </si>
  <si>
    <t>Skate board pálya</t>
  </si>
  <si>
    <t>Szügyi úti beton járda</t>
  </si>
  <si>
    <t>Piac parkoló</t>
  </si>
  <si>
    <t>Régi Busz pályaudvar</t>
  </si>
  <si>
    <t>Veres Pálné Közv. Korsz</t>
  </si>
  <si>
    <t>Canada Üzleth Parkoló</t>
  </si>
  <si>
    <t>Nírjes 5193 Ingatlan bekötő út + Parkoló</t>
  </si>
  <si>
    <t>Rákóczi út 9. fsz.6.</t>
  </si>
  <si>
    <t>Rákóczi út 9. fsz. 3.</t>
  </si>
  <si>
    <t>Megye háza főépület 53% Vagyonkezelés</t>
  </si>
  <si>
    <t>Lakás Rákóczi út  7. fsz 1.</t>
  </si>
  <si>
    <t>Magyar Gáz Tranzit Zrt vízvezeték</t>
  </si>
  <si>
    <t>Rákóczi 18 udvar térburkolat</t>
  </si>
  <si>
    <t xml:space="preserve">Temető exhumálás </t>
  </si>
  <si>
    <t>Bekötövezeték csere több ingatlan</t>
  </si>
  <si>
    <t>Házi bekötés csere több ingatlan</t>
  </si>
  <si>
    <t>Szügyi 21 bekötö vezeték csere</t>
  </si>
  <si>
    <t>Főtér rekonstrukció Ady út</t>
  </si>
  <si>
    <t>Főtér rekonstrukció Főtér+ Rákóczi út  elektromos</t>
  </si>
  <si>
    <t xml:space="preserve">Főtér rekonstrukció Főtér + Rákóczi út </t>
  </si>
  <si>
    <t xml:space="preserve">Főtér rekonstrukció Főtér + Rákóczi út közmű </t>
  </si>
  <si>
    <t>Rekortán pálya Ipolypart Sport centrum</t>
  </si>
  <si>
    <t>Lakás Rákóczi út 27 félemelet 4</t>
  </si>
  <si>
    <t>Pavilon Király pecsenye 505 hrsz</t>
  </si>
  <si>
    <t xml:space="preserve">Ivóvíz bekötés Felsőmalom út </t>
  </si>
  <si>
    <t>Ivóvízbekötés Mártírok út 35</t>
  </si>
  <si>
    <t>Ivóvízbekötés Mártírok útja 33</t>
  </si>
  <si>
    <t>Lakás Rákóczi út 9. Fsz.8</t>
  </si>
  <si>
    <t>Szennyvízbekötés Török Ignác u. 25</t>
  </si>
  <si>
    <t>Szennyvízbekötés Szoni út 1</t>
  </si>
  <si>
    <t>Szennyvíz bekötés Mártírok út 4</t>
  </si>
  <si>
    <t>Ivóvízbekötés Rákóczi út 98-126</t>
  </si>
  <si>
    <t>Ivóvízvezeték bekötés Rákóczi út 98-126</t>
  </si>
  <si>
    <t>Ivóvízbekötés Munkás út 25</t>
  </si>
  <si>
    <t>Ivóvíz bekötés Ifjúság út 9</t>
  </si>
  <si>
    <t>Ivóvízbekötés Török Ignác 25</t>
  </si>
  <si>
    <t>VÜ KFT telephely Szügyi út</t>
  </si>
  <si>
    <t>Déli elkerülő út I.</t>
  </si>
  <si>
    <t>Móricz Zs. óvoda korszerűsítés</t>
  </si>
  <si>
    <t xml:space="preserve">Ivóvízbekötés Damjanich utca 2 </t>
  </si>
  <si>
    <t>Baross Gábor utca 30. ivóvíz bekötés csere</t>
  </si>
  <si>
    <t>Kandó Kálmán út 1 ivóvízbekötés csere</t>
  </si>
  <si>
    <t>Ipolypart út 34 . tűzcsap csere</t>
  </si>
  <si>
    <t>Vörösmarty út szennyvíz csat építés</t>
  </si>
  <si>
    <t>Mártírok út 56 tűzcsapcsere</t>
  </si>
  <si>
    <t>Rákóczi fejedelm út 1 tűzcsapcsere</t>
  </si>
  <si>
    <t>Bartha E. 24. tűzcsap csere</t>
  </si>
  <si>
    <t>Áchim András út tolózárcsere</t>
  </si>
  <si>
    <t>Batthyány-Baross út tolózár csere</t>
  </si>
  <si>
    <t>Bartha E u. 14 tolózár csere</t>
  </si>
  <si>
    <t>Veres Pálné u. tolózár csere</t>
  </si>
  <si>
    <t>Mártírok út 4. bekötővezeték csere</t>
  </si>
  <si>
    <t>Jókai út 14. bekötő csere</t>
  </si>
  <si>
    <t>Leningen K. űt 9 bekötövezeték csere</t>
  </si>
  <si>
    <t>Klapka út 70 bekötövezeték csere</t>
  </si>
  <si>
    <t>Leningen Károly út 3 bekötővezetékcsere</t>
  </si>
  <si>
    <t>Komjáthy Jenő út 2 . bekötővezeték csere</t>
  </si>
  <si>
    <t>Fáy András út 2 bekötövezeték csere</t>
  </si>
  <si>
    <t>Damjanich út 11 bekötövezeték csere</t>
  </si>
  <si>
    <t>Ifjúság út 33. bekötővezeték csere</t>
  </si>
  <si>
    <t>Baross Gábor u 58. bekötővezetékcsere</t>
  </si>
  <si>
    <t>Domb út 17. bekötővezeték csere</t>
  </si>
  <si>
    <t>Kodály Z út 43 bekötővezeték csere</t>
  </si>
  <si>
    <t>Domb út 10 bekötővezetékcsere</t>
  </si>
  <si>
    <t>Batthyány út 3 bekötővezeték csere</t>
  </si>
  <si>
    <t>Deák F u 17. bekötővezetékcsere</t>
  </si>
  <si>
    <t>Hajós Alfréd 18</t>
  </si>
  <si>
    <t>Horváth Endre út alatti átvezetés csere</t>
  </si>
  <si>
    <t>Kodály Z u 13 bekötővezeték csere</t>
  </si>
  <si>
    <t>Kodály Z u. 11. bekötővezeték csere</t>
  </si>
  <si>
    <t>Nyírjes 51-76 bekötővezeték csere</t>
  </si>
  <si>
    <t xml:space="preserve">Kodály Z út 9 bekötővezeték csere </t>
  </si>
  <si>
    <t>Komjáthy u 19. bekötés csere</t>
  </si>
  <si>
    <t>Arany János u 8 NA50KPE vezetékcsere</t>
  </si>
  <si>
    <t>Dózsa Gy. u 27. DN 25 KPE vezeték csere</t>
  </si>
  <si>
    <t>Klapka út 28. tűzcsap csere</t>
  </si>
  <si>
    <t>Damjanich út tolózár cserék</t>
  </si>
  <si>
    <t>Mikszáth Ipolyjáró u sarokakna 1 db NA 100 és 1 db NA 220 tolózár csere</t>
  </si>
  <si>
    <t>Május 1 út túzcsap beépítése</t>
  </si>
  <si>
    <t>Arany J. u 8. NA100 tolózár csere</t>
  </si>
  <si>
    <t>Szügyi út 63. NA300 vízmérő csere NA 100 ultrahangos vízmérőre</t>
  </si>
  <si>
    <t>Nyírjes út 9 tűzcsap csere</t>
  </si>
  <si>
    <t>Deák F u . TCS-104</t>
  </si>
  <si>
    <t>Temető utca közkifolyó csere</t>
  </si>
  <si>
    <t>Váci M út  D024 csomó pont 1 db NA 100 tolózár</t>
  </si>
  <si>
    <t>Pozsonyi - Leiningen u 1 db NA 80 tolózár csere</t>
  </si>
  <si>
    <t>Váci M- Táncsics u D025 csp. 1 dn NA 100 tolózárcsere</t>
  </si>
  <si>
    <t>Vörösmarty M - Tihanyi u 1 db NA 80 tolózár csere</t>
  </si>
  <si>
    <t>Szontágh Pál 37. tűzcsp csere + 1 db NA80 tolózár csere</t>
  </si>
  <si>
    <t>Vörösmarty M -Tompa u 1 db NA 100 tolózárcsere</t>
  </si>
  <si>
    <t>Horváth Endre út 27 bekötővezeték csere</t>
  </si>
  <si>
    <t>Madách 3 tűzcsap csere</t>
  </si>
  <si>
    <t>Attila út 1 Tűzcsapcsere</t>
  </si>
  <si>
    <t>Baross út 60. tűzcsap csere</t>
  </si>
  <si>
    <t>Jókai u. 35 . hazi bekötés csere</t>
  </si>
  <si>
    <t>Széchényi u 13. házibekötés csere</t>
  </si>
  <si>
    <t>Hajós A út 48. tűzcsap csere</t>
  </si>
  <si>
    <t>Leningen út 1 . tűzcsapcsere</t>
  </si>
  <si>
    <t>Ady Endre út 9 1640 hrsz bekötővezeték csere</t>
  </si>
  <si>
    <t>Honti út 1 . 410 hrsz tűzcsdap csere</t>
  </si>
  <si>
    <t>Ipolypart - Zsák út  NA 80 tűzcsap csere</t>
  </si>
  <si>
    <t>Ady - Erdélyi sarok NA 80 tűzcsap csere</t>
  </si>
  <si>
    <t>Madách Liget 12 NA 100 tűzcsap csere</t>
  </si>
  <si>
    <t>Damjanich út 26. házi bekötés csere</t>
  </si>
  <si>
    <t>Szügyi út 24. házi bekötés csere</t>
  </si>
  <si>
    <t>Rákóczi út 25. I. em. 5. lakás</t>
  </si>
  <si>
    <t>Vasúti felüljáró bekötő járda</t>
  </si>
  <si>
    <t>Bajcsy úti járda Deák-József A út</t>
  </si>
  <si>
    <t>Ivóvíz rekonstrukció fő rész</t>
  </si>
  <si>
    <t>Ivóvíz opcionális rész Ipolypart Vár és Vercsényi út között</t>
  </si>
  <si>
    <t>Ivóvíz opcionális rész Ipolypart út Bercsényi és Nádor út között + Nádor út</t>
  </si>
  <si>
    <t>Ivóvíz opcionális rész Széchenyi utca</t>
  </si>
  <si>
    <t>Ivóvíz opcionális rész Trikál J. utca Erdélyi és Szondi között</t>
  </si>
  <si>
    <t>Ipolypart út közvilágítás korsz.</t>
  </si>
  <si>
    <t>Ady út járda</t>
  </si>
  <si>
    <t>Fenyves út közvilágítás korsz</t>
  </si>
  <si>
    <t>Ivóvíz vezeték 2.sz. út Nőtincs</t>
  </si>
  <si>
    <t>Ívóvíz vezeték 22. közl. út</t>
  </si>
  <si>
    <t>Vízvezeték Áchim András utca</t>
  </si>
  <si>
    <t>Vízvezeték Ady Endre utca</t>
  </si>
  <si>
    <t>Vízvezeték,Algover Mihály utca</t>
  </si>
  <si>
    <t>Vízvezeték, Aradi út</t>
  </si>
  <si>
    <t>Ívóvízvezeték, Arany János utca</t>
  </si>
  <si>
    <t>Ívóvízvezeték, Árnyas út</t>
  </si>
  <si>
    <t>Ívóvízvezeték, Árpád utca</t>
  </si>
  <si>
    <t>Ívóvízvezeték,Attila utca</t>
  </si>
  <si>
    <t>Ívóvízvezeték, Bajcsy- Zsilinszky utca</t>
  </si>
  <si>
    <t>Ívóvízvezeték, Balassa utca</t>
  </si>
  <si>
    <t>Ívóvízvezeték, Baltik Frigyes utca</t>
  </si>
  <si>
    <t>Ívóvízvezeték, Bargár Ödön utca</t>
  </si>
  <si>
    <t>Ívóvízvezeték,Baross Gábor utca</t>
  </si>
  <si>
    <t>Ívóvízvezeték,Bartha E.utca</t>
  </si>
  <si>
    <t>Ívóvízvezeték,Bartók B. utca</t>
  </si>
  <si>
    <t>Ívóvízvezeték,Bástya utca</t>
  </si>
  <si>
    <t>Ívóvízvezeték,Báthory utca</t>
  </si>
  <si>
    <t>Ívóvízvezeték,Batthyány utca</t>
  </si>
  <si>
    <t>Ívóvízvezeték,Bem József utca</t>
  </si>
  <si>
    <t>Ívóvízvezeték,Benczúr Gyula utca</t>
  </si>
  <si>
    <t>Ívóvízvezeték, Bercsényi utca</t>
  </si>
  <si>
    <t>Ívóvízvezeték, Béri Balogh Ádám utca</t>
  </si>
  <si>
    <t>Ívóvízvezeték,Berkenye</t>
  </si>
  <si>
    <t>Ívóvízvezeték, Berkenye 2.sz. út</t>
  </si>
  <si>
    <t>Ívóvízvezeték, Bíró János utca</t>
  </si>
  <si>
    <t>Ívóvízvezeték, Blázsik Károly utca</t>
  </si>
  <si>
    <t>Ívóvízvezeték,Böjtös Sándor utca</t>
  </si>
  <si>
    <t>Ívóvízvezeték, Budai utca</t>
  </si>
  <si>
    <t>Ívóvízvezeték,Csokonai Vitéz Mihály utca</t>
  </si>
  <si>
    <t>Ívóvízvezeték,Damjanich utca</t>
  </si>
  <si>
    <t>Ívóvízvezeték, Daróczi Gusztáv utca</t>
  </si>
  <si>
    <t>Ívóvízvezeték, Deák Ferenc utca</t>
  </si>
  <si>
    <t>Ívóvízvezeték, Dejtár-Bgyarmat Ívóvíz Távvezeték</t>
  </si>
  <si>
    <t>Ívóvízvezeték,Dejtár- Patak-Nagyoroszi</t>
  </si>
  <si>
    <t>Ívóvízvezeték,Dejtár-Tereske- Rétság</t>
  </si>
  <si>
    <t>Ívóvízvezeték,Diósjenő</t>
  </si>
  <si>
    <t>Ívóvízvezeték,Diósjenő-Nógrád</t>
  </si>
  <si>
    <t>Ívóvízvezeték, Domb utca</t>
  </si>
  <si>
    <t>Ívóvízvezeték,Dózsa György utca</t>
  </si>
  <si>
    <t>Ívóvízvezeték,Erdélyi József utca</t>
  </si>
  <si>
    <t>Ívóvízvezeték, Erkel Ferenc utca</t>
  </si>
  <si>
    <t>Ívóvízvezeték,Esze Tamás utca</t>
  </si>
  <si>
    <t>Ívóvízvezeték, Fáy András utca</t>
  </si>
  <si>
    <t>Ívóvízvezeték,Fenyves út</t>
  </si>
  <si>
    <t>Ívóvízvezeték,Festéküzem</t>
  </si>
  <si>
    <t>Ívóvízvezeték, Fő út</t>
  </si>
  <si>
    <t>Ívóvízvezeték,Fülemüle út</t>
  </si>
  <si>
    <t>Ívóvízvezeték, Gábor Áron utca</t>
  </si>
  <si>
    <t>Ívóvízvezeték,Gárdonyi Géza utca</t>
  </si>
  <si>
    <t>Ívóvízvezeték, Hajós Alfréd utca</t>
  </si>
  <si>
    <t>Ívóvízvezeték, Halász utca</t>
  </si>
  <si>
    <t>Ívóvízvezeték,Hársfa utca</t>
  </si>
  <si>
    <t>Ívóvízvezeték,Határőr utca</t>
  </si>
  <si>
    <t>Ívóvízvezeték,Hétvezér út</t>
  </si>
  <si>
    <t>Ívóvízvezeték, Honti utca</t>
  </si>
  <si>
    <t>Ívóvízvezeték,Horváth Endre utca</t>
  </si>
  <si>
    <t>Ívóvízvezeték, Hősök tere</t>
  </si>
  <si>
    <t>Ívóvízvezeték,Hunyadi utca</t>
  </si>
  <si>
    <t>Ívóvízvezeték, I. sz. kútcsoport vezetéke</t>
  </si>
  <si>
    <t>Ívóvízvezeték,I-II.sz. kútcsoport gyűjtővezetéke</t>
  </si>
  <si>
    <t>Ívóvízvezeték,Ifjúság útja</t>
  </si>
  <si>
    <t>II.sz. kútcsopot vezetéke</t>
  </si>
  <si>
    <t>III.sz. kútcsoport vezetéke Ívóvízvezeték,</t>
  </si>
  <si>
    <t>Ívóvízvezeték, Ipari park</t>
  </si>
  <si>
    <t>Ívóvízvezeték, Ipoly utca</t>
  </si>
  <si>
    <t>Ívóvízvezeték, Ipolypart utca</t>
  </si>
  <si>
    <t>Ívóvízvezeték,Irányi Dániel utca</t>
  </si>
  <si>
    <t>Ívóvízvezeték,Jeszenszky Kálmán utca</t>
  </si>
  <si>
    <t>Ívóvízvezeték,Jókai Mór utca</t>
  </si>
  <si>
    <t xml:space="preserve">Ívóvízvezeték,Jópalócok útja </t>
  </si>
  <si>
    <t>Ívóvízvezeték,Jószív utca</t>
  </si>
  <si>
    <t>Ívóvízvezeték, József Attila utca</t>
  </si>
  <si>
    <t>Ívóvízvezeték, Kandó Kálmán utca</t>
  </si>
  <si>
    <t>Ívóvízvezeték, Kenessey utca</t>
  </si>
  <si>
    <t>Ívóvízvezeték, Kertész utca</t>
  </si>
  <si>
    <t>Ívóvízvezeték, Klapka György utca</t>
  </si>
  <si>
    <t>Ívóvízvezeték, Klapka utca</t>
  </si>
  <si>
    <t>Ívóvízvezeték, Kócsag utca</t>
  </si>
  <si>
    <t>Ívóvízvezeték, Kodály Zoltán utca</t>
  </si>
  <si>
    <t>Ívóvízvezeték, Kolozsvári utca</t>
  </si>
  <si>
    <t>Ívóvízvezeték, Komjáthy Jenő utca</t>
  </si>
  <si>
    <t>Ívóvízvezeték, Komjáthy utca</t>
  </si>
  <si>
    <t>Ívóvízvezeték, Kossuth Lajos utca</t>
  </si>
  <si>
    <t>Ívóvízvezeték, Kóvári utca</t>
  </si>
  <si>
    <t>Ívóvízvezeték, Kölcsey Ferenc utca</t>
  </si>
  <si>
    <t>Ívóvízvezeték, Köztársaság tér</t>
  </si>
  <si>
    <t>Ívóvízvezeték, Leiningen Károly utca</t>
  </si>
  <si>
    <t>Ívóvízvezeték, Ligeti Lajos utca</t>
  </si>
  <si>
    <t>Ívóvízvezeték,Liszt Ferenc utca</t>
  </si>
  <si>
    <t>Ívóvízvezeték. Lókos Jobbparti kutak gyűjtő vezetéke</t>
  </si>
  <si>
    <t>Lókas Jobbparti kutak vezetéke</t>
  </si>
  <si>
    <t>Ívóvízvezeték, Losonc utca</t>
  </si>
  <si>
    <t>Ívóvízvezeték, Luther utca</t>
  </si>
  <si>
    <t>Ívóvízvezeték Madách utca</t>
  </si>
  <si>
    <t>Ívóvízvezeték, Május 1. utca</t>
  </si>
  <si>
    <t>Ívóvízvezeték, Markusovszky Lajos utca</t>
  </si>
  <si>
    <t>Ívóvízvezeték, Mártírok útja</t>
  </si>
  <si>
    <t>Ívóvízvezeték, Mauks Ilona utca</t>
  </si>
  <si>
    <t>Ívóvízvezeték, Mészáros Lázár utca</t>
  </si>
  <si>
    <t>Ívóvízvezeték, Mikó Zoltán utca</t>
  </si>
  <si>
    <t>Ívóvízvezeték, Mikszáth Kálmán utca</t>
  </si>
  <si>
    <t>Ívóvízvezeték, Móra Ferenc utca</t>
  </si>
  <si>
    <t>Ívóvízvezeték, Móricz Zsigmond utca</t>
  </si>
  <si>
    <t>Ívóvízvezeték, Munkás utca</t>
  </si>
  <si>
    <t>Ívóvízvezeték, Nádor utca</t>
  </si>
  <si>
    <t>Ívóvízvezeték, Nagy Iván utca</t>
  </si>
  <si>
    <t>Ívóvízvezeték, Nagyoproszi- Borsosberény</t>
  </si>
  <si>
    <t>Ívóvízvezeték, Nógrád</t>
  </si>
  <si>
    <t>Ívóvízvezeték,Nógrád- Berkenye</t>
  </si>
  <si>
    <t>Ívóvízvezeték, Nyírjes külterület</t>
  </si>
  <si>
    <t>Ívóvízvezeték, Orgona utca</t>
  </si>
  <si>
    <t>Ívóvízvezeték,Óváros tér</t>
  </si>
  <si>
    <t>Ívóvízvezeték, Pajor István utca</t>
  </si>
  <si>
    <t>Ívóvízvezeték, Patakpart út</t>
  </si>
  <si>
    <t>Ívóvízvezeték, Patvarci utca</t>
  </si>
  <si>
    <t>Ívóvízvezeték, Perczel Mór utca</t>
  </si>
  <si>
    <t>Ívóvízvezeték, Petőfi Sándor utca</t>
  </si>
  <si>
    <t>Ívóvízvezeték, Pozsonyi utca</t>
  </si>
  <si>
    <t>Ívóvízvezeték, Radnóti Miklós utca</t>
  </si>
  <si>
    <t>Ívóvízvezeték, Rákóczi fejedelem utca</t>
  </si>
  <si>
    <t>Ívóvízvezeték, Régi malom utca</t>
  </si>
  <si>
    <t>Ívóvízvezeték, Rétság</t>
  </si>
  <si>
    <t>Ívóvízvezeték, Rétság-Diósjenő</t>
  </si>
  <si>
    <t>Ívóvízvezeték, Rozmaring utca</t>
  </si>
  <si>
    <t>Ívóvízvezeték, Rózsa utca</t>
  </si>
  <si>
    <t>Ívóvízvezeték, Rózsavölgyi Márk utca</t>
  </si>
  <si>
    <t>Ívóvízvezeték,Sántha Kálmán utca</t>
  </si>
  <si>
    <t>Ívóvízvezeték, Szabó Lőrinc utca</t>
  </si>
  <si>
    <t>Ívóvízvezeték, Szabó püspök utca</t>
  </si>
  <si>
    <t>Ívóvízvezeték, Széchenyi utca</t>
  </si>
  <si>
    <t>Ívóvízvezeték, Szent Imre utca</t>
  </si>
  <si>
    <t>Ívóvízvezeték, Szent István utca</t>
  </si>
  <si>
    <t>Ívóvízvezeték, Szerb utca</t>
  </si>
  <si>
    <t>Ívóvízvezeték, Szondy utca</t>
  </si>
  <si>
    <t>Ívóvízvezeték, Szontágh Pál utca</t>
  </si>
  <si>
    <t>Ívóvízvezeték, Szügyi tér</t>
  </si>
  <si>
    <t>Ívóvízvezeték, Szügyi utca</t>
  </si>
  <si>
    <t>Ívóvízvezeték, Táncsics köz</t>
  </si>
  <si>
    <t>Ívóvízvezeték, Tátra utca</t>
  </si>
  <si>
    <t>Ívóvízvezeték, Teleki László utca</t>
  </si>
  <si>
    <t>Ívóvízvezeték, Temető utca</t>
  </si>
  <si>
    <t>Ívóvízvezeték, Terske- Szátok távvezeték</t>
  </si>
  <si>
    <t>Ívóvízvezeték, Thököly utca</t>
  </si>
  <si>
    <t>Ívóvízvezeték, Tihanyi utca</t>
  </si>
  <si>
    <t>Ívóvízvezeték, Tompa Mihály utca</t>
  </si>
  <si>
    <t>Ívóvízvezeték, Török Ignác utca</t>
  </si>
  <si>
    <t>Ívóvízvezeték, Trikál József utca</t>
  </si>
  <si>
    <t>Ívóvízvezeték, Új utca</t>
  </si>
  <si>
    <t>Ívóvízvezeték, Váci Mihály utca</t>
  </si>
  <si>
    <t>Ívóvízvezeték, Vak Bottyán utca</t>
  </si>
  <si>
    <t>Ívóvízvezeték, Vár utca</t>
  </si>
  <si>
    <t>Ívóvízvezeték, Veres Pálné</t>
  </si>
  <si>
    <t>Ívóvízvezeték, Viola utca</t>
  </si>
  <si>
    <t>Ívóvízvezeték, Vízy Zsigmond utca</t>
  </si>
  <si>
    <t>Ívóvízvezeték, Vörösmarty utca</t>
  </si>
  <si>
    <t>Ívóvízvezeték, Zeke Kálmán utca</t>
  </si>
  <si>
    <t>Ívóvízvezeték.Zichy utca</t>
  </si>
  <si>
    <t>Ívóvízvezeték, Zrínyi utca</t>
  </si>
  <si>
    <t>Ívóvízvezeték, Nyíjesi utca</t>
  </si>
  <si>
    <t>Szennyvízcsatorna 16-os Honvéd út</t>
  </si>
  <si>
    <t>Szenyvízcsatorna: Áchim András utca</t>
  </si>
  <si>
    <t>Szenyvízcsatorna, Ady Endre utca</t>
  </si>
  <si>
    <t>Szenyvízcsatorna, Akácfa utca</t>
  </si>
  <si>
    <t>Szenyvízcsatorna, Algover Mihály utca</t>
  </si>
  <si>
    <t>Szenyvízcsatorna,Aradi utca</t>
  </si>
  <si>
    <t>Szenyvízcsatorna, Arany János utca</t>
  </si>
  <si>
    <t>Szenyvízcsatorna, Árpád utca</t>
  </si>
  <si>
    <t>Szenyvízcsatorna, Attila utca</t>
  </si>
  <si>
    <t>Szenyvízcsatorna, Bajcsy-Zsilinszky utca</t>
  </si>
  <si>
    <t>Szenyvízcsatorna,Balassa utca</t>
  </si>
  <si>
    <t>Szenyvízcsatorna,Baltik Frigyes utca</t>
  </si>
  <si>
    <t>Szenyvízcsatorna, Bargár Ödön utca</t>
  </si>
  <si>
    <t>Szenyvízcsatorna, Baross Gábor utca</t>
  </si>
  <si>
    <t>Szenyvízcsatorna, Batha E. utca</t>
  </si>
  <si>
    <t>Szenyvízcsatorna, Bartók Béla utca</t>
  </si>
  <si>
    <t>Szenyvízcsatorna, Bástya utca</t>
  </si>
  <si>
    <t>Szenyvízcsatorna, Báthory utca</t>
  </si>
  <si>
    <t>Szenyvízcsatorna,Batthyány utca</t>
  </si>
  <si>
    <t>Szenyvízcsatorna, Bem József utca</t>
  </si>
  <si>
    <t>Szenyvízcsatorna, Benczúr Gyula utca</t>
  </si>
  <si>
    <t>Szenyvízcsatorna, Bérczy Károly utca</t>
  </si>
  <si>
    <t>Szenyvízcsatorna, Bercsényi utca</t>
  </si>
  <si>
    <t>Szenyvízcsatorna, Béri Balogh  Ádám utca</t>
  </si>
  <si>
    <t>Szenyvízcsatorna,Bíró János utca</t>
  </si>
  <si>
    <t>Szenyvízcsatorna, Blázsik Károly utca</t>
  </si>
  <si>
    <t>Szenyvízcsatorna, Böjtös Sándor utca</t>
  </si>
  <si>
    <t>Szenyvízcsatorna, Csokonai Vitéz Mihály utca</t>
  </si>
  <si>
    <t>Szenyvízcsatorna, Damjanich utca</t>
  </si>
  <si>
    <t>Szenyvízcsatorna, Daróczi Gusztáv utca</t>
  </si>
  <si>
    <t>Szenyvízcsatorna, Deák Ferenc utca</t>
  </si>
  <si>
    <t>Szenyvízcsatorna, Domb utca</t>
  </si>
  <si>
    <t>Szenyvízcsatorna,Dózsa György utca</t>
  </si>
  <si>
    <t>Szenyvízcsatorna, Égei utca</t>
  </si>
  <si>
    <t>Szenyvízcsatorna,Erdélyi József utca</t>
  </si>
  <si>
    <t>Erkel Ferenc utca</t>
  </si>
  <si>
    <t>Szenyvízcsatorna, Esze Tamás utca</t>
  </si>
  <si>
    <t>Szenyvízcsatorna, Fáy András utca</t>
  </si>
  <si>
    <t>Szenyvízcsatorna, Felsőmalom utca</t>
  </si>
  <si>
    <t>Szenyvízcsatorna, Fráter Erzsébet utca</t>
  </si>
  <si>
    <t>Szenyvízcsatorna, Gábor Áron utca</t>
  </si>
  <si>
    <t>Szenyvízcsatorna, Gárdonyi Géza utca</t>
  </si>
  <si>
    <t>Szenyvízcsatorna,Gimnázium köz</t>
  </si>
  <si>
    <t>Szenyvízcsatorna, Hajós Alfréd utca</t>
  </si>
  <si>
    <t>Szenyvízcsatorna, Hársfa utca</t>
  </si>
  <si>
    <t>Szenyvízcsatorna, Határőr utca</t>
  </si>
  <si>
    <t>Szenyvízcsatorna,Hétvezér utca</t>
  </si>
  <si>
    <t>Szenyvízcsatorna, Homok utca</t>
  </si>
  <si>
    <t>Szenyvízcsatorna,Honti utca</t>
  </si>
  <si>
    <t>Szenyvízcsatorna, Horváth Endre utca</t>
  </si>
  <si>
    <t>Szenyvízcsatorna,Hősök tere</t>
  </si>
  <si>
    <t>Szenyvízcsatorna,Hunyadi utca</t>
  </si>
  <si>
    <t>Szenyvízcsatorna, Ifjúság utca</t>
  </si>
  <si>
    <t>Szenyvízcsatorna, Ipari park</t>
  </si>
  <si>
    <t>Szenyvízcsatorna,Ipoly utca</t>
  </si>
  <si>
    <t>Szenyvízcsatorna,Ipolyjáró utca</t>
  </si>
  <si>
    <t>Szenyvízcsatorna,Irányi Dániel utca</t>
  </si>
  <si>
    <t>Szenyvízcsatorna,Ipolypart utca</t>
  </si>
  <si>
    <t>Szenyvízcsatorna, Jeszenszky Kálmán utca</t>
  </si>
  <si>
    <t>Szenyvízcsatorna,Jókai Mór utca</t>
  </si>
  <si>
    <t>Szenyvízcsatorna,Jópalócok útja</t>
  </si>
  <si>
    <t>Szenyvízcsatorna,Jószív utca</t>
  </si>
  <si>
    <t>Szenyvízcsatorna, József Attila utca</t>
  </si>
  <si>
    <t>Szenyvízcsatorna, Kandó Kálmán utca</t>
  </si>
  <si>
    <t>Szenyvízcsatorna, Kenessey utca</t>
  </si>
  <si>
    <t>Szenyvízcsatorna,Kertész utca</t>
  </si>
  <si>
    <t>Szenyvízcsatorna, Klapka György utca</t>
  </si>
  <si>
    <t>Szenyvízcsatorna,Kodály Zoltán utca</t>
  </si>
  <si>
    <t>Szenyvízcsatorna,Kolozsvári utca</t>
  </si>
  <si>
    <t>Szenyvízcsatorna,Komjáthy Jenő utca</t>
  </si>
  <si>
    <t>Szenyvízcsatorna,Kondor Ernő út</t>
  </si>
  <si>
    <t>Szenyvízcsatorna,Kossuth Lajos utca</t>
  </si>
  <si>
    <t>Szenyvízcsatorna,Kóvári utca</t>
  </si>
  <si>
    <t>Szenyvízcsatorna,Kölcsey Ferenc utca</t>
  </si>
  <si>
    <t>Szenyvízcsatorna,Köztársaság tér</t>
  </si>
  <si>
    <t>Szenyvízcsatorna,külterület</t>
  </si>
  <si>
    <t>Szenyvízcsatorna,Leiningen Károly utca</t>
  </si>
  <si>
    <t>Szenyvízcsatorna,Ligeti Lajos utca</t>
  </si>
  <si>
    <t>Szenyvízcsatorna,Liszt Ferenc utca</t>
  </si>
  <si>
    <t>Szenyvízcsatorna, Losonci utca</t>
  </si>
  <si>
    <t>Szenyvízcsatorna,Luther utca</t>
  </si>
  <si>
    <t>Szenyvízcsatorna,Madách ligert</t>
  </si>
  <si>
    <t>Szenyvízcsatorna,Madách utca</t>
  </si>
  <si>
    <t>Szenyvízcsatorna,Május 1. utca</t>
  </si>
  <si>
    <t>Szenyvízcsatorna,Markusovszky Lajos utca</t>
  </si>
  <si>
    <t>Szenyvízcsatorna,Mártírok útja</t>
  </si>
  <si>
    <t>Szenyvízcsatorna,Mauks Ilona utca</t>
  </si>
  <si>
    <t>Szenyvízcsatorna,Mészáros Lázár utca</t>
  </si>
  <si>
    <t>Szenyvízcsatorna,Mikó Zoltán utca</t>
  </si>
  <si>
    <t>Szenyvízcsatorna, Mikszáth Kálmán utca</t>
  </si>
  <si>
    <t>Szenyvízcsatorna,Móra Ferenc utca</t>
  </si>
  <si>
    <t>Szenyvízcsatorna,Móricz Zsigmond utca</t>
  </si>
  <si>
    <t>Szenyvízcsatorna, Munkás utca</t>
  </si>
  <si>
    <t>Szenyvízcsatorna,Nádor út</t>
  </si>
  <si>
    <t>Szenyvízcsatorna,Nagy Iván utca</t>
  </si>
  <si>
    <t>Szenyvízcsatorna,Nógrádi Sándor Lakótelep</t>
  </si>
  <si>
    <t>Szenyvízcsatorna,Nyírjes külterület</t>
  </si>
  <si>
    <t>Szenyvízcsatorna, Nyírjesi utca</t>
  </si>
  <si>
    <t>Szenyvízcsatorna, Orgona utca</t>
  </si>
  <si>
    <t>Szenyvízcsatorna,Óváros tér</t>
  </si>
  <si>
    <t>Szenyvízcsatorna,Pajor István utca</t>
  </si>
  <si>
    <t>Szenyvízcsatorna,Patvarci utca</t>
  </si>
  <si>
    <t>Szenyvízcsatorna,Perczel Mór utca</t>
  </si>
  <si>
    <t>Szenyvízcsatorna,Petőfi Sándor utca</t>
  </si>
  <si>
    <t>Szenyvízcsatorna,Pozsonyi utca</t>
  </si>
  <si>
    <t>Szenyvízcsatorna, Radnóti Miklós utca</t>
  </si>
  <si>
    <t>Szenyvízcsatorna,Rákóczi fejedelem utca</t>
  </si>
  <si>
    <t>Szenyvízcsatorna,Régi malom utca</t>
  </si>
  <si>
    <t>Szenyvízcsatorna,Régi utca</t>
  </si>
  <si>
    <t>Szenyvízcsatorna,Rozmaring utca</t>
  </si>
  <si>
    <t>Szenyvízcsatorna,Rózsa utca</t>
  </si>
  <si>
    <t>Szenyvízcsatorna,Rózsavölgyi Márk utca</t>
  </si>
  <si>
    <t>Szenyvízcsatorna, Sántha Kálmán utca</t>
  </si>
  <si>
    <t>Szenyvízcsatorna,Semmelweis  Ignác utca</t>
  </si>
  <si>
    <t>Szenyvízcsatorna,Szabó Lőrinc utca</t>
  </si>
  <si>
    <t>Szenyvízcsatorna, Szabó püspök utca</t>
  </si>
  <si>
    <t>Szenyvízcsatorna,Széchenyi utca</t>
  </si>
  <si>
    <t>Szenyvízcsatorna,Szent Imre utca</t>
  </si>
  <si>
    <t>Szenyvízcsatorna,Szent István utca</t>
  </si>
  <si>
    <t>Szenyvízcsatorna,Szerb utca</t>
  </si>
  <si>
    <t>Szenyvízcsatorna,Szondy utca</t>
  </si>
  <si>
    <t>Szenyvízcsatorna,Szontágh Pál utca</t>
  </si>
  <si>
    <t>Szenyvízcsatorna,Szügyi utca</t>
  </si>
  <si>
    <t>Szenyvízcsatorna,Táncsics köz</t>
  </si>
  <si>
    <t>Szenyvízcsatorna,Tátra utca</t>
  </si>
  <si>
    <t>Szenyvízcsatorna,Teleki László utca</t>
  </si>
  <si>
    <t>Szenyvízcsatorna,Temető utca</t>
  </si>
  <si>
    <t>Szenyvízcsatorna,Thököly utca</t>
  </si>
  <si>
    <t>Szenyvízcsatorna,Tihanyi utca</t>
  </si>
  <si>
    <t>Szenyvízcsatorna, Tompa Mihály utca</t>
  </si>
  <si>
    <t>Szenyvízcsatorna,Török Ignác utca</t>
  </si>
  <si>
    <t>Szenyvízcsatorna,Trikál József utca</t>
  </si>
  <si>
    <t>Szenyvízcsatorna, Új utca</t>
  </si>
  <si>
    <t xml:space="preserve">Szenyvízcsatorna,Úlkóvár </t>
  </si>
  <si>
    <t>Szenyvízcsatorna,Váci Mihály utca</t>
  </si>
  <si>
    <t>Szenyvízcsatorna,Vak Bottyán utca</t>
  </si>
  <si>
    <t>Szenyvízcsatorna,Vár utca</t>
  </si>
  <si>
    <t>Szenyvízcsatorna,Veres Pálné utca</t>
  </si>
  <si>
    <t>Szenyvízcsatorna,Viola utca</t>
  </si>
  <si>
    <t>Szenyvízcsatorna,Vizy Zsigmond utca</t>
  </si>
  <si>
    <t>Szenyvízcsatorna,Vörösmarty Mihály utca</t>
  </si>
  <si>
    <t>Szenyvízcsatorna,Zeke Kálmán utca</t>
  </si>
  <si>
    <t>Szenyvízcsatorna,Zichy utca</t>
  </si>
  <si>
    <t>Szenyvízcsatorna,Zrinyi utca</t>
  </si>
  <si>
    <t>Szenyvízcsatorna,Zsák utca</t>
  </si>
  <si>
    <t>Szennyvízcsatorna Leninger Károly útca</t>
  </si>
  <si>
    <t>Szenyvízátemelő, ÉK-5- jelű átemelő</t>
  </si>
  <si>
    <t>Szenyvízátemelő,Bíró utcai átemelő</t>
  </si>
  <si>
    <t>Szenyvízátemelő,Szent István úti átemelő</t>
  </si>
  <si>
    <t>Szenyvízátemelő, A- jelű átemelő</t>
  </si>
  <si>
    <t>Szenyvízátemelő,B- jelű átemelő</t>
  </si>
  <si>
    <t>Szenyvízátemelő,Algőver úti átemelő</t>
  </si>
  <si>
    <t>Szenyvízátemelő, Határőr utcai végátemelő</t>
  </si>
  <si>
    <t>Szenyvízátemelő,Újkóvári végátemelő</t>
  </si>
  <si>
    <t>Szenyvízátemelő,Újkóvár-Új utcai átemelő</t>
  </si>
  <si>
    <t>Szenyvízátemelő,Újkóvár-Éger utcai átemelő</t>
  </si>
  <si>
    <t>Szenyvízátemelő,Veres Pálné utcai átemelő</t>
  </si>
  <si>
    <t>Víztorony 1240m3 VL2</t>
  </si>
  <si>
    <t>Víztorony 400 m3 T44</t>
  </si>
  <si>
    <t>Dejtár, 1. számú kút</t>
  </si>
  <si>
    <t>Dejtár, 2. számú kút</t>
  </si>
  <si>
    <t>Dejtár, 3. számú kút</t>
  </si>
  <si>
    <t>Dejtár,4. számú kút</t>
  </si>
  <si>
    <t>Dejtár, 5. számú kút</t>
  </si>
  <si>
    <t>Dejtár, 6. számú kút</t>
  </si>
  <si>
    <t>Dejtár,7.számú kút</t>
  </si>
  <si>
    <t>Dejtár, 8. számú kút</t>
  </si>
  <si>
    <t>Dejtár,9. számú kút</t>
  </si>
  <si>
    <t>Dejtár,10.számú kút</t>
  </si>
  <si>
    <t>Dejtár,11.számú kút</t>
  </si>
  <si>
    <t>Dejtár,12. számú kút</t>
  </si>
  <si>
    <t>Dejtár, 13. számú kút</t>
  </si>
  <si>
    <t>Dejtár,14. számú kút</t>
  </si>
  <si>
    <t>Dejtár,15. számú kút</t>
  </si>
  <si>
    <t>Dejtár,16.számú kút</t>
  </si>
  <si>
    <t>Dejtár, 17. számú kút</t>
  </si>
  <si>
    <t>Dejtár,18.számú kút</t>
  </si>
  <si>
    <t>Dejtár, 19. számú kút</t>
  </si>
  <si>
    <t>Dejtár, 20. számú kút</t>
  </si>
  <si>
    <t>Dejtár, 21. számú kút</t>
  </si>
  <si>
    <t>Dejtár, 22. számú kút</t>
  </si>
  <si>
    <t>Ipolyvece,23.számú kút</t>
  </si>
  <si>
    <t>Ipolyvece,24. számú kút</t>
  </si>
  <si>
    <t>Ipolyvece. 25. számú kút</t>
  </si>
  <si>
    <t>Ipolyvece,26. számú kút</t>
  </si>
  <si>
    <t>Ipolyvece, 27. számú kút</t>
  </si>
  <si>
    <t>Patak,28.számú kút</t>
  </si>
  <si>
    <t>Dejtár, II.számú kút</t>
  </si>
  <si>
    <t>Ipolyvece, IV. számú kút</t>
  </si>
  <si>
    <t>Dejtár 71 hrsz dilataált beton út 3m széles</t>
  </si>
  <si>
    <t>Dejtár 73 hrsz dilatált beton út 3m széles</t>
  </si>
  <si>
    <t>Patak 50 hrsz dilatált beteon út 3 m széles</t>
  </si>
  <si>
    <t>Dejtár 71 hrsz drótfonatos kerítés</t>
  </si>
  <si>
    <t>Dejtár 73 hrsz drótfonatos kerítés</t>
  </si>
  <si>
    <t>Patak 50 hrsz drótfonatos kerítés</t>
  </si>
  <si>
    <t>Dejtár vízmű telep Savtalanító épület 2 szintes</t>
  </si>
  <si>
    <t>Dejtár vízmű telep Savtalanító épület 3 szintes</t>
  </si>
  <si>
    <t>Dejtár vízmű telep Szivattyúház</t>
  </si>
  <si>
    <t xml:space="preserve">Dejtár vízmű telep Udvari vezetékeke </t>
  </si>
  <si>
    <t>Dejtár vízmű telep Víztároló medence 1000m3</t>
  </si>
  <si>
    <t>Dejtár vízmű telep Zagyvíz ülepítő medence 2x500 m3</t>
  </si>
  <si>
    <t>Dejtár vízmű telep Zagyvíz ülepítő medence 2x140m3</t>
  </si>
  <si>
    <t>Dejtár vízmű telep Garázs</t>
  </si>
  <si>
    <t>Dejtár vízműtelep Kerítés</t>
  </si>
  <si>
    <t>Dejtár vízmű telep Raktár 1 kicsi</t>
  </si>
  <si>
    <t>Dejtár vízműtelep Raktár 2 nagy</t>
  </si>
  <si>
    <t>Dejtár vízműtelep Savtalanító épület 2 szintes épül</t>
  </si>
  <si>
    <t>Dejtár vízműtelep Savtalanító épület 3 szintes épül</t>
  </si>
  <si>
    <t>Dejtár vízműtelep Szivattyúház épül</t>
  </si>
  <si>
    <t>Dejtár vízműtelep Szociális épület</t>
  </si>
  <si>
    <t>Dejtár vízműtelep Transzformátor állomás</t>
  </si>
  <si>
    <t>Dejtár vízműtelep Udvari vezetékek épül</t>
  </si>
  <si>
    <t>Dejtár vízműtelep Víztározó medence 1000m3 ép</t>
  </si>
  <si>
    <t>Dejtár vízműtelep Víztározó medence 2x500 m3 ép</t>
  </si>
  <si>
    <t>Dejtár vízműtelep Zagyvíz ülepítő medence 2x140m3 ép</t>
  </si>
  <si>
    <t>Dejtár vízműtelep Úthálózat ép</t>
  </si>
  <si>
    <t>SZVT Biológiai tisztító műtárgy 1.sz. anaerob tér vízalatti keverő</t>
  </si>
  <si>
    <t>SZVT Biológiai tisztító műtárgy 1.sz. anoxikus tér vízalatti keverő 1.sz.</t>
  </si>
  <si>
    <t>SZVT Biológiai tisztító műtárgy 1.sz. anoxikus tér vízalatti keverő 2.sz.</t>
  </si>
  <si>
    <t>SZVT Biológiai tisztító műtárgy 1.sz. csővezetékek szerelvények</t>
  </si>
  <si>
    <t xml:space="preserve">SZVT Biológiai tisztító műtárgy 2.sz. aerob tér vízallatti keverő 1.sz. </t>
  </si>
  <si>
    <t>SZVT Biológiai tisztító műtárgy 2.sz .  aerob tér vízalatti keverő 2.sz.</t>
  </si>
  <si>
    <t>SZVT Biológiai tisztító műtárgy 2.sz . légbeviteli rendszer</t>
  </si>
  <si>
    <t xml:space="preserve">SZVT Biológiai tisztító műtárgy 2.sz. nitrát recirkulációs szivattyú 1.sz. </t>
  </si>
  <si>
    <t>SZVT Biológiai tisztító műtárgy 2.sz. nitrát recirkulációs szivattyú 2.sz.</t>
  </si>
  <si>
    <t>SZVT Biológiai tisztító műtárgy 2.sz. nitrát szivattyú daru</t>
  </si>
  <si>
    <t>SZVT Biológiai tisztító műtárgy 2.sz. Csővezetékek szerelvények</t>
  </si>
  <si>
    <t>SZVT Fertőtlenítés mosóvíz szivattyú 1.sz.</t>
  </si>
  <si>
    <t>SZVT Fertőtlenítés mosóvíz szivattyú 2.sz.</t>
  </si>
  <si>
    <t>SZVT Fertőtlenítés klór adagoló</t>
  </si>
  <si>
    <t>SZVT Iszapsűrítés iszapsűrítő pálcás kotró berendezés</t>
  </si>
  <si>
    <t>SZVT Iszapvíztelenítő gépház centrifuga 1.sz.</t>
  </si>
  <si>
    <t>SZVT Iszapvíztelenítő gépház iszapfeladó szivattyú 1.sz.</t>
  </si>
  <si>
    <t>SZVT Iszapvíztelenítő gépház macerátor 1.sz.</t>
  </si>
  <si>
    <t>SZVT Iszapvíztelenítő gépház iszapkihordó csiga 1.sz.</t>
  </si>
  <si>
    <t>SZVT Iszapvíztelenítő gépház centrifuga 2.sz.</t>
  </si>
  <si>
    <t>SZVT Iszapvíztelenítő gépház iszapfeladó szivattyú 2.sz.</t>
  </si>
  <si>
    <t xml:space="preserve">SZVT Iszapvíztelenítő gépház macerátor  2.sz. </t>
  </si>
  <si>
    <t>SZVT Iszapvíztelenítő gépház iszapkihordó csiga 2.sz.</t>
  </si>
  <si>
    <t>SZVT Iszapvíztelenítő gépház polielektrolit előkészítő-oldó berendezés</t>
  </si>
  <si>
    <t>SZVT Iszapvíztelenítő gépház PE adagoló szivattyú 1.sz.</t>
  </si>
  <si>
    <t>SZVT Iszapvíztelenítő gépház PE adagoló szivattyú 2.sz.</t>
  </si>
  <si>
    <t>SZVT Iszapvíztelenítő gépház emelődaru 1.sz.</t>
  </si>
  <si>
    <t>SZVT Iszapvíztelenítő gépház emelődaru 2.sz.</t>
  </si>
  <si>
    <t>SZVT Iszapvíztelenítő gépház iszapkonténer 1.sz.</t>
  </si>
  <si>
    <t xml:space="preserve">SZVT Iszapvíztelenítő gépház iszapkonténer 2.sz. </t>
  </si>
  <si>
    <t>SZVT Iszapvíztelenítő gépház iszapkonténer 3.sz.</t>
  </si>
  <si>
    <t>SZVT Kazánház gázkazán 1.sz.</t>
  </si>
  <si>
    <t>SZVT Kazánház gázkazán 2.sz.</t>
  </si>
  <si>
    <t>SZVT Légfúvó gépház légfúvó 2.sz.</t>
  </si>
  <si>
    <t>SZVT Légfúvó gépház szellőző ventillátor</t>
  </si>
  <si>
    <t>SZVT Mechanikai tisztitás gépi finomrács</t>
  </si>
  <si>
    <t>SZVT Mechanikai tisztitás kézi rács</t>
  </si>
  <si>
    <t>SZVT Mechanikai tisztitás homokfogó berendezés</t>
  </si>
  <si>
    <t xml:space="preserve">SZVT Mechanikai tisztitás  rács-szemét és homok konténer </t>
  </si>
  <si>
    <t>SZVT Mechanikai tisztitás csővezetékek szerelvények, kezelőpódium</t>
  </si>
  <si>
    <t>SZVT  Szennyvíz átemelés  szennyvíz átemelő szivattyú 1. sz.</t>
  </si>
  <si>
    <t>SZVT Szennyvíz átemelés szennyvíz átemelő szivattyú 2.sz.</t>
  </si>
  <si>
    <t>SZVT Szociális épület gázkazán 1.sz.</t>
  </si>
  <si>
    <t>SZVT Szociális épület gázkazán 2.sz.</t>
  </si>
  <si>
    <t>SZVT TFH fogadás-feladás TFH kézi rács</t>
  </si>
  <si>
    <t xml:space="preserve">SZVT TFH fogadás-feladás  TFH feladó szivattyú 1.sz. </t>
  </si>
  <si>
    <t>SZVT TFH fogadás-feladás TFH feladó szivattyú 2.sz.</t>
  </si>
  <si>
    <t>SZVT TMK Műhely gázkazán</t>
  </si>
  <si>
    <t>SZVT Utóülepítés Utóülepítő kotró</t>
  </si>
  <si>
    <t>SZVT Utóülepítés iszaprecirkulációs szivattyú 1.sz.</t>
  </si>
  <si>
    <t>SZVT Utóülepítés iszaprecirkulációs szivattyú 2.sz.</t>
  </si>
  <si>
    <t>SZVT Utóülepítés iszaprecirkulációs szivattyú 3.sz.</t>
  </si>
  <si>
    <t>SZVT Utóülepítés úszóiszap szivattyú</t>
  </si>
  <si>
    <t>SZVT Vegyszergépház vas só oldat tároló tartály</t>
  </si>
  <si>
    <t>SZVT Vegyszergépház vas só oldat adagoló szivattyú 1.sz.</t>
  </si>
  <si>
    <t>SZVT Vegyszergépház vas só oldat adagoló szivattyú 2.sz.</t>
  </si>
  <si>
    <t>SZVT Technológia villamos + irányítás tech. munkák telepített aggregátor</t>
  </si>
  <si>
    <t>SZVT Technológia villamos + irányítás tech. munkák Elosztók</t>
  </si>
  <si>
    <t>SZVT Technológia villamos + irányítás tech. munkák csatlakozó és kezelő szekrények</t>
  </si>
  <si>
    <t>SZVT Technológia villamos + irányítás tech. munkák PC-k és kommunikációs dobozok</t>
  </si>
  <si>
    <t>SZVT Technológia villamos + irányítás tech. munkák műszerezés</t>
  </si>
  <si>
    <t>SZVT Technológia villamos + irányítás tech. munkák Épületinstalláció</t>
  </si>
  <si>
    <t>SZVT Technológia villamos + irányítás tech. munkák Térvilágítás</t>
  </si>
  <si>
    <t>SZVT Technológia villamos + irányítás tech. munkák Kábelezés</t>
  </si>
  <si>
    <t>SZVT Technológia villamos + irányítás tech. munkák Vagyonvédelem</t>
  </si>
  <si>
    <t>SZVT Technológia villamos + irányítás tech. munkák Villámvédelem</t>
  </si>
  <si>
    <t>SZVT Fertőtlenítés Fertőtlenítő műtárgy</t>
  </si>
  <si>
    <t>SZVT Fertőtlenítés vegyszeres adagoló építmény</t>
  </si>
  <si>
    <t>SZVT Iszapkezelés iszapsűrítő műtárgy</t>
  </si>
  <si>
    <t>SZVT Iszapkezelés iszapvíztelenítő gépház</t>
  </si>
  <si>
    <t>SZVT Iszapkezelés iszapszikkasztó ágyak</t>
  </si>
  <si>
    <t>SZVT Kezelő épület Kezelőépület 1.sz.</t>
  </si>
  <si>
    <t>SZVT Kezelő épület Kezelőépület 2.sz.</t>
  </si>
  <si>
    <t>SZVT Komposztáló komposztáló</t>
  </si>
  <si>
    <t>SZVT Komposztáló szalmatároló</t>
  </si>
  <si>
    <t>SZVT Légfúvó és vegyszer  gépház</t>
  </si>
  <si>
    <t>SZVT Mechanikai tisztítás homokfogó építmény</t>
  </si>
  <si>
    <t>SZVT Szennyvízátemelés C-1 szennyvíz átemelő műtárgy</t>
  </si>
  <si>
    <t xml:space="preserve">SZVT Szennyvízátemelés Biológiai tisztítás 1.sz. műtárgy </t>
  </si>
  <si>
    <t>SZVT Szennyvízátemelés Biológiai tisztítás  2.sz. műtárgy</t>
  </si>
  <si>
    <t>SZVT TFH kezelés  TFH  műtárgy</t>
  </si>
  <si>
    <t>SZVT Telepi vezetékek telepi vezetékek</t>
  </si>
  <si>
    <t>SZVT Udvartér telepi belső úthálózat és térburkolat</t>
  </si>
  <si>
    <t>SZVT Udvartér Parshall műtárgy</t>
  </si>
  <si>
    <t>SZVT Udvartér szivattyú raktár</t>
  </si>
  <si>
    <t>SZVT Udvartér záportározó 1.sz.</t>
  </si>
  <si>
    <t>SZVT Udvartér záportározó 2.sz.</t>
  </si>
  <si>
    <t>SZVT Udvartér iszapkormányzó műtárgy</t>
  </si>
  <si>
    <t>SZVT Udvartér un. szivattyúház</t>
  </si>
  <si>
    <t>SZVT Udvartér garázs</t>
  </si>
  <si>
    <t>SZVT Udvartér telepi belső kerítés és kapu</t>
  </si>
  <si>
    <t>SZVT Udvartér kisműtárgyak</t>
  </si>
  <si>
    <t>SZVT Utóülepítés utóülepítő műtárgy</t>
  </si>
  <si>
    <t>Épület Kossuth út 54. fsz.3.</t>
  </si>
  <si>
    <t>Dózsa Gy u. 31. DN200KG-PVC 20fm szennyvíz vezeték csere</t>
  </si>
  <si>
    <t>Szontágh P 4. Fűtés korszerűsítés</t>
  </si>
  <si>
    <t>Közös Önkorm. Hivatal Kerékpár Tároló</t>
  </si>
  <si>
    <t>Rákóczi 27. 1. em 9.</t>
  </si>
  <si>
    <t>Patvarci úti iskola Vagyonkezelésbe adott rész 79%</t>
  </si>
  <si>
    <t>Madách Imre Kollégium Épület 80 % vagyonkezelésbe adott</t>
  </si>
  <si>
    <t>Teniszpálya szivattyú</t>
  </si>
  <si>
    <t>Nagypálya Köház</t>
  </si>
  <si>
    <t>Nagypálya faház</t>
  </si>
  <si>
    <t>Futófolyósó Nagypálya</t>
  </si>
  <si>
    <t>Nagypálya kerítés</t>
  </si>
  <si>
    <t>Nagypálya rúdugró leérkező</t>
  </si>
  <si>
    <t>Nagypálya Lelátó</t>
  </si>
  <si>
    <t>Nagypálya kútfúrás</t>
  </si>
  <si>
    <t>Nagypálya WC</t>
  </si>
  <si>
    <t>Nagypálya Motorház</t>
  </si>
  <si>
    <t>Busz pályaudvar volt utas ellátó</t>
  </si>
  <si>
    <t>Szennyvízbekötés Vörösmarty utca 14</t>
  </si>
  <si>
    <t>Szennyvíz bekötés Vörösmarty 11</t>
  </si>
  <si>
    <t>Ivóvíz bekötés Kossuth 68. fsz3</t>
  </si>
  <si>
    <t>Ivóvízbekötés Rákóczi 33</t>
  </si>
  <si>
    <t>Ivóvízbekötés Ipolypart 6</t>
  </si>
  <si>
    <t>Ivóvízbekötés Szontágh P 4</t>
  </si>
  <si>
    <t>Ivóvízbekötés Mikszáth 46</t>
  </si>
  <si>
    <t>Ivóvízbekötés Zrínyi út 1 fsz2</t>
  </si>
  <si>
    <t>Közterület 748 Hrsz</t>
  </si>
  <si>
    <t xml:space="preserve">Lakóház </t>
  </si>
  <si>
    <t>Jókai út 2. III.1.a. lakás</t>
  </si>
  <si>
    <t>Balassagyarmat Rákóczi út 54. fsz 2.</t>
  </si>
  <si>
    <t>Nádor úti pálya</t>
  </si>
  <si>
    <t>Kemping zuhanyzó</t>
  </si>
  <si>
    <t>Kemping gondnoki épület</t>
  </si>
  <si>
    <t>Kemping faház</t>
  </si>
  <si>
    <t>Kemping faház2</t>
  </si>
  <si>
    <t>Ivóvíz bekötés Felsőmalom út 58</t>
  </si>
  <si>
    <t>Szennyvíz bekötés Mártirok út 35.</t>
  </si>
  <si>
    <t>Szennyvízbekötés Mártírok út 33.</t>
  </si>
  <si>
    <t>Szennyvíz bekötés Szondi 21</t>
  </si>
  <si>
    <t>Ivóvíz bekötés Fáy A. u. 32</t>
  </si>
  <si>
    <t>Ivóvíz bekötés Rákóczi út 31</t>
  </si>
  <si>
    <t>Ivóvízbekötés Vak Bottyán  U</t>
  </si>
  <si>
    <t>Ivóvíz bekötés Áchim A u. 10</t>
  </si>
  <si>
    <t>Ivóvízbekötés Kossuth út 68.</t>
  </si>
  <si>
    <t>Ivóvízbekötés Vak Bottyán u.</t>
  </si>
  <si>
    <t xml:space="preserve">Ivóvíz bekötés Nyírjes út </t>
  </si>
  <si>
    <t>Ivóvízbekötés Rákóczi út33</t>
  </si>
  <si>
    <t>Szennyvízbekötés Patvarci út 7</t>
  </si>
  <si>
    <t>Óváros tér 12 lakóingatlan</t>
  </si>
  <si>
    <t>Madách Liget Sport Park</t>
  </si>
  <si>
    <t>Város Címer 2 db</t>
  </si>
  <si>
    <t>Transzformátor Ipari Park</t>
  </si>
  <si>
    <t>Kopja Fa Palóc Liget</t>
  </si>
  <si>
    <t>Kecske Liget fajátékok</t>
  </si>
  <si>
    <t>Lakossági riasztó rendszer</t>
  </si>
  <si>
    <t>Nézőtéri székrendszer</t>
  </si>
  <si>
    <t>Vetítő vászon</t>
  </si>
  <si>
    <t>Baranyi Dezső emléktábla</t>
  </si>
  <si>
    <t>56-os emléktábla</t>
  </si>
  <si>
    <t>Tűzzománc</t>
  </si>
  <si>
    <t>Tildy Zoltán dombormű</t>
  </si>
  <si>
    <t>Mikszáth Kálmán</t>
  </si>
  <si>
    <t>Magyar Köztársaság címere dombormű</t>
  </si>
  <si>
    <t>Anya gyermekeivel dombormű</t>
  </si>
  <si>
    <t>Petőfi szobor</t>
  </si>
  <si>
    <t>16-os Honvéd szobor</t>
  </si>
  <si>
    <t>Játszótéri plasztika</t>
  </si>
  <si>
    <t>Madách Imre bronz szobor</t>
  </si>
  <si>
    <t>Komjáthy Jenő szobor</t>
  </si>
  <si>
    <t>Hősi emlékmű</t>
  </si>
  <si>
    <t>Nagy Iván mellszobor</t>
  </si>
  <si>
    <t>Mikó Zoltán emléktábla</t>
  </si>
  <si>
    <t>Szabó Lőrinc bronzszobor</t>
  </si>
  <si>
    <t>Petőfi bronzportré</t>
  </si>
  <si>
    <t>Vitéz-Rend emléktábla</t>
  </si>
  <si>
    <t>Civitas Fortissima szobor</t>
  </si>
  <si>
    <t>Hűtőszekrény AB400 BV</t>
  </si>
  <si>
    <t>Mélyhűtőszekrényű</t>
  </si>
  <si>
    <t>Edénytartó állvány</t>
  </si>
  <si>
    <t>Munkaasztal 100X60</t>
  </si>
  <si>
    <t>Munkaasztal 80X50</t>
  </si>
  <si>
    <t>Polc 30X80</t>
  </si>
  <si>
    <t>Balassagyarmat címer Tüzz.</t>
  </si>
  <si>
    <t>Vitéz Málnásy Ferenc emléktábla</t>
  </si>
  <si>
    <t>Bodiny Jós Ferenc emlékt.</t>
  </si>
  <si>
    <t>Szerelőkosár</t>
  </si>
  <si>
    <t>Tanulói laptop, Acer Aspire ONE D255 HSDPA modem</t>
  </si>
  <si>
    <t>Dell Inspiron N5010 Tanári Laptop HSDPA, USB</t>
  </si>
  <si>
    <t>Notebook tároló 16 férőhelyes 2 db</t>
  </si>
  <si>
    <t>Notebook tároló 32 férőhelyes 2 db</t>
  </si>
  <si>
    <t>Wifi Acces Point, TP-Link TL-WA901ND 4 db</t>
  </si>
  <si>
    <t>Router, MikroTik Routerboard 450G</t>
  </si>
  <si>
    <t>2 medencés mosogató konyha</t>
  </si>
  <si>
    <t>2 medencés mosogató söröző</t>
  </si>
  <si>
    <t>Soundcraft Spirit 12 Notepad</t>
  </si>
  <si>
    <t>Soundcraft Spirit 12 Keverő</t>
  </si>
  <si>
    <t>Red Laser Light hangleolvasó 4 db</t>
  </si>
  <si>
    <t>Festékkabin TIOP</t>
  </si>
  <si>
    <t>Hidraulikus kézi villástargonca TIOP</t>
  </si>
  <si>
    <t>Doors kombinált szekrény   2 db</t>
  </si>
  <si>
    <t>Lucca szék  56 db</t>
  </si>
  <si>
    <t>Íróasztal fém lábbal 28db</t>
  </si>
  <si>
    <t>Gyula - Scool falitábla 3 db</t>
  </si>
  <si>
    <t>Acer Aspire Z5710 TIOP</t>
  </si>
  <si>
    <t>HP LJ PRO 1606dn TIOP</t>
  </si>
  <si>
    <t>Variant íróasztal 9 db</t>
  </si>
  <si>
    <t>HP LJ Pro 1606n TIOP</t>
  </si>
  <si>
    <t>Wells porszívó TIOP</t>
  </si>
  <si>
    <t>Takarító kocsi TIOP</t>
  </si>
  <si>
    <t>Lotus forgószék 9 db</t>
  </si>
  <si>
    <t>Monte fellépő létra</t>
  </si>
  <si>
    <t>Építési csőrlő</t>
  </si>
  <si>
    <t>Betonkeverőgép</t>
  </si>
  <si>
    <t>PFT Ritmó XL vakológép</t>
  </si>
  <si>
    <t>Keretes állvány KRAUSE</t>
  </si>
  <si>
    <t>Homlokzati állvány Stabiló guruló</t>
  </si>
  <si>
    <t>Lézeres távolságmérő Leica Disto D2</t>
  </si>
  <si>
    <t>Vakolatmaró EPF1503</t>
  </si>
  <si>
    <t>Vibrációs lehúzó ENAR ZH</t>
  </si>
  <si>
    <t>Rotoros símító</t>
  </si>
  <si>
    <t>Döngölő béka Bellert66</t>
  </si>
  <si>
    <t>Keresztvonal forgólézer FRE201</t>
  </si>
  <si>
    <t>Önbeálló függőző és vonallézer LP102</t>
  </si>
  <si>
    <t>Karos láncos emelő</t>
  </si>
  <si>
    <t>Teljes testhevederzet rögzítőkötél 2 db</t>
  </si>
  <si>
    <t>Festékszóró PFS 105</t>
  </si>
  <si>
    <t>Duó excenter csiszoló</t>
  </si>
  <si>
    <t>Ipari porszívó GAS50</t>
  </si>
  <si>
    <t>Festékszóró pisztoly PFS105E</t>
  </si>
  <si>
    <t>Kombi csiszológép P322BE</t>
  </si>
  <si>
    <t>Mini nedvességmérő BLD</t>
  </si>
  <si>
    <t>Légtisztító-párásító</t>
  </si>
  <si>
    <t>Gőz tapétaoldó</t>
  </si>
  <si>
    <t>Falcsiszoló DW2300c 2 db</t>
  </si>
  <si>
    <t>Száraz nedves porszívó 440</t>
  </si>
  <si>
    <t>Kenőgép EME-180N</t>
  </si>
  <si>
    <t>Keverőgép Automix 1801 2 db</t>
  </si>
  <si>
    <t>Tűs revétlenítő kompresszorral</t>
  </si>
  <si>
    <t>Glettszóró gép</t>
  </si>
  <si>
    <t>HP LJ color CP1515n</t>
  </si>
  <si>
    <t>Smart interaktív tábla</t>
  </si>
  <si>
    <t>Sony HDR-CX115 digitális kamera</t>
  </si>
  <si>
    <t>Nikon Coolpix P100 digitális fényképező</t>
  </si>
  <si>
    <t>Doka zsalurendszer</t>
  </si>
  <si>
    <t>Makita láncmarógép KC100</t>
  </si>
  <si>
    <t>Asztalos gyalupad H12 16db</t>
  </si>
  <si>
    <t>Felsőmaró KW900E</t>
  </si>
  <si>
    <t>Gérvágó korongfűrész LS1040</t>
  </si>
  <si>
    <t>Ozmózis víztisztító</t>
  </si>
  <si>
    <t>Barco DP2K-12Cx 9500 LUMEN Digitális vetitő</t>
  </si>
  <si>
    <t>Virtuális hegesztő szimulátor</t>
  </si>
  <si>
    <t>Migatronic Sigma 300C-L puls</t>
  </si>
  <si>
    <t>HK-140 hőkezelő kemence</t>
  </si>
  <si>
    <t>Áramfejlesztő TR14 Honda 6X</t>
  </si>
  <si>
    <t>Mobilbox konténer</t>
  </si>
  <si>
    <t>Önjáró betonkeverő</t>
  </si>
  <si>
    <t>Teherfelvonó</t>
  </si>
  <si>
    <t>Fémszekrény 2 ajtós</t>
  </si>
  <si>
    <t>Polcos állványrendszer 16 db</t>
  </si>
  <si>
    <t>Szalagfűrészgép BAS317</t>
  </si>
  <si>
    <t>Egyengető gyalugép WJ-300</t>
  </si>
  <si>
    <t>ACER AspireZ510</t>
  </si>
  <si>
    <t>Toshiba Satelite LG50-16R</t>
  </si>
  <si>
    <t>Toshiba Sateliet LG50-16R3</t>
  </si>
  <si>
    <t>EPSON EB-460 projektor</t>
  </si>
  <si>
    <t>EPSON EB-1725 projektor</t>
  </si>
  <si>
    <t>SG110 műanyag hegesztőgép</t>
  </si>
  <si>
    <t>CMP 12 hordozható lemezmaró</t>
  </si>
  <si>
    <t>Omni 20 Hidraulikus présgép töretvizsgálathoz</t>
  </si>
  <si>
    <t>Protector 501 hegesztő fejpajzs 20 db</t>
  </si>
  <si>
    <t>Szent-Györgyi Albert szobor</t>
  </si>
  <si>
    <t>Ipari Park Fogyasztásihely</t>
  </si>
  <si>
    <t>MÉDIA KHT Gép</t>
  </si>
  <si>
    <t>Hulladék gyűjtő edények</t>
  </si>
  <si>
    <t>Ország zászló Vitézi Rend</t>
  </si>
  <si>
    <t>MEO VXB 35 mm vetítő 1 + beáll.</t>
  </si>
  <si>
    <t>MEO VXB 33 mm vetítő 2 + beállítás</t>
  </si>
  <si>
    <t>Mozitechnikai processzor</t>
  </si>
  <si>
    <t>Stereo cella egység</t>
  </si>
  <si>
    <t>MEO 5XB vetítőgép + tart.</t>
  </si>
  <si>
    <t>Digitális cinema processzor</t>
  </si>
  <si>
    <t>Digitális olvasófej</t>
  </si>
  <si>
    <t>EWM CB 259 Cinema hangsugárzó 3 db</t>
  </si>
  <si>
    <t>EWM CR 72 Cinema hangsugárzó</t>
  </si>
  <si>
    <t>EWM SB 184c Cinema hangsugárzó 2 db</t>
  </si>
  <si>
    <t>EWM MX crossover</t>
  </si>
  <si>
    <t>EWM CREST VS 1100W 4 ohm front 2 db</t>
  </si>
  <si>
    <t>EWM CREST VS 900W 8 ohm sub 2db</t>
  </si>
  <si>
    <t>EWM CREST VS 650W 4 ohm surr 3db</t>
  </si>
  <si>
    <t>Kétmedencés mosogató</t>
  </si>
  <si>
    <t>Elszívó ernyő</t>
  </si>
  <si>
    <t>Madách Imre mellszobor</t>
  </si>
  <si>
    <t>HAJDÚ villanybojler 120 literes</t>
  </si>
  <si>
    <t>3 medencés ipari mosogató</t>
  </si>
  <si>
    <t>2 medencés mosogató</t>
  </si>
  <si>
    <t>Falazó habarcskeverő gép IMER SPIN30</t>
  </si>
  <si>
    <t>Ferdepályás felfonó Gedalift</t>
  </si>
  <si>
    <t>Guruló állvány Stabiló</t>
  </si>
  <si>
    <t>Beton pumpa hir. egység nélkül</t>
  </si>
  <si>
    <t>Villamos ütvefúró</t>
  </si>
  <si>
    <t>Optikai szintező műszer</t>
  </si>
  <si>
    <t>Tedolit</t>
  </si>
  <si>
    <t>Láncos emelő racsnis</t>
  </si>
  <si>
    <t>Bontókalapács</t>
  </si>
  <si>
    <t>Polisztirol hab vágó</t>
  </si>
  <si>
    <t>Gépi betonvas kötöző</t>
  </si>
  <si>
    <t>Betoncsiszoló Stone C6100</t>
  </si>
  <si>
    <t>Mérőállómás R-325EX</t>
  </si>
  <si>
    <t>HZ asztali vizes vágó</t>
  </si>
  <si>
    <t>NA kézihabarcskeverő</t>
  </si>
  <si>
    <t>Betonacél vágó-hajlító</t>
  </si>
  <si>
    <t>Hőlégfúvó</t>
  </si>
  <si>
    <t>Alligátorfűrész</t>
  </si>
  <si>
    <t>Injektáló pumpa Airjet 100+</t>
  </si>
  <si>
    <t>Légszárító és párátlanító DESA DH751</t>
  </si>
  <si>
    <t>Vakolatsímító MAC ADIL DM-1</t>
  </si>
  <si>
    <t>Láncfűrészes falfűrész Comer E21</t>
  </si>
  <si>
    <t>Tűvibrátor Dingó 3+38</t>
  </si>
  <si>
    <t>Magos Munk Dezső</t>
  </si>
  <si>
    <t>Samsung MLTD205L</t>
  </si>
  <si>
    <t>Sörpadok</t>
  </si>
  <si>
    <t>Diagonal hulladékgyűjtő</t>
  </si>
  <si>
    <t>Chip leolvasó ebekhez</t>
  </si>
  <si>
    <t>Sörpadok 6 db</t>
  </si>
  <si>
    <t>AMT-MONO-8W-2014-KV5 napelemes kandeláber 4 db</t>
  </si>
  <si>
    <t>AMT-MONO-8W-2014KV napelemes kandeláber 4 db</t>
  </si>
  <si>
    <t>Mérleghinta</t>
  </si>
  <si>
    <t>Csúszda toronnyal</t>
  </si>
  <si>
    <t>Kettőstorony</t>
  </si>
  <si>
    <t>Kettős bástya</t>
  </si>
  <si>
    <t>Torzó kisplasztika</t>
  </si>
  <si>
    <t>Defibriillátor  elektróda</t>
  </si>
  <si>
    <t>Dupla fekvőtámasz állvány</t>
  </si>
  <si>
    <t>Párhuzamos korlát</t>
  </si>
  <si>
    <t>Has és hátpad</t>
  </si>
  <si>
    <t>Húzódzkodó nyújtósor</t>
  </si>
  <si>
    <t>Hegyalja szemétgyűjtő</t>
  </si>
  <si>
    <t>Talicska</t>
  </si>
  <si>
    <t>Nyeles vila</t>
  </si>
  <si>
    <t>Bozótvágó kés</t>
  </si>
  <si>
    <t>Vízszintes létra</t>
  </si>
  <si>
    <t>AMT-MONO-8W-2014-KVS</t>
  </si>
  <si>
    <t>Digitális szintező műszer</t>
  </si>
  <si>
    <t>Buderus 05224 fűtőkészülék</t>
  </si>
  <si>
    <t>GÁZ 3000 KÉH Kombi gázkészülés</t>
  </si>
  <si>
    <t>Makita 570 ne körfűrész</t>
  </si>
  <si>
    <t>Makita Kp 0800 gyalu</t>
  </si>
  <si>
    <t>Makita 940RJ Szalagcsiszoló</t>
  </si>
  <si>
    <t>Makita 4329 dekopírfűrész</t>
  </si>
  <si>
    <t>Makita 1630 K ütvefúró</t>
  </si>
  <si>
    <t>Makita DDF456RF Akkus csavarbehajtó</t>
  </si>
  <si>
    <t>Makita 3612C Maró és szerszámok</t>
  </si>
  <si>
    <t>Makita LS1018R Gérvágó fűrész</t>
  </si>
  <si>
    <t>Abroboro forstner fúró készlet</t>
  </si>
  <si>
    <t>SZERA Kapa nyelezett 5 db</t>
  </si>
  <si>
    <t>SZERA Lombseprű nyelezett</t>
  </si>
  <si>
    <t>ASUS X554LD-XO922H Notebook HD Core WIN8.1</t>
  </si>
  <si>
    <t>SAMSUNG CLX6260FR 4 IN 1 Színes Nyomtató</t>
  </si>
  <si>
    <t>Vetítő vászon 180X180 Victoria</t>
  </si>
  <si>
    <t>OPTOMA DH1017 PROJEKTOR FULL HD</t>
  </si>
  <si>
    <t>Cirokseprű Jadova 6V 32 db</t>
  </si>
  <si>
    <t>Vasgereblye 16 DB</t>
  </si>
  <si>
    <t>200 L műanyag hordó 4 db</t>
  </si>
  <si>
    <t>Nyeles Ásó 14 db</t>
  </si>
  <si>
    <t>Nyeles csákány</t>
  </si>
  <si>
    <t>Talicska cseh 13 darab</t>
  </si>
  <si>
    <t>Trágyavilla 4 ágú nyelezett Buffalo 12 db</t>
  </si>
  <si>
    <t>Lapát nyelezett Buffalo 38 db</t>
  </si>
  <si>
    <t>Metszőolló 21 cm alu Muta CA-2007X 7 db</t>
  </si>
  <si>
    <t>="Locsolótömlő Universal 3/4" 25 m  4 db"</t>
  </si>
  <si>
    <t>Metszőolló ágvágó rávágós racsnis 620-950mm Muta 2 db</t>
  </si>
  <si>
    <t>Fejsze 1,4 Kg Widerway 2 db</t>
  </si>
  <si>
    <t>Sablon járdalap 40X40X6</t>
  </si>
  <si>
    <t>Sablon Gyebrács 40X40X10</t>
  </si>
  <si>
    <t>UNI100L Kényszer betonkeverő</t>
  </si>
  <si>
    <t>Mindszenty József emléktábla</t>
  </si>
  <si>
    <t>Szabatéri Színpad Hang és Fénytechnika</t>
  </si>
  <si>
    <t>BME DP2K-10S Digital Cinema DCI komp. projektor</t>
  </si>
  <si>
    <t>Rekesz M-30</t>
  </si>
  <si>
    <t>Műanyag szemétgyűjtő 120 L</t>
  </si>
  <si>
    <t>6KG Porraloltó 2 db</t>
  </si>
  <si>
    <t>Után világítás tábla</t>
  </si>
  <si>
    <t>Hasító fejzse szett 2 db</t>
  </si>
  <si>
    <t>Kábeldob + 50 m kábel</t>
  </si>
  <si>
    <t>Bomag BW65S kézi vezetésű padkahenger</t>
  </si>
  <si>
    <t>Dell Optiple x 7010MT CI53470</t>
  </si>
  <si>
    <t>Monitor LG 22MT55D-PZ Full Hd</t>
  </si>
  <si>
    <t>Printer Canon MF8550CDN MFP</t>
  </si>
  <si>
    <t>MovN információs pult</t>
  </si>
  <si>
    <t>Mobil paraván 2500X1050  22 db</t>
  </si>
  <si>
    <t>Rakatolható szék háttámlás 40 db</t>
  </si>
  <si>
    <t>Ülőke 400x600x600 6 db</t>
  </si>
  <si>
    <t>Párnázott szék 4 db</t>
  </si>
  <si>
    <t>Téglalap asztal</t>
  </si>
  <si>
    <t>Információs pult 2450x2600x2400</t>
  </si>
  <si>
    <t>Nyesedék gyűjtő kosár 3 db</t>
  </si>
  <si>
    <t>Locsoló szórófej</t>
  </si>
  <si>
    <t>76MM Táblatalp 2 db</t>
  </si>
  <si>
    <t>76X3500 mm táblatartó oszlop 2db</t>
  </si>
  <si>
    <t>600 mm Útonfolyó munkák 2 db</t>
  </si>
  <si>
    <t>Kalapács 80dkg 3 db</t>
  </si>
  <si>
    <t>Kalapács 1 kg 2 db</t>
  </si>
  <si>
    <t>Kézi fűrész 2db</t>
  </si>
  <si>
    <t xml:space="preserve">Fa véső készlet 2db </t>
  </si>
  <si>
    <t>Körfűrész lap 250</t>
  </si>
  <si>
    <t>Térfigyelő kamera rendszer</t>
  </si>
  <si>
    <t>DMRV Vízmérőcserék</t>
  </si>
  <si>
    <t>SMC Minimax C30 Geniius faipari gép</t>
  </si>
  <si>
    <t>AMT-MONO-8W-2015-KV5 Napelemes kandeláber 5 db</t>
  </si>
  <si>
    <t>AMT-MONO-8W-2015-KVS Napelemes kandeláber 10db</t>
  </si>
  <si>
    <t xml:space="preserve">81 db Z1-70 W-os Na lámpa </t>
  </si>
  <si>
    <t>Street workout Kompakt Eszközkombináció</t>
  </si>
  <si>
    <t>Játszótéri eszközök</t>
  </si>
  <si>
    <t>Boldog Karácsonyt Karácsonyi felirat</t>
  </si>
  <si>
    <t>Kandalló Comfort Íves Fekete 8 KW + cső</t>
  </si>
  <si>
    <t>Talicska 4 db</t>
  </si>
  <si>
    <t>Csákány</t>
  </si>
  <si>
    <t>Lapát 8 db</t>
  </si>
  <si>
    <t>Kapa + nyél</t>
  </si>
  <si>
    <t>Seprű 5 db</t>
  </si>
  <si>
    <t>Ládabontó</t>
  </si>
  <si>
    <t>Ásó 2 db</t>
  </si>
  <si>
    <t>Lapát 1 db</t>
  </si>
  <si>
    <t>Vízóra csere 2013 DMRV</t>
  </si>
  <si>
    <t>Szennyvíztisztító PC csere</t>
  </si>
  <si>
    <t>Vizi közművek 2015 rekonstrukció</t>
  </si>
  <si>
    <t>Víziközművek 2015 szivattyú cserék</t>
  </si>
  <si>
    <t>Szennyvíz tisztító labirintus medence szivattyú csere</t>
  </si>
  <si>
    <t>Főtér Virágládák</t>
  </si>
  <si>
    <t>Főtér Facsemeték telepítése</t>
  </si>
  <si>
    <t>Teher lánc 4 ágú</t>
  </si>
  <si>
    <t>1100 lit műanyag hulladékgyűjtó 5 db</t>
  </si>
  <si>
    <t>I. vh hősi emlékmű felúj</t>
  </si>
  <si>
    <t>Teleszkópos parkőr 10 db</t>
  </si>
  <si>
    <t>Lengőhíd</t>
  </si>
  <si>
    <t>RJ-Mandi 4sz D200</t>
  </si>
  <si>
    <t>Lengő tányér</t>
  </si>
  <si>
    <t>Lengő Gyalogút Polygo</t>
  </si>
  <si>
    <t>Makita EG601A Áramfejlesztő</t>
  </si>
  <si>
    <t>Térkő Sablon 20X10X6CM</t>
  </si>
  <si>
    <t>Guruló Állvány Z300 0,75X2,0M</t>
  </si>
  <si>
    <t>Sokcélú létra 3x10 fok</t>
  </si>
  <si>
    <t xml:space="preserve">Sok célú létra 4x3 </t>
  </si>
  <si>
    <t>DEWALT D25980 Bontókalapács</t>
  </si>
  <si>
    <t>DEWALT DCT416D1 Hőkamera</t>
  </si>
  <si>
    <t>DEWALT 26414 hőlégfúvó</t>
  </si>
  <si>
    <t>Hosszabbító 25 méter</t>
  </si>
  <si>
    <t>Hosszabbító 3X45 2 db</t>
  </si>
  <si>
    <t>STANLEY készlet</t>
  </si>
  <si>
    <t>26,6 bontóhegy</t>
  </si>
  <si>
    <t>Lapátnyél 15 db</t>
  </si>
  <si>
    <t>Seprű 15 db</t>
  </si>
  <si>
    <t>Kapa  5 db</t>
  </si>
  <si>
    <t>Vödör 10 db</t>
  </si>
  <si>
    <t>Metsző olló 5 db</t>
  </si>
  <si>
    <t>Seprű 35 darab</t>
  </si>
  <si>
    <t xml:space="preserve">Talicska </t>
  </si>
  <si>
    <t>Kőműves Kalapács 600g</t>
  </si>
  <si>
    <t>Kőműves kanál</t>
  </si>
  <si>
    <t>Kőműves serpenyő</t>
  </si>
  <si>
    <t>Létra Alu 2+1 fokos</t>
  </si>
  <si>
    <t>Mérőszalag 3m</t>
  </si>
  <si>
    <t>Metsző olló</t>
  </si>
  <si>
    <t>Kerti fűrész 2db</t>
  </si>
  <si>
    <t>Fémreszelő lapos</t>
  </si>
  <si>
    <t>Seprű vessző 2 db</t>
  </si>
  <si>
    <t>Vízmérték 40mm</t>
  </si>
  <si>
    <t>Vödör 12 l műanyag 2 db</t>
  </si>
  <si>
    <t>Gumipók 0,5 m  5 db</t>
  </si>
  <si>
    <t>Rókafarkú fűrész 2 db</t>
  </si>
  <si>
    <t>Ipari utcaseprű 1 m + nyél 3 db</t>
  </si>
  <si>
    <t>Balta fanyelú 500g 2 db</t>
  </si>
  <si>
    <t>Csákány 2,5 Kg + nyél</t>
  </si>
  <si>
    <t>Aszfalt villa 9 ágú</t>
  </si>
  <si>
    <t>Irtókapa 120 dkg</t>
  </si>
  <si>
    <t>Lapát+nyél 3 db</t>
  </si>
  <si>
    <t>Kasza 600 as 2 db</t>
  </si>
  <si>
    <t>Kaszakő szürke</t>
  </si>
  <si>
    <t>Kaszakő tartó 2db</t>
  </si>
  <si>
    <t>Kaszaverő üllő 2 db</t>
  </si>
  <si>
    <t>Kaszaverő kalapács 2 db</t>
  </si>
  <si>
    <t>Ásólapát 120 cm nyél 2 db</t>
  </si>
  <si>
    <t>Spiccvéső 28,68 3 db</t>
  </si>
  <si>
    <t>Laposvéső 28,68 4 db</t>
  </si>
  <si>
    <t>AMT-MONO-2016CSSV5 Sárga villogó 2 db</t>
  </si>
  <si>
    <t xml:space="preserve">Zanussi Hűtő </t>
  </si>
  <si>
    <t>Közterületi pad 20 db</t>
  </si>
  <si>
    <t>Mobil színpad + kapcsolódó eszközök</t>
  </si>
  <si>
    <t>Vágó Korong 2 db</t>
  </si>
  <si>
    <t>Gyémántvágó tárcsa 350x20,4    4 db</t>
  </si>
  <si>
    <t>Teherhordó 26" Kontra 3SPD</t>
  </si>
  <si>
    <t>Big Boy utánfutó</t>
  </si>
  <si>
    <t>Cserélhetőlapkás marófej</t>
  </si>
  <si>
    <t>Falcmaró</t>
  </si>
  <si>
    <t>Vasalathely maró</t>
  </si>
  <si>
    <t>Körfűrészlap 3db</t>
  </si>
  <si>
    <t>Gyalukés 8 db</t>
  </si>
  <si>
    <t>I-Fleet GPRS Basic csomag</t>
  </si>
  <si>
    <t>Hólapát fehér + nyél 15 db</t>
  </si>
  <si>
    <t>Sittes Zsák 300 db</t>
  </si>
  <si>
    <t>Lapát nyelezett 8 db</t>
  </si>
  <si>
    <t>Gereblye 12 fogú 8 db</t>
  </si>
  <si>
    <t>Vasvilla 4 ágú 5 db</t>
  </si>
  <si>
    <t>Cirokseprű 20 db</t>
  </si>
  <si>
    <t>Ásó 1,25 kg 10db</t>
  </si>
  <si>
    <t>Kapa 70 dkg 5 db</t>
  </si>
  <si>
    <t>Vödör 12 műanyag 5 db</t>
  </si>
  <si>
    <t>Gereblye 5 db</t>
  </si>
  <si>
    <t>Kőműves serpenyő 5db</t>
  </si>
  <si>
    <t xml:space="preserve">Kőműves kanál  10 db </t>
  </si>
  <si>
    <t>Lapát nyelezett 5 db</t>
  </si>
  <si>
    <t>Metszőolló kovácsolt 5 db</t>
  </si>
  <si>
    <t>Locsolókanna 10 l 5 db</t>
  </si>
  <si>
    <t>Csákánynyél 10 db</t>
  </si>
  <si>
    <t>Ásónyél 10 db</t>
  </si>
  <si>
    <t>Kalapács 1 kg 3 db</t>
  </si>
  <si>
    <t>Lakatos kalapács 1,5 kg 4 db</t>
  </si>
  <si>
    <t>Cirokseprű normál 5 db</t>
  </si>
  <si>
    <t>Kalapács 8 kg 2 db</t>
  </si>
  <si>
    <t>Harapófogó 200 mm 4 db</t>
  </si>
  <si>
    <t>Cirokseprű normál  5 von 7 db</t>
  </si>
  <si>
    <t>Falvéső kézvédővel 4 db</t>
  </si>
  <si>
    <t>Villás Kapa + nyél 10 db</t>
  </si>
  <si>
    <t>Kőműves palló 8 db</t>
  </si>
  <si>
    <t>Fonatolt kötél PPA2MM 2 tek</t>
  </si>
  <si>
    <t>Csákány kov. 2,5 kg 5 db</t>
  </si>
  <si>
    <t>Kőműves vasbak 1,8 M 4 db</t>
  </si>
  <si>
    <t>Lakatos kalapács 2 kg 4 db</t>
  </si>
  <si>
    <t>Lakatos kalapács 800 g</t>
  </si>
  <si>
    <t>Kombinált fogó 200 mm 4 db</t>
  </si>
  <si>
    <t>Kapa 70 dkg 10 db</t>
  </si>
  <si>
    <t>Kőműves serpenyő 180 mm 2 db</t>
  </si>
  <si>
    <t>Kőműves kanál 2 db</t>
  </si>
  <si>
    <t>Szalagfűrész lap 2 db</t>
  </si>
  <si>
    <t>Lakatos kalapács 5 kg   4 db</t>
  </si>
  <si>
    <t>Műanyag hulladékgyűjtő edény 1100 lit  4 db</t>
  </si>
  <si>
    <t>Asó kovácsolt 1,25 kg 10 db</t>
  </si>
  <si>
    <t>Hosszabbító 10 m 2 db</t>
  </si>
  <si>
    <t>Lapát erősített 10 db</t>
  </si>
  <si>
    <t>Lapátnyél hajlított 130 cm 20 db</t>
  </si>
  <si>
    <t>Talicska H20 Fekete 5 db</t>
  </si>
  <si>
    <t>Lapát nyelezett 120 cm 10db</t>
  </si>
  <si>
    <t>Lombseprű erős műanyag nyél  7 db</t>
  </si>
  <si>
    <t>Talicska H20   10 db</t>
  </si>
  <si>
    <t>Talicska H20 Fekete 10 db</t>
  </si>
  <si>
    <t>Ásó 1,25 kg kovácsolt 10 db</t>
  </si>
  <si>
    <t>Kőműves kalapács</t>
  </si>
  <si>
    <t>Drótkötél 2 db</t>
  </si>
  <si>
    <t>Fémvágókoronk 230 mm  10 db</t>
  </si>
  <si>
    <t>Palló Állványhoz 2 db</t>
  </si>
  <si>
    <t>Talicska H20 fekete 14 db</t>
  </si>
  <si>
    <t>Öntöző rendszer</t>
  </si>
  <si>
    <t>Állócsikk gyűjtő</t>
  </si>
  <si>
    <t>Vésőszár sdsmax 4 db</t>
  </si>
  <si>
    <t>Kóvágó korong 7 db</t>
  </si>
  <si>
    <t>Vasvilla  kovácsolt + nyél 3db</t>
  </si>
  <si>
    <t>Laposecset 70 mm sárga</t>
  </si>
  <si>
    <t>Vésőszár 400 as</t>
  </si>
  <si>
    <t>Felhajtórámpa</t>
  </si>
  <si>
    <t>Szalagfűrész</t>
  </si>
  <si>
    <t>AJCE ABH-440M hidraulikus bontofej JCB 4cx</t>
  </si>
  <si>
    <t>Bontó tüske</t>
  </si>
  <si>
    <t>Caravaggi 275 faaprítógép</t>
  </si>
  <si>
    <t>SMC ECO 300CE mobilelszívó</t>
  </si>
  <si>
    <t>RID RS 7000KW áramfejlesztő aggregátor</t>
  </si>
  <si>
    <t>Mikrovoks rendszer Nagyterem</t>
  </si>
  <si>
    <t>Betonkeverő gép</t>
  </si>
  <si>
    <t>Makita akkus fűrész</t>
  </si>
  <si>
    <t>Notebook Asus X540SA-XX004T Black</t>
  </si>
  <si>
    <t>AOC 19,5" E2070SWN LED Monitor 4 db</t>
  </si>
  <si>
    <t>Syscon Basic 4 db</t>
  </si>
  <si>
    <t>HP LASERJET M127Fs Multifunkciós</t>
  </si>
  <si>
    <t>56 os emléktábla Rendőrség falán</t>
  </si>
  <si>
    <t>Mindennapi kenyerünket Emléktábla Dr Kenessey A Kórház</t>
  </si>
  <si>
    <t>1956-os Büszkeségpont Rendőrség</t>
  </si>
  <si>
    <t>Dejtár Vízműtelep NA 50 Golyóscsap csere</t>
  </si>
  <si>
    <t>Dejtár Vízműtelep 1 db Festo sűrített levegő előkészítő cseréje</t>
  </si>
  <si>
    <t>Dejtár Vízműtelep, lúgátfejtőnél NA50 golyóscsap csere</t>
  </si>
  <si>
    <t>Dejtár Vízmű telep gépterem 1 db NA 150 tolózár csere</t>
  </si>
  <si>
    <t>Dejtár 2x500as medence zárkamrában 2 db NA 300 tolózár csere</t>
  </si>
  <si>
    <t>Szennyvíztelep 2 db légzsák relepítés</t>
  </si>
  <si>
    <t>Újkóvér átemelő Flygt CP3102 181 MT 430 Szivattyú felújítás</t>
  </si>
  <si>
    <t>Veres Pálné átemelő Flygt CP 3045 181 HT szivattyú felújítása</t>
  </si>
  <si>
    <t>Szent István út átemelő szivattyú KD-05.273</t>
  </si>
  <si>
    <t>Dejtár Vízb 20. kút WILO TWI4-0921-DM-C szivattyú beszerzése</t>
  </si>
  <si>
    <t xml:space="preserve">Dejtár Vízb 23. kút Pleuger szivattú helyett Lowarda szivattyú felsz </t>
  </si>
  <si>
    <t>Dejtár Vízb. II . kút szivattyú 2,2kw Franklin Electr.</t>
  </si>
  <si>
    <t>Dejtár Vízb. 15. kút WILO TWI6,18-10 C szivattyú beszerzése</t>
  </si>
  <si>
    <t>Dejtár Vb 28. kút LOWARA 3kw</t>
  </si>
  <si>
    <t>Dejtár Vízb. 2. kút Lowarda Z616 07-40AS szivattyú beszerelése</t>
  </si>
  <si>
    <t>Szennyvíztelep 2 db M18C7N macerátor felújítása</t>
  </si>
  <si>
    <t>Dejtár  ivóvízb szivattyú</t>
  </si>
  <si>
    <t>Veres Pálné átemelő 2. szivattyú</t>
  </si>
  <si>
    <t>Bíró J út átemelő sziv Flygt CP3085.182 szivattyú</t>
  </si>
  <si>
    <t>Balassagyarmat B jelű átemelő Flygt NT 3127.180 tip 2 db felújítása</t>
  </si>
  <si>
    <t>AMT-MONO-8W-2016-KV5 20 db Napelemes Kandeláber</t>
  </si>
  <si>
    <t>Telek Balázs 50x70 paszpartu fotó</t>
  </si>
  <si>
    <t>Kandalló SVT RIO ÍVES FEKETE</t>
  </si>
  <si>
    <t>Kandalló SVT Comfort Íves FEKETE</t>
  </si>
  <si>
    <t>Térfigyelő kamera Ady Kossuth Sarok</t>
  </si>
  <si>
    <t>Midea 2,5 kw split klíma</t>
  </si>
  <si>
    <t>Midea 3,5 kw split klíma</t>
  </si>
  <si>
    <t>Írógép asztal 1700x1600x750</t>
  </si>
  <si>
    <t>Írógép asztal B2100x1600x750</t>
  </si>
  <si>
    <t>Számítógép asztal 800x2590x580</t>
  </si>
  <si>
    <t>Beépített szekrény 800x2590x580</t>
  </si>
  <si>
    <t>Beépített szekrésny tolóajtós 1600x2590x450</t>
  </si>
  <si>
    <t>Beépített szekrény 80x2590x580</t>
  </si>
  <si>
    <t>Beépített szekrény B tolóajtós 1600x2590x450</t>
  </si>
  <si>
    <t>Irattároló szekrény ajtós záras 800x1970x400</t>
  </si>
  <si>
    <t>Irattároló szekrény polcos 800x1970x400</t>
  </si>
  <si>
    <t>Irattároló szekrény nyílóajtós 2300x2500x600</t>
  </si>
  <si>
    <t>Forgószék 3 db</t>
  </si>
  <si>
    <t>Tárgyaló asztal 2600x00x750</t>
  </si>
  <si>
    <t>Tárgyaló szék 8 db</t>
  </si>
  <si>
    <t>Dejtár 13. sz. kút Lowara 8GS30 szivattyú felújítása</t>
  </si>
  <si>
    <t>Dejtár 22 .sz. kút Lowara 40s 30T szivattyú helyett 12 GS30T-40s szivattyú</t>
  </si>
  <si>
    <t>Dejtár 27 .sz. kút Lowara 8GS30 szivattyú beszerzése</t>
  </si>
  <si>
    <t>Dejtár 19. sz. kút Caprari E4XP50 szivattyú felújítása</t>
  </si>
  <si>
    <t xml:space="preserve">Dejtár 3.sz. kút WILO 5,5 kw szivattyú felújítása </t>
  </si>
  <si>
    <t>Dejtár 27. sz. kút új WILO TW 14.09 21-DM-8 szivattyú beszerzése</t>
  </si>
  <si>
    <t>BGY 4 Algőver út 1. sz. átemelő Flygt DP3057, 181 MT232 szivattyú csere</t>
  </si>
  <si>
    <t>Közvilágítás lámpatest csere 162 db</t>
  </si>
  <si>
    <t xml:space="preserve">Makita HM1213C Bontókalapács </t>
  </si>
  <si>
    <t>Jánossy Ferenc Boszorkányszombat festmény</t>
  </si>
  <si>
    <t>Trotec TTK90 Páramentesítő</t>
  </si>
  <si>
    <t>Kerti Talicska 5 db</t>
  </si>
  <si>
    <t>220 V -os építőipari állólámpa</t>
  </si>
  <si>
    <t>350 Gyémánt tárcsa 2 db</t>
  </si>
  <si>
    <t>Makita Laposvéső 3 db</t>
  </si>
  <si>
    <t>Makita spiccvéső 3 db</t>
  </si>
  <si>
    <t>Lapát 100-as + nyél 10 db</t>
  </si>
  <si>
    <t>Cirokseprű 10 db</t>
  </si>
  <si>
    <t>Vízgyűjtő tartály  2 db</t>
  </si>
  <si>
    <t>Lapát 100 as + nyél 10 db</t>
  </si>
  <si>
    <t>Ásó nyelezett</t>
  </si>
  <si>
    <t>Kompresszor</t>
  </si>
  <si>
    <t>Csiszológép</t>
  </si>
  <si>
    <t>Makita DHP 484 RTJ Csavarbehajtó, ütvefúró</t>
  </si>
  <si>
    <t>Támlás pad 20 db</t>
  </si>
  <si>
    <t>Csúcs krómstatív 2 db</t>
  </si>
  <si>
    <t>LG 24 ' 24M38H-B led monitor 2db</t>
  </si>
  <si>
    <t>Másológép KONICA BH C227</t>
  </si>
  <si>
    <t xml:space="preserve">NOTEBOOK HP 250G5 1KA02EA 15,6' </t>
  </si>
  <si>
    <t>SAMSUNG SL-M3325ND hálózatos nyomtató 2 db</t>
  </si>
  <si>
    <t>HDD külső WD My passport ultra 1 TB  2 db</t>
  </si>
  <si>
    <t>KIngston 64GB USB 3  DT100G3    2 db</t>
  </si>
  <si>
    <t>Acer DLP 3D Projektor P6500</t>
  </si>
  <si>
    <t>Sony DSC-RX100 fényképező gép</t>
  </si>
  <si>
    <t>Spirálozógép Fellowers Quasar+</t>
  </si>
  <si>
    <t>Laminálógép A3 80-100 mikron Fellowers  Cosmic 2</t>
  </si>
  <si>
    <t>Iratmegsemmisítő powershred 75cs</t>
  </si>
  <si>
    <t>Tűzőgép elektromos Rapid 5025e Supreme</t>
  </si>
  <si>
    <t>Huawei Y3II Dual SIM 8 GB Obsidian Black telefon 2 db</t>
  </si>
  <si>
    <t>Mágnestábla Optima 90x120 Aluminium keret</t>
  </si>
  <si>
    <t>AMT-MONO-8W-2017-KV5 Napelemes kandeláber</t>
  </si>
  <si>
    <t>Műanyag hulladékgyűjtő konténer 1100 lit 5db</t>
  </si>
  <si>
    <t>Vasvilla17 db</t>
  </si>
  <si>
    <t>GEREBLYE 12 db</t>
  </si>
  <si>
    <t>Lapát 22 db</t>
  </si>
  <si>
    <t>Ásó nyéllel 9 db</t>
  </si>
  <si>
    <t>Kapa nyéllel 15 db</t>
  </si>
  <si>
    <t>Ágvágó olló 2 db</t>
  </si>
  <si>
    <t>Lapát nyelezett  10 db</t>
  </si>
  <si>
    <t>Gereblye 6 db</t>
  </si>
  <si>
    <t>Hosszabbító Brennenstuhl  2 db</t>
  </si>
  <si>
    <t>Levegőcső és tartozékai</t>
  </si>
  <si>
    <t>Kézi emelő SPA500</t>
  </si>
  <si>
    <t>Szegező klt Reich</t>
  </si>
  <si>
    <t>Szaporító láda 30 db</t>
  </si>
  <si>
    <t>Lapát 100as nyelezett 10 db</t>
  </si>
  <si>
    <t>Cirokseprű normál 30 db</t>
  </si>
  <si>
    <t>Kerti talicska 3 db</t>
  </si>
  <si>
    <t>Acer Aspire ES1-572-36HJ 15,6" Notebook</t>
  </si>
  <si>
    <t>Szabó Lőrinc szobor új</t>
  </si>
  <si>
    <t>Kids Tramp Playground XL 200x200 kerttel +ütéscsillapító rendszer</t>
  </si>
  <si>
    <t>AMT-MONO-8W-2017-KV5 14 db</t>
  </si>
  <si>
    <t>Mini kötélpiramis</t>
  </si>
  <si>
    <t>Játékforgó</t>
  </si>
  <si>
    <t>Asztali számítógép INtel G4600@ 3,6 GHz</t>
  </si>
  <si>
    <t>LG 20' 20M38A-B LED monitor 3 db</t>
  </si>
  <si>
    <t>MDV 2,5 KW split klíma Város Üzemeltetési Osztály</t>
  </si>
  <si>
    <t>Olajradiátor Nyírjes üdülő</t>
  </si>
  <si>
    <t>129 darab közvilágítási lámpatest LED lámpatestre csere</t>
  </si>
  <si>
    <t>Térfigyelő kamera rendszer Bgy város szélén elhelyezve</t>
  </si>
  <si>
    <t>Kártyaolvasó Reiner Cyberjack Basis 20 db</t>
  </si>
  <si>
    <t>Kártyaolvasó Reiner Cyberjack Standard</t>
  </si>
  <si>
    <t>20 darab Köztéri pad</t>
  </si>
  <si>
    <t xml:space="preserve">Sipeki Balás Ferenc portré </t>
  </si>
  <si>
    <t>Simson S51B</t>
  </si>
  <si>
    <t>Hulladékszállító Vü Kft IVECO Eurocargó</t>
  </si>
  <si>
    <t>JCB 4CX Homlokrakodó</t>
  </si>
  <si>
    <t>Utánfutó DIAZ XJH-208</t>
  </si>
  <si>
    <t>Fiat Punto</t>
  </si>
  <si>
    <t>Yamaha motorkerékpár</t>
  </si>
  <si>
    <t>Opel Combo Tour</t>
  </si>
  <si>
    <t>Ford Transit Minibusz</t>
  </si>
  <si>
    <t>KIA Pregio 2,7 D</t>
  </si>
  <si>
    <t>KIA Tehergépkocsi</t>
  </si>
  <si>
    <t>Mazda E2200 D</t>
  </si>
  <si>
    <t>YamahaDT50R</t>
  </si>
  <si>
    <t>Opel Movano</t>
  </si>
  <si>
    <t>Ford Új Fócus Technology 4 ajtós 1.6L Ti-VCT 125Le M5</t>
  </si>
  <si>
    <t>Ford Új Mondeo Trend 5 ajtós 1,5L ECOBOOST 160LE A6</t>
  </si>
  <si>
    <t>Dacia Lodgy Arctic 1,6 16V 102LE</t>
  </si>
  <si>
    <t>LADA 4x4 Classic  3ajtós 1,7i</t>
  </si>
  <si>
    <t>VolvoFM7290</t>
  </si>
  <si>
    <t>OPEL CORSA S-D</t>
  </si>
  <si>
    <t xml:space="preserve">OPEL Movano MOV CREW CAb </t>
  </si>
  <si>
    <t>Branson K78 fülkés összekerék hajtású traktor</t>
  </si>
  <si>
    <t>A Rendelet 31.sz. melléklete</t>
  </si>
  <si>
    <t>Ft</t>
  </si>
  <si>
    <t>Önkormányzat vagyonkimutatása 2017. év</t>
  </si>
  <si>
    <t>Bruttóérték</t>
  </si>
  <si>
    <t>Értékcsökkenés</t>
  </si>
  <si>
    <t>Nettóérték</t>
  </si>
  <si>
    <t>Közös Önkormányzati Hivatal</t>
  </si>
  <si>
    <t>Vagyoniértékű jogok összesen</t>
  </si>
  <si>
    <t>M.K. Művelődési Központ</t>
  </si>
  <si>
    <t>M. I. Könyvtár</t>
  </si>
  <si>
    <t>Városi Bölcsőde</t>
  </si>
  <si>
    <t>Szent E. Városi Idősek Otthona</t>
  </si>
  <si>
    <t>GAMESZ Vagyonkezelésbe adott</t>
  </si>
  <si>
    <t>GAMESZ</t>
  </si>
  <si>
    <t>Szellemi termékek</t>
  </si>
  <si>
    <t>Immateriális javak összesen</t>
  </si>
  <si>
    <t xml:space="preserve">Forgalomképtelen földt. </t>
  </si>
  <si>
    <t>Volt hulladék l. 0185/1</t>
  </si>
  <si>
    <t>Forgalomképtelen földt. Közjóléti erdők</t>
  </si>
  <si>
    <t>Forgalomképtelen telkek áll.</t>
  </si>
  <si>
    <t>Forgalomképtelen építmények</t>
  </si>
  <si>
    <t>Aininger-ház felújítás</t>
  </si>
  <si>
    <t>Árpád Nádor út szennyvíz beruh</t>
  </si>
  <si>
    <t>Vak Bottyán szennyvíz csatl.</t>
  </si>
  <si>
    <t>Uszoda építés</t>
  </si>
  <si>
    <t>Springa közművesitése</t>
  </si>
  <si>
    <t>Déli elekrülő út II. ütem</t>
  </si>
  <si>
    <t>Kerékpár út 2015. évi</t>
  </si>
  <si>
    <t>TOP 3.2.1-15 Energetikai pályázat</t>
  </si>
  <si>
    <t>Interreg pályázat Madách szobor tér kial</t>
  </si>
  <si>
    <t>Sportcsarnok felújítása Kézilabda Szöv</t>
  </si>
  <si>
    <t>Védőnői Szolgálat fejlesztése TOP</t>
  </si>
  <si>
    <t>Nyitnikék Tagóvoda fejlesztése TOP</t>
  </si>
  <si>
    <t>Rákóczi 25-27 hasznosítása</t>
  </si>
  <si>
    <t>Rákóczi út 50 személyfelvonó kivitelezés</t>
  </si>
  <si>
    <t>Nyírjes Turisztikai Kp. fejlesztése TOP</t>
  </si>
  <si>
    <t>Bgy. Közint. energ. korszer. 1.</t>
  </si>
  <si>
    <t>Városi Bölcsőde fejlesztése</t>
  </si>
  <si>
    <t>Ipari parkok, ipariterületek fejlesztése</t>
  </si>
  <si>
    <t>Esély Otthon Balassagyarmaton</t>
  </si>
  <si>
    <t>Barnamezős területek rehabilitációja Balassagyarma</t>
  </si>
  <si>
    <t>Zöld csiga - Balassagyarmat zöldterületeinek megú.</t>
  </si>
  <si>
    <t>Mikszáth Kálmán Műv.Közp. vízvezeték felúj.</t>
  </si>
  <si>
    <t>Temető rekonstrukció</t>
  </si>
  <si>
    <t xml:space="preserve">Forgalom képtelen ingatlanok beruházásai </t>
  </si>
  <si>
    <t>Képzőművészeti alkotások forg. képtelen</t>
  </si>
  <si>
    <t>Forgalom képtelen vagyon összesen</t>
  </si>
  <si>
    <t>Korlátozottan forgalomképes földterület</t>
  </si>
  <si>
    <t>Polg.Hivatal "B" 509/1</t>
  </si>
  <si>
    <t>Korlátozottan forgalomképes épületek áll.</t>
  </si>
  <si>
    <t>Korlátozottan forgalomkép. egyéb építm. áll.</t>
  </si>
  <si>
    <t>Korlátozottan forgalomk. ing. vagyon beruh.</t>
  </si>
  <si>
    <t>Központi Óvoda</t>
  </si>
  <si>
    <t>Intézményi ingatlanok és kapcs. vagyon.ért.j.</t>
  </si>
  <si>
    <t>Képzőművészeti alkotások korl. forg. képes</t>
  </si>
  <si>
    <t>Korl. forg. gép, berend.</t>
  </si>
  <si>
    <t>Járművek aktivált értéke TV korl.forg.képes</t>
  </si>
  <si>
    <t>Korlátozottan forgalomképes vagyon összesen</t>
  </si>
  <si>
    <t>Törzsvagyon összesen</t>
  </si>
  <si>
    <t>Törzsvagyonba nem t. földterületek állománya</t>
  </si>
  <si>
    <t xml:space="preserve">Törzsvagyonba nem t. telkek áll. </t>
  </si>
  <si>
    <t xml:space="preserve">Törzsvagyonba nem t. épületek áll. </t>
  </si>
  <si>
    <t xml:space="preserve">Törzsvagyonba nem t. egyéb építmények áll. </t>
  </si>
  <si>
    <t>Törzsv.-ba nem t. ing. kapcs. vagyoni ért.jogok</t>
  </si>
  <si>
    <t xml:space="preserve">Nem törzsvagyonba tartozó igatlanvagyon ber. </t>
  </si>
  <si>
    <t>Ügyvitel számítás technikai eszközök</t>
  </si>
  <si>
    <t>Egyéb gép berendezés felszerelés</t>
  </si>
  <si>
    <t>Járművek összesen</t>
  </si>
  <si>
    <t>Intézményi gépek berendezések, járművek</t>
  </si>
  <si>
    <t>Nógrádterv KFT</t>
  </si>
  <si>
    <t>Tárnics Kft</t>
  </si>
  <si>
    <t>Városüzemeltetési KFT 2007</t>
  </si>
  <si>
    <t>Város Fejlesztési KFT</t>
  </si>
  <si>
    <t>Média KHT</t>
  </si>
  <si>
    <t>DMRVZRt</t>
  </si>
  <si>
    <t>Egyéb tartós részesedések</t>
  </si>
  <si>
    <t>Forgalomképes üzleti vagyon összesen</t>
  </si>
  <si>
    <t>Nemzeti vagyonba tartozó befektetett eszközök</t>
  </si>
  <si>
    <t xml:space="preserve"> - Ebből ÁHT-belül vagyonkez adott</t>
  </si>
  <si>
    <t xml:space="preserve"> - Ebből egyéb tartós részesedések</t>
  </si>
  <si>
    <t>Beszámoló 15/A melléklet szerinti érték.</t>
  </si>
  <si>
    <t>Önkormányzat vagyonkezelésbe ingatlanok</t>
  </si>
  <si>
    <t>Önkormányzat vagyonkezelésbe gépek</t>
  </si>
  <si>
    <t>GAMESZ vagyonkezelésbe ingatlan</t>
  </si>
  <si>
    <t>GAMESZ vagyonkezelésbe gépek</t>
  </si>
  <si>
    <t>GAMESZ vagyonkezelésbe immatj.</t>
  </si>
  <si>
    <t>Összesen</t>
  </si>
  <si>
    <t>Helyi önkormányzat tulajdonában és résztulajdonában álló gazdálkodó szervezetek részesedésének alakulása</t>
  </si>
  <si>
    <t>Névérték</t>
  </si>
  <si>
    <t>Értékvesztés</t>
  </si>
  <si>
    <t>Könyvsz. érték.</t>
  </si>
  <si>
    <t>Média Nonprofit Kft</t>
  </si>
  <si>
    <t>Közép-Magyarországi Regionális Fejlesztési Rt</t>
  </si>
  <si>
    <t>Vízmű Zrt</t>
  </si>
  <si>
    <t>Könyvtári állomány</t>
  </si>
  <si>
    <t>Intézmény</t>
  </si>
  <si>
    <t>eszköz megnevezése</t>
  </si>
  <si>
    <t>darabszám</t>
  </si>
  <si>
    <t>összérték (Ft)</t>
  </si>
  <si>
    <t>Városi Idősek Otthona</t>
  </si>
  <si>
    <t>könyvek</t>
  </si>
  <si>
    <t>videókazetta</t>
  </si>
  <si>
    <t>CD lemez</t>
  </si>
  <si>
    <t>Madách Imre Városi Könyvtár</t>
  </si>
  <si>
    <t>könyv</t>
  </si>
  <si>
    <t>bekötött folyóiratok</t>
  </si>
  <si>
    <t>CD</t>
  </si>
  <si>
    <t>Hanglemez</t>
  </si>
  <si>
    <t>Kazetta</t>
  </si>
  <si>
    <t>DVD</t>
  </si>
  <si>
    <t>CD-ROM</t>
  </si>
  <si>
    <t>Dia</t>
  </si>
  <si>
    <t>Kisnyomtatvány</t>
  </si>
  <si>
    <t>Videókazetta</t>
  </si>
  <si>
    <t>Térkép</t>
  </si>
  <si>
    <t>Balassi Bálint Gimnázium</t>
  </si>
  <si>
    <t>kép</t>
  </si>
  <si>
    <t>Balassi Stéle</t>
  </si>
  <si>
    <t>Balassi Bálint szobor</t>
  </si>
  <si>
    <t>Szederkényi Attila-kazettás bronzalk.</t>
  </si>
  <si>
    <t>dombormű, kisminta</t>
  </si>
  <si>
    <t>Mikszáth Kálmán Műv. Központ</t>
  </si>
  <si>
    <t>képzőművészeti alkotások</t>
  </si>
  <si>
    <t xml:space="preserve">Az államháztartás számviteléről szóló 4/2013.(I.11.) Kormr. 30.§ ( 3 ) a) pont. </t>
  </si>
  <si>
    <t>Balassagyarmat Város Önkormányzata által</t>
  </si>
  <si>
    <t>szervezeteknek nyújtott támogatások</t>
  </si>
  <si>
    <t>Teljesítés</t>
  </si>
  <si>
    <t>Mindösszesen:</t>
  </si>
  <si>
    <t>2017. év</t>
  </si>
  <si>
    <t>Szakmai nyilvántartásokban szereplő eszközökről 2017. XII.31.</t>
  </si>
  <si>
    <t>Képzőművészeti alkotások 2017. XII.31.</t>
  </si>
  <si>
    <t>2017. I.1.</t>
  </si>
  <si>
    <t>2017.XII.31.</t>
  </si>
  <si>
    <t xml:space="preserve">Nógrád Volán Zrt </t>
  </si>
  <si>
    <t>Szalézi Ifjúsági Tábor megrend.</t>
  </si>
  <si>
    <t>Római Katolikus Egyház</t>
  </si>
  <si>
    <t xml:space="preserve">Nagy Iván Honismereti pályázat </t>
  </si>
  <si>
    <t>Máshova nem sorolható köz.tev.</t>
  </si>
  <si>
    <t>Dévai Szent Ferenc Alpítvány tám.</t>
  </si>
  <si>
    <t>Palóc Pumák Se tám.</t>
  </si>
  <si>
    <t>Balassagyarmati Kábel SE tám.</t>
  </si>
  <si>
    <t>Kertész István Alapítvány tám.</t>
  </si>
  <si>
    <t>Mondj nemet a rasszizmusra tám.</t>
  </si>
  <si>
    <t>Balassi B.Gimn.ép.vizesblokk felúj.tám.</t>
  </si>
  <si>
    <t>Országos Lábtenisz bajnokság költs.tám.</t>
  </si>
  <si>
    <t>31. Zene határok nélkül</t>
  </si>
  <si>
    <t xml:space="preserve">31.Palóc  Triatlon </t>
  </si>
  <si>
    <t>Az Egészségesebb Nemzedékekért Egyesület tám.</t>
  </si>
  <si>
    <t>Balassa Sport Egyesület</t>
  </si>
  <si>
    <t>Balassagyarati Kábel SE</t>
  </si>
  <si>
    <t>Balassagyarmat  Térsége Fejl. Alapítvány</t>
  </si>
  <si>
    <t>Balassagyarmati Bástyák Jégkorongozó E.</t>
  </si>
  <si>
    <t>Balassagyarmati Dalegylet</t>
  </si>
  <si>
    <t>Balassagyarmati Diák Szabadidős és V.S.</t>
  </si>
  <si>
    <t>Balassagyarmati Hegymászó Klub</t>
  </si>
  <si>
    <t>Balassagyarmati Honismereti Híradó</t>
  </si>
  <si>
    <t>Balassagyarmati Kábel Se tám.</t>
  </si>
  <si>
    <t>Balassagyarmati Karate Sportegyesület Összeg</t>
  </si>
  <si>
    <t>Balassagyarmati Kerékpáros  Sportegy. Összeg</t>
  </si>
  <si>
    <t>Balassagyarmati Tenisz E.- Lábtenisz Összeg</t>
  </si>
  <si>
    <t>Balassagyarmati Tenisz Egyesület Összeg</t>
  </si>
  <si>
    <t>Balassagyarmati Városi Sportegyesület Összeg</t>
  </si>
  <si>
    <t>Balassi B. Környezetv. és Sportegyesület Összeg</t>
  </si>
  <si>
    <t>Benus Adél Tám.szerz.</t>
  </si>
  <si>
    <t>BMX,MTB verseny</t>
  </si>
  <si>
    <t>BSE Palós Farkasok Utánpótl  Összeg</t>
  </si>
  <si>
    <t>Cseperedő Óvodáért Alapítvány Összeg</t>
  </si>
  <si>
    <t>ÉFOÉSZ Nógrád M.Elf.Önérv.Egyesület Összeg</t>
  </si>
  <si>
    <t>Együtt a család</t>
  </si>
  <si>
    <t>Gyarmati Média Nonprofit Kft tám. Összeg</t>
  </si>
  <si>
    <t>Hallássér.Bajnokok Ligáján való részv. tám.</t>
  </si>
  <si>
    <t>Hallássérültek Futbal Bajnokok Lig. tám.</t>
  </si>
  <si>
    <t>Honismereti Híradó 2016.évkönyv</t>
  </si>
  <si>
    <t>I.Kézilabda Sportágválasztó Nap</t>
  </si>
  <si>
    <t>Ifjúsági alap tám.szerz. Összeg</t>
  </si>
  <si>
    <t>Így kell járni... néptánc gála</t>
  </si>
  <si>
    <t xml:space="preserve">II.Arcum Kupa Íjászverseny </t>
  </si>
  <si>
    <t>Ipoly-Táj Területfejlesztési Társulás Összeg</t>
  </si>
  <si>
    <t>Karácsonyi ünnapség tám.</t>
  </si>
  <si>
    <t>Kenyeresné,Csesznákné,asztalitenisz</t>
  </si>
  <si>
    <t>Kérdőjel Hobbi Egyesület</t>
  </si>
  <si>
    <t>Kertész István Alapítvány támogatása Összeg</t>
  </si>
  <si>
    <t>Kiss Á. VDSE Összeg</t>
  </si>
  <si>
    <t>Kiss Árpád Nevelési Alapítvány</t>
  </si>
  <si>
    <t>Kovács László egyéni exp.Franciai Guyana</t>
  </si>
  <si>
    <t>Kovács László Francia Guayana</t>
  </si>
  <si>
    <t>Lamenda Alapítvány</t>
  </si>
  <si>
    <t>Lencsés Éva Ultrabalaton és Panorámafut.</t>
  </si>
  <si>
    <t>Major Julianna Eu.Kupa</t>
  </si>
  <si>
    <t>Mikulás Kupa Karateverseny</t>
  </si>
  <si>
    <t>MNM Palóc Múzeuma</t>
  </si>
  <si>
    <t>Muhari Bálint Írorsz.JKA világbajnoks.</t>
  </si>
  <si>
    <t>Nagy ván Honismereti Pályázat díjaz.elis</t>
  </si>
  <si>
    <t>Napsugár Nyugdíjas Klub</t>
  </si>
  <si>
    <t>Országos Mentőszolgálat Alapítvány tám.</t>
  </si>
  <si>
    <t>Örökség Kulturális Műhely</t>
  </si>
  <si>
    <t>Palóc Pumák Kézilabda Sportegyesület Összeg</t>
  </si>
  <si>
    <t>Pedagógusok Szakszervezete Nm-i Szerv.</t>
  </si>
  <si>
    <t>Rados Máté Eu.Kupa</t>
  </si>
  <si>
    <t>Rákóczi Szövetség</t>
  </si>
  <si>
    <t>Sérült gyermekek napjának megrend.tám.</t>
  </si>
  <si>
    <t>Százszorszép száztagú dalkör koncert rend.</t>
  </si>
  <si>
    <t>Szent Imre Diáksport Egyesület Összeg</t>
  </si>
  <si>
    <t>Szilágyi János Eu.Kupa</t>
  </si>
  <si>
    <t>Szombati Ádám támogatási szerz.</t>
  </si>
  <si>
    <t>Szülők-nevelők bálja tám.</t>
  </si>
  <si>
    <t>Tájfutás világnapja</t>
  </si>
  <si>
    <t>Takács Csenge Írorsz. JKA világbajnoks.</t>
  </si>
  <si>
    <t>Tóth László emlékverseny</t>
  </si>
  <si>
    <t>Vakok és Gyengénlátók Nm-i Egyesülete</t>
  </si>
  <si>
    <t>Vályi Gergő Ausztriai Petzen kupa</t>
  </si>
  <si>
    <t>Vasas Bianka Eu.Kupa</t>
  </si>
  <si>
    <t>Vasútmodell kiállítás megrend.</t>
  </si>
  <si>
    <t>Veres József új könyve</t>
  </si>
  <si>
    <t>VI.Palóc Lovas Kultúra Napj.megrend</t>
  </si>
  <si>
    <t>Vitalitás Sportnap</t>
  </si>
  <si>
    <t>XI. Nógrád Nagydíj Tájfutóverseny</t>
  </si>
  <si>
    <t>XVII. Nógrád M.Fekvenyomó Bajnokság</t>
  </si>
  <si>
    <t>Zelenka István utcai futóverseny</t>
  </si>
  <si>
    <t>Vitalitás Sportegyesület Összeg</t>
  </si>
  <si>
    <t>A Rendelet 30.sz. melléklete</t>
  </si>
  <si>
    <t>A Rendelet 32 .sz. melléklete</t>
  </si>
  <si>
    <t>A Rendelet  33 .sz. melléklete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</si>
</sst>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</numFmts>
  <fonts count="6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Arial CE"/>
      <family val="2"/>
      <charset val="238"/>
    </font>
    <font>
      <sz val="11"/>
      <name val="Calibri"/>
      <family val="2"/>
    </font>
    <font>
      <sz val="10"/>
      <name val="Arial CE"/>
      <charset val="238"/>
    </font>
    <font>
      <sz val="10"/>
      <name val="Arial"/>
      <family val="2"/>
      <charset val="238"/>
    </font>
    <font>
      <b/>
      <i/>
      <sz val="11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</font>
    <font>
      <b/>
      <i/>
      <sz val="11"/>
      <name val="Arial"/>
      <family val="2"/>
    </font>
    <font>
      <b/>
      <sz val="9"/>
      <name val="Arial CE"/>
      <family val="2"/>
      <charset val="238"/>
    </font>
    <font>
      <b/>
      <i/>
      <sz val="9"/>
      <name val="Arial"/>
      <family val="2"/>
    </font>
    <font>
      <b/>
      <i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i/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</borders>
  <cellStyleXfs count="10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1" borderId="0" applyNumberFormat="0" applyBorder="0" applyAlignment="0" applyProtection="0"/>
    <xf numFmtId="0" fontId="38" fillId="46" borderId="0" applyNumberFormat="0" applyBorder="0" applyAlignment="0" applyProtection="0"/>
    <xf numFmtId="0" fontId="38" fillId="45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52" borderId="0" applyNumberFormat="0" applyBorder="0" applyAlignment="0" applyProtection="0"/>
    <xf numFmtId="0" fontId="39" fillId="36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4" borderId="0" applyNumberFormat="0" applyBorder="0" applyAlignment="0" applyProtection="0"/>
    <xf numFmtId="0" fontId="39" fillId="50" borderId="0" applyNumberFormat="0" applyBorder="0" applyAlignment="0" applyProtection="0"/>
    <xf numFmtId="0" fontId="39" fillId="52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40" fillId="39" borderId="0" applyNumberFormat="0" applyBorder="0" applyAlignment="0" applyProtection="0"/>
    <xf numFmtId="0" fontId="41" fillId="55" borderId="19" applyNumberFormat="0" applyAlignment="0" applyProtection="0"/>
    <xf numFmtId="0" fontId="42" fillId="44" borderId="20" applyNumberFormat="0" applyAlignment="0" applyProtection="0"/>
    <xf numFmtId="0" fontId="43" fillId="0" borderId="0" applyNumberFormat="0" applyFill="0" applyBorder="0" applyAlignment="0" applyProtection="0"/>
    <xf numFmtId="0" fontId="44" fillId="40" borderId="0" applyNumberFormat="0" applyBorder="0" applyAlignment="0" applyProtection="0"/>
    <xf numFmtId="0" fontId="45" fillId="0" borderId="21" applyNumberFormat="0" applyFill="0" applyAlignment="0" applyProtection="0"/>
    <xf numFmtId="0" fontId="46" fillId="0" borderId="22" applyNumberFormat="0" applyFill="0" applyAlignment="0" applyProtection="0"/>
    <xf numFmtId="0" fontId="47" fillId="0" borderId="23" applyNumberFormat="0" applyFill="0" applyAlignment="0" applyProtection="0"/>
    <xf numFmtId="0" fontId="47" fillId="0" borderId="0" applyNumberFormat="0" applyFill="0" applyBorder="0" applyAlignment="0" applyProtection="0"/>
    <xf numFmtId="0" fontId="48" fillId="43" borderId="19" applyNumberFormat="0" applyAlignment="0" applyProtection="0"/>
    <xf numFmtId="0" fontId="49" fillId="0" borderId="24" applyNumberFormat="0" applyFill="0" applyAlignment="0" applyProtection="0"/>
    <xf numFmtId="0" fontId="50" fillId="56" borderId="0" applyNumberFormat="0" applyBorder="0" applyAlignment="0" applyProtection="0"/>
    <xf numFmtId="0" fontId="5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57" borderId="25" applyNumberFormat="0" applyFont="0" applyAlignment="0" applyProtection="0"/>
    <xf numFmtId="0" fontId="53" fillId="55" borderId="26" applyNumberFormat="0" applyAlignment="0" applyProtection="0"/>
    <xf numFmtId="0" fontId="54" fillId="0" borderId="0" applyNumberFormat="0" applyFill="0" applyBorder="0" applyAlignment="0" applyProtection="0"/>
    <xf numFmtId="0" fontId="55" fillId="0" borderId="27" applyNumberFormat="0" applyFill="0" applyAlignment="0" applyProtection="0"/>
    <xf numFmtId="0" fontId="56" fillId="0" borderId="0" applyNumberFormat="0" applyFill="0" applyBorder="0" applyAlignment="0" applyProtection="0"/>
    <xf numFmtId="43" fontId="52" fillId="0" borderId="0" applyFont="0" applyFill="0" applyBorder="0" applyAlignment="0" applyProtection="0"/>
  </cellStyleXfs>
  <cellXfs count="120">
    <xf numFmtId="0" fontId="0" fillId="0" borderId="0" xfId="0"/>
    <xf numFmtId="0" fontId="19" fillId="0" borderId="0" xfId="0" applyFont="1"/>
    <xf numFmtId="0" fontId="19" fillId="0" borderId="10" xfId="0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13" xfId="42" applyFont="1" applyBorder="1"/>
    <xf numFmtId="0" fontId="18" fillId="33" borderId="13" xfId="43" applyFont="1" applyFill="1" applyBorder="1"/>
    <xf numFmtId="0" fontId="0" fillId="0" borderId="13" xfId="0" applyBorder="1"/>
    <xf numFmtId="0" fontId="18" fillId="33" borderId="13" xfId="43" applyFont="1" applyFill="1" applyBorder="1" applyAlignment="1">
      <alignment horizontal="left"/>
    </xf>
    <xf numFmtId="0" fontId="22" fillId="34" borderId="13" xfId="43" applyFont="1" applyFill="1" applyBorder="1"/>
    <xf numFmtId="0" fontId="23" fillId="33" borderId="13" xfId="43" applyFont="1" applyFill="1" applyBorder="1"/>
    <xf numFmtId="3" fontId="23" fillId="33" borderId="14" xfId="43" applyNumberFormat="1" applyFont="1" applyFill="1" applyBorder="1"/>
    <xf numFmtId="1" fontId="24" fillId="33" borderId="13" xfId="44" applyNumberFormat="1" applyFont="1" applyFill="1" applyBorder="1"/>
    <xf numFmtId="1" fontId="25" fillId="34" borderId="13" xfId="44" applyNumberFormat="1" applyFont="1" applyFill="1" applyBorder="1"/>
    <xf numFmtId="3" fontId="25" fillId="34" borderId="14" xfId="44" applyNumberFormat="1" applyFont="1" applyFill="1" applyBorder="1"/>
    <xf numFmtId="0" fontId="23" fillId="33" borderId="13" xfId="0" applyFont="1" applyFill="1" applyBorder="1"/>
    <xf numFmtId="3" fontId="23" fillId="33" borderId="14" xfId="0" applyNumberFormat="1" applyFont="1" applyFill="1" applyBorder="1"/>
    <xf numFmtId="0" fontId="26" fillId="33" borderId="13" xfId="0" applyFont="1" applyFill="1" applyBorder="1"/>
    <xf numFmtId="3" fontId="26" fillId="33" borderId="14" xfId="0" applyNumberFormat="1" applyFont="1" applyFill="1" applyBorder="1"/>
    <xf numFmtId="0" fontId="26" fillId="33" borderId="13" xfId="0" applyFont="1" applyFill="1" applyBorder="1" applyAlignment="1">
      <alignment horizontal="left"/>
    </xf>
    <xf numFmtId="0" fontId="19" fillId="0" borderId="13" xfId="0" applyFont="1" applyBorder="1"/>
    <xf numFmtId="164" fontId="19" fillId="0" borderId="14" xfId="45" applyNumberFormat="1" applyFont="1" applyBorder="1"/>
    <xf numFmtId="164" fontId="19" fillId="0" borderId="15" xfId="45" applyNumberFormat="1" applyFont="1" applyBorder="1"/>
    <xf numFmtId="3" fontId="26" fillId="33" borderId="15" xfId="0" applyNumberFormat="1" applyFont="1" applyFill="1" applyBorder="1"/>
    <xf numFmtId="1" fontId="27" fillId="34" borderId="13" xfId="46" applyNumberFormat="1" applyFont="1" applyFill="1" applyBorder="1"/>
    <xf numFmtId="3" fontId="27" fillId="34" borderId="14" xfId="46" applyNumberFormat="1" applyFont="1" applyFill="1" applyBorder="1"/>
    <xf numFmtId="0" fontId="28" fillId="35" borderId="13" xfId="0" applyFont="1" applyFill="1" applyBorder="1"/>
    <xf numFmtId="3" fontId="28" fillId="35" borderId="14" xfId="0" applyNumberFormat="1" applyFont="1" applyFill="1" applyBorder="1"/>
    <xf numFmtId="0" fontId="18" fillId="33" borderId="13" xfId="0" applyFont="1" applyFill="1" applyBorder="1"/>
    <xf numFmtId="3" fontId="18" fillId="33" borderId="14" xfId="0" applyNumberFormat="1" applyFont="1" applyFill="1" applyBorder="1"/>
    <xf numFmtId="0" fontId="23" fillId="33" borderId="13" xfId="0" applyFont="1" applyFill="1" applyBorder="1" applyAlignment="1">
      <alignment horizontal="left"/>
    </xf>
    <xf numFmtId="0" fontId="29" fillId="35" borderId="13" xfId="0" applyFont="1" applyFill="1" applyBorder="1"/>
    <xf numFmtId="0" fontId="30" fillId="34" borderId="16" xfId="0" applyFont="1" applyFill="1" applyBorder="1"/>
    <xf numFmtId="0" fontId="0" fillId="0" borderId="10" xfId="0" applyBorder="1"/>
    <xf numFmtId="164" fontId="19" fillId="0" borderId="11" xfId="45" applyNumberFormat="1" applyFont="1" applyBorder="1"/>
    <xf numFmtId="0" fontId="31" fillId="0" borderId="16" xfId="0" applyFont="1" applyBorder="1"/>
    <xf numFmtId="164" fontId="19" fillId="0" borderId="17" xfId="45" applyNumberFormat="1" applyFont="1" applyBorder="1"/>
    <xf numFmtId="164" fontId="19" fillId="0" borderId="18" xfId="45" applyNumberFormat="1" applyFont="1" applyBorder="1"/>
    <xf numFmtId="164" fontId="19" fillId="0" borderId="11" xfId="45" applyNumberFormat="1" applyFont="1" applyFill="1" applyBorder="1"/>
    <xf numFmtId="164" fontId="19" fillId="0" borderId="12" xfId="45" applyNumberFormat="1" applyFont="1" applyFill="1" applyBorder="1"/>
    <xf numFmtId="164" fontId="19" fillId="0" borderId="14" xfId="45" applyNumberFormat="1" applyFont="1" applyFill="1" applyBorder="1"/>
    <xf numFmtId="164" fontId="19" fillId="0" borderId="15" xfId="45" applyNumberFormat="1" applyFont="1" applyFill="1" applyBorder="1"/>
    <xf numFmtId="164" fontId="32" fillId="0" borderId="17" xfId="45" applyNumberFormat="1" applyFont="1" applyFill="1" applyBorder="1"/>
    <xf numFmtId="164" fontId="32" fillId="0" borderId="18" xfId="45" applyNumberFormat="1" applyFont="1" applyFill="1" applyBorder="1"/>
    <xf numFmtId="3" fontId="29" fillId="35" borderId="14" xfId="45" applyNumberFormat="1" applyFont="1" applyFill="1" applyBorder="1"/>
    <xf numFmtId="3" fontId="30" fillId="34" borderId="17" xfId="45" applyNumberFormat="1" applyFont="1" applyFill="1" applyBorder="1"/>
    <xf numFmtId="0" fontId="0" fillId="0" borderId="14" xfId="0" applyBorder="1"/>
    <xf numFmtId="0" fontId="18" fillId="33" borderId="14" xfId="43" applyFont="1" applyFill="1" applyBorder="1"/>
    <xf numFmtId="0" fontId="22" fillId="34" borderId="14" xfId="43" applyFont="1" applyFill="1" applyBorder="1"/>
    <xf numFmtId="0" fontId="0" fillId="0" borderId="15" xfId="0" applyBorder="1"/>
    <xf numFmtId="0" fontId="18" fillId="33" borderId="15" xfId="43" applyFont="1" applyFill="1" applyBorder="1"/>
    <xf numFmtId="0" fontId="22" fillId="34" borderId="15" xfId="43" applyFont="1" applyFill="1" applyBorder="1"/>
    <xf numFmtId="3" fontId="23" fillId="33" borderId="15" xfId="43" applyNumberFormat="1" applyFont="1" applyFill="1" applyBorder="1"/>
    <xf numFmtId="49" fontId="0" fillId="0" borderId="13" xfId="0" applyNumberFormat="1" applyBorder="1"/>
    <xf numFmtId="3" fontId="25" fillId="34" borderId="15" xfId="44" applyNumberFormat="1" applyFont="1" applyFill="1" applyBorder="1"/>
    <xf numFmtId="3" fontId="23" fillId="33" borderId="15" xfId="0" applyNumberFormat="1" applyFont="1" applyFill="1" applyBorder="1"/>
    <xf numFmtId="3" fontId="27" fillId="34" borderId="15" xfId="46" applyNumberFormat="1" applyFont="1" applyFill="1" applyBorder="1"/>
    <xf numFmtId="3" fontId="28" fillId="35" borderId="15" xfId="0" applyNumberFormat="1" applyFont="1" applyFill="1" applyBorder="1"/>
    <xf numFmtId="3" fontId="18" fillId="33" borderId="15" xfId="0" applyNumberFormat="1" applyFont="1" applyFill="1" applyBorder="1"/>
    <xf numFmtId="3" fontId="29" fillId="35" borderId="15" xfId="45" applyNumberFormat="1" applyFont="1" applyFill="1" applyBorder="1"/>
    <xf numFmtId="3" fontId="30" fillId="34" borderId="18" xfId="45" applyNumberFormat="1" applyFont="1" applyFill="1" applyBorder="1"/>
    <xf numFmtId="0" fontId="33" fillId="0" borderId="0" xfId="47" applyFont="1"/>
    <xf numFmtId="0" fontId="21" fillId="0" borderId="0" xfId="47"/>
    <xf numFmtId="0" fontId="21" fillId="0" borderId="0" xfId="47" applyFont="1"/>
    <xf numFmtId="0" fontId="21" fillId="0" borderId="14" xfId="47" applyBorder="1"/>
    <xf numFmtId="0" fontId="34" fillId="0" borderId="14" xfId="47" applyFont="1" applyBorder="1" applyAlignment="1">
      <alignment horizontal="left"/>
    </xf>
    <xf numFmtId="164" fontId="21" fillId="0" borderId="14" xfId="48" applyNumberFormat="1" applyFill="1" applyBorder="1"/>
    <xf numFmtId="164" fontId="21" fillId="0" borderId="14" xfId="48" applyNumberFormat="1" applyBorder="1"/>
    <xf numFmtId="0" fontId="34" fillId="0" borderId="14" xfId="47" applyFont="1" applyBorder="1"/>
    <xf numFmtId="0" fontId="35" fillId="0" borderId="14" xfId="47" applyFont="1" applyBorder="1"/>
    <xf numFmtId="0" fontId="36" fillId="0" borderId="14" xfId="47" applyFont="1" applyBorder="1"/>
    <xf numFmtId="164" fontId="36" fillId="0" borderId="14" xfId="47" applyNumberFormat="1" applyFont="1" applyBorder="1"/>
    <xf numFmtId="0" fontId="20" fillId="0" borderId="0" xfId="97"/>
    <xf numFmtId="0" fontId="57" fillId="0" borderId="0" xfId="93" applyFont="1"/>
    <xf numFmtId="0" fontId="18" fillId="0" borderId="0" xfId="93" applyFont="1" applyAlignment="1">
      <alignment horizontal="center"/>
    </xf>
    <xf numFmtId="0" fontId="20" fillId="0" borderId="0" xfId="93"/>
    <xf numFmtId="0" fontId="18" fillId="0" borderId="0" xfId="93" applyFont="1"/>
    <xf numFmtId="0" fontId="58" fillId="0" borderId="0" xfId="93" applyFont="1" applyFill="1"/>
    <xf numFmtId="0" fontId="23" fillId="0" borderId="14" xfId="93" applyFont="1" applyBorder="1"/>
    <xf numFmtId="0" fontId="58" fillId="0" borderId="14" xfId="93" applyFont="1" applyFill="1" applyBorder="1"/>
    <xf numFmtId="0" fontId="58" fillId="0" borderId="14" xfId="93" applyFont="1" applyBorder="1"/>
    <xf numFmtId="165" fontId="58" fillId="0" borderId="14" xfId="93" applyNumberFormat="1" applyFont="1" applyBorder="1"/>
    <xf numFmtId="0" fontId="57" fillId="0" borderId="14" xfId="93" applyFont="1" applyBorder="1"/>
    <xf numFmtId="0" fontId="20" fillId="0" borderId="14" xfId="93" applyBorder="1"/>
    <xf numFmtId="165" fontId="20" fillId="0" borderId="14" xfId="93" applyNumberFormat="1" applyBorder="1"/>
    <xf numFmtId="0" fontId="20" fillId="0" borderId="0" xfId="93" applyFill="1"/>
    <xf numFmtId="0" fontId="20" fillId="0" borderId="14" xfId="93" applyFont="1" applyBorder="1"/>
    <xf numFmtId="0" fontId="57" fillId="0" borderId="0" xfId="93" applyFont="1" applyBorder="1"/>
    <xf numFmtId="0" fontId="20" fillId="0" borderId="0" xfId="93" applyBorder="1"/>
    <xf numFmtId="165" fontId="20" fillId="0" borderId="0" xfId="93" applyNumberFormat="1" applyBorder="1"/>
    <xf numFmtId="0" fontId="21" fillId="0" borderId="0" xfId="92"/>
    <xf numFmtId="0" fontId="21" fillId="0" borderId="0" xfId="92" applyFont="1"/>
    <xf numFmtId="0" fontId="60" fillId="0" borderId="10" xfId="92" applyFont="1" applyBorder="1"/>
    <xf numFmtId="0" fontId="21" fillId="0" borderId="11" xfId="92" applyBorder="1"/>
    <xf numFmtId="0" fontId="60" fillId="0" borderId="11" xfId="92" applyFont="1" applyBorder="1" applyAlignment="1">
      <alignment wrapText="1"/>
    </xf>
    <xf numFmtId="0" fontId="60" fillId="0" borderId="11" xfId="92" applyFont="1" applyBorder="1"/>
    <xf numFmtId="0" fontId="60" fillId="0" borderId="12" xfId="92" applyFont="1" applyBorder="1" applyAlignment="1">
      <alignment wrapText="1"/>
    </xf>
    <xf numFmtId="0" fontId="21" fillId="0" borderId="13" xfId="92" applyFont="1" applyBorder="1"/>
    <xf numFmtId="0" fontId="21" fillId="0" borderId="14" xfId="92" applyBorder="1"/>
    <xf numFmtId="3" fontId="21" fillId="0" borderId="14" xfId="92" applyNumberFormat="1" applyBorder="1"/>
    <xf numFmtId="0" fontId="61" fillId="0" borderId="14" xfId="92" applyFont="1" applyBorder="1"/>
    <xf numFmtId="3" fontId="21" fillId="0" borderId="15" xfId="92" applyNumberFormat="1" applyBorder="1"/>
    <xf numFmtId="0" fontId="21" fillId="0" borderId="14" xfId="92" applyFont="1" applyBorder="1"/>
    <xf numFmtId="16" fontId="21" fillId="0" borderId="0" xfId="92" applyNumberFormat="1"/>
    <xf numFmtId="49" fontId="20" fillId="0" borderId="13" xfId="94" applyNumberFormat="1" applyBorder="1"/>
    <xf numFmtId="3" fontId="21" fillId="0" borderId="0" xfId="92" applyNumberFormat="1"/>
    <xf numFmtId="49" fontId="20" fillId="0" borderId="13" xfId="96" applyNumberFormat="1" applyBorder="1"/>
    <xf numFmtId="49" fontId="20" fillId="0" borderId="28" xfId="95" applyNumberFormat="1" applyBorder="1"/>
    <xf numFmtId="0" fontId="21" fillId="0" borderId="14" xfId="47" applyFont="1" applyBorder="1"/>
    <xf numFmtId="49" fontId="58" fillId="0" borderId="13" xfId="96" applyNumberFormat="1" applyFont="1" applyBorder="1"/>
    <xf numFmtId="49" fontId="20" fillId="0" borderId="13" xfId="96" applyNumberFormat="1" applyFont="1" applyBorder="1"/>
    <xf numFmtId="0" fontId="21" fillId="0" borderId="16" xfId="92" applyBorder="1"/>
    <xf numFmtId="0" fontId="21" fillId="0" borderId="17" xfId="92" applyBorder="1"/>
    <xf numFmtId="3" fontId="36" fillId="0" borderId="18" xfId="92" applyNumberFormat="1" applyFont="1" applyBorder="1"/>
    <xf numFmtId="164" fontId="21" fillId="0" borderId="0" xfId="103" applyNumberFormat="1" applyFont="1"/>
    <xf numFmtId="164" fontId="21" fillId="0" borderId="0" xfId="92" applyNumberFormat="1"/>
    <xf numFmtId="0" fontId="18" fillId="0" borderId="0" xfId="0" applyFont="1" applyAlignment="1">
      <alignment horizontal="center"/>
    </xf>
    <xf numFmtId="0" fontId="24" fillId="0" borderId="0" xfId="47" applyFont="1" applyAlignment="1">
      <alignment horizontal="center"/>
    </xf>
    <xf numFmtId="0" fontId="18" fillId="0" borderId="0" xfId="93" applyFont="1" applyAlignment="1">
      <alignment horizontal="center"/>
    </xf>
    <xf numFmtId="0" fontId="59" fillId="0" borderId="0" xfId="92" applyFont="1" applyAlignment="1">
      <alignment horizontal="center"/>
    </xf>
  </cellXfs>
  <cellStyles count="104">
    <cellStyle name="1. jelölőszín" xfId="49"/>
    <cellStyle name="2. jelölőszín" xfId="50"/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20% - Accent1" xfId="51"/>
    <cellStyle name="20% - Accent2" xfId="52"/>
    <cellStyle name="20% - Accent3" xfId="53"/>
    <cellStyle name="20% - Accent4" xfId="54"/>
    <cellStyle name="20% - Accent5" xfId="55"/>
    <cellStyle name="20% - Accent6" xfId="56"/>
    <cellStyle name="3. jelölőszín" xfId="57"/>
    <cellStyle name="4. jelölőszín" xfId="58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5. jelölőszín" xfId="65"/>
    <cellStyle name="6. jelölőszín" xfId="66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60% - Accent1" xfId="67"/>
    <cellStyle name="60% - Accent2" xfId="68"/>
    <cellStyle name="60% - Accent3" xfId="69"/>
    <cellStyle name="60% - Accent4" xfId="70"/>
    <cellStyle name="60% - Accent5" xfId="71"/>
    <cellStyle name="60% - Accent6" xfId="72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evitel" xfId="9" builtinId="20" customBuiltin="1"/>
    <cellStyle name="Calculation" xfId="80"/>
    <cellStyle name="Check Cell" xfId="8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Explanatory Text" xfId="82"/>
    <cellStyle name="Ezres" xfId="45" builtinId="3"/>
    <cellStyle name="Ezres 2" xfId="48"/>
    <cellStyle name="Ezres 3" xfId="103"/>
    <cellStyle name="Figyelmeztetés" xfId="14" builtinId="11" customBuiltin="1"/>
    <cellStyle name="Good" xfId="83"/>
    <cellStyle name="Heading 1" xfId="84"/>
    <cellStyle name="Heading 2" xfId="85"/>
    <cellStyle name="Heading 3" xfId="86"/>
    <cellStyle name="Heading 4" xfId="87"/>
    <cellStyle name="Hivatkozott cella" xfId="12" builtinId="24" customBuiltin="1"/>
    <cellStyle name="Input" xfId="88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Linked Cell" xfId="89"/>
    <cellStyle name="Magyarázó szöveg" xfId="16" builtinId="53" customBuiltin="1"/>
    <cellStyle name="Neutral" xfId="90"/>
    <cellStyle name="Normál" xfId="0" builtinId="0"/>
    <cellStyle name="Normál 2" xfId="91"/>
    <cellStyle name="Normál 3" xfId="47"/>
    <cellStyle name="Normál_2010.évi támogatások" xfId="92"/>
    <cellStyle name="Normál_Könyvtárállomány intézményeknél 2007" xfId="93"/>
    <cellStyle name="Normál_LGEP" xfId="44"/>
    <cellStyle name="Normál_LJAR" xfId="46"/>
    <cellStyle name="Normál_Munka1" xfId="94"/>
    <cellStyle name="Normál_Munka2" xfId="95"/>
    <cellStyle name="Normál_Munka3" xfId="96"/>
    <cellStyle name="Normál_Vagyonkim2015" xfId="42"/>
    <cellStyle name="Normál_Vagyonlelt2008" xfId="97"/>
    <cellStyle name="Normál_Vagyonlelt2009" xfId="43"/>
    <cellStyle name="Note" xfId="98"/>
    <cellStyle name="Output" xfId="99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  <cellStyle name="Title" xfId="100"/>
    <cellStyle name="Total" xfId="101"/>
    <cellStyle name="Warning Text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/ktgv2008/Ktgv2002/2001besz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/ktgv2008/r&#233;gi/ktgv2005/intmunka/b&#233;radatok_V&#233;d&#337;n&#337;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/ktgv2008/Documents%20and%20Settings/r&#233;gi/ktgv2004/k114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/ktgv2008/Ktgv2003/k1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tgv2008/Ktgv2003/k1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/ktgv2008/ktgv2005/K1105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/ktgv2008/ktgv2006/K1106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10"/>
      <sheetName val="EP10"/>
      <sheetName val="EGYSZ012"/>
      <sheetName val="Egyszbesz"/>
      <sheetName val="EgyszbeszM"/>
      <sheetName val="EgyszbeszPMER"/>
      <sheetName val="PENZM1"/>
      <sheetName val="PAR13"/>
      <sheetName val="Munka4"/>
      <sheetName val="JO"/>
      <sheetName val="Norm"/>
      <sheetName val="INTN"/>
      <sheetName val="Kötött"/>
      <sheetName val="kötött int"/>
      <sheetName val="INTNORM+KÖT"/>
      <sheetName val="eszk"/>
      <sheetName val="forr"/>
      <sheetName val="MERLPHIV"/>
      <sheetName val="MERLINT"/>
      <sheetName val="MERLÖSSZ"/>
      <sheetName val="PMÖNK"/>
      <sheetName val="Központosított"/>
    </sheetNames>
    <sheetDataSet>
      <sheetData sheetId="0">
        <row r="1">
          <cell r="A1" t="str">
            <v>SORSZAM</v>
          </cell>
          <cell r="B1" t="str">
            <v>URSZ</v>
          </cell>
          <cell r="C1" t="str">
            <v>SORF</v>
          </cell>
          <cell r="D1" t="str">
            <v>BJ</v>
          </cell>
          <cell r="E1" t="str">
            <v>VJEL</v>
          </cell>
          <cell r="F1" t="str">
            <v>SZOV</v>
          </cell>
          <cell r="G1" t="str">
            <v>SZ1</v>
          </cell>
          <cell r="H1" t="str">
            <v>SZ2</v>
          </cell>
        </row>
        <row r="2">
          <cell r="A2" t="str">
            <v>1</v>
          </cell>
          <cell r="B2" t="str">
            <v>01</v>
          </cell>
          <cell r="C2" t="str">
            <v>1</v>
          </cell>
          <cell r="D2" t="str">
            <v>B</v>
          </cell>
          <cell r="E2">
            <v>1</v>
          </cell>
          <cell r="F2" t="str">
            <v>1.Vagyoni értékü jogok (1111,1121)</v>
          </cell>
        </row>
        <row r="3">
          <cell r="A3" t="str">
            <v>2</v>
          </cell>
          <cell r="B3" t="str">
            <v>01</v>
          </cell>
          <cell r="C3" t="str">
            <v>1</v>
          </cell>
          <cell r="D3" t="str">
            <v>B</v>
          </cell>
          <cell r="E3">
            <v>1</v>
          </cell>
          <cell r="F3" t="str">
            <v>2.Szellemi termékek (1112,1122)</v>
          </cell>
        </row>
        <row r="4">
          <cell r="A4" t="str">
            <v>3</v>
          </cell>
          <cell r="B4" t="str">
            <v>01</v>
          </cell>
          <cell r="C4" t="str">
            <v>1</v>
          </cell>
          <cell r="D4" t="str">
            <v>B</v>
          </cell>
          <cell r="E4">
            <v>1</v>
          </cell>
          <cell r="F4" t="str">
            <v>3.Egyéb immater.javak (1113,1123)</v>
          </cell>
        </row>
        <row r="5">
          <cell r="A5" t="str">
            <v>4</v>
          </cell>
          <cell r="B5" t="str">
            <v>01</v>
          </cell>
          <cell r="C5" t="str">
            <v>1</v>
          </cell>
          <cell r="D5" t="str">
            <v>B</v>
          </cell>
          <cell r="E5">
            <v>1</v>
          </cell>
          <cell r="F5" t="str">
            <v>4.Immat.javakra adott elöleg(116)</v>
          </cell>
        </row>
        <row r="6">
          <cell r="A6" t="str">
            <v>5</v>
          </cell>
          <cell r="B6" t="str">
            <v>01</v>
          </cell>
          <cell r="C6" t="str">
            <v>1</v>
          </cell>
          <cell r="D6" t="str">
            <v>B</v>
          </cell>
          <cell r="E6">
            <v>1</v>
          </cell>
          <cell r="F6" t="str">
            <v>I.Immateriális javak (111,112)</v>
          </cell>
        </row>
        <row r="7">
          <cell r="A7" t="str">
            <v>6</v>
          </cell>
          <cell r="B7" t="str">
            <v>01</v>
          </cell>
          <cell r="C7" t="str">
            <v>1</v>
          </cell>
          <cell r="D7" t="str">
            <v>B</v>
          </cell>
          <cell r="E7">
            <v>1</v>
          </cell>
          <cell r="F7" t="str">
            <v>1.Ingatlanok,kapcs.v.jog(121,122)</v>
          </cell>
        </row>
        <row r="8">
          <cell r="A8" t="str">
            <v>7</v>
          </cell>
          <cell r="B8" t="str">
            <v>01</v>
          </cell>
          <cell r="C8" t="str">
            <v>1</v>
          </cell>
          <cell r="D8" t="str">
            <v>B</v>
          </cell>
          <cell r="E8">
            <v>1</v>
          </cell>
          <cell r="F8" t="str">
            <v>2.Gépek,berend,felszerel.(131,132)</v>
          </cell>
        </row>
        <row r="9">
          <cell r="A9" t="str">
            <v>8</v>
          </cell>
          <cell r="B9" t="str">
            <v>01</v>
          </cell>
          <cell r="C9" t="str">
            <v>1</v>
          </cell>
          <cell r="D9" t="str">
            <v>B</v>
          </cell>
          <cell r="E9">
            <v>1</v>
          </cell>
          <cell r="F9" t="str">
            <v>3.Jármüvek (141,142)</v>
          </cell>
        </row>
        <row r="10">
          <cell r="A10" t="str">
            <v>9</v>
          </cell>
          <cell r="B10" t="str">
            <v>01</v>
          </cell>
          <cell r="C10" t="str">
            <v>1</v>
          </cell>
          <cell r="D10" t="str">
            <v>B</v>
          </cell>
          <cell r="E10">
            <v>1</v>
          </cell>
          <cell r="F10" t="str">
            <v>4.Tenyészállatok (1681,1682)</v>
          </cell>
        </row>
        <row r="11">
          <cell r="A11" t="str">
            <v>10</v>
          </cell>
          <cell r="B11" t="str">
            <v>01</v>
          </cell>
          <cell r="C11" t="str">
            <v>1</v>
          </cell>
          <cell r="D11" t="str">
            <v>B</v>
          </cell>
          <cell r="E11">
            <v>1</v>
          </cell>
          <cell r="F11" t="str">
            <v>4.Beruházások,felujitások</v>
          </cell>
        </row>
        <row r="12">
          <cell r="A12" t="str">
            <v>11</v>
          </cell>
          <cell r="B12" t="str">
            <v>01</v>
          </cell>
          <cell r="C12" t="str">
            <v>1</v>
          </cell>
          <cell r="D12" t="str">
            <v>B</v>
          </cell>
          <cell r="E12">
            <v>1</v>
          </cell>
          <cell r="F12" t="str">
            <v>5.Beruh-ra adott elölegek</v>
          </cell>
        </row>
        <row r="13">
          <cell r="A13" t="str">
            <v>12</v>
          </cell>
          <cell r="B13" t="str">
            <v>01</v>
          </cell>
          <cell r="C13" t="str">
            <v>1</v>
          </cell>
          <cell r="D13" t="str">
            <v>B</v>
          </cell>
          <cell r="E13">
            <v>1</v>
          </cell>
          <cell r="F13" t="str">
            <v>II.Tárgyi eszközök összesen</v>
          </cell>
        </row>
        <row r="14">
          <cell r="A14" t="str">
            <v>13</v>
          </cell>
          <cell r="B14" t="str">
            <v>01</v>
          </cell>
          <cell r="C14" t="str">
            <v>1</v>
          </cell>
          <cell r="D14" t="str">
            <v>B</v>
          </cell>
          <cell r="E14">
            <v>1</v>
          </cell>
          <cell r="F14" t="str">
            <v>1.Egyéb t.részesedés(171,175-böl)</v>
          </cell>
        </row>
        <row r="15">
          <cell r="A15" t="str">
            <v>14</v>
          </cell>
          <cell r="B15" t="str">
            <v>01</v>
          </cell>
          <cell r="C15" t="str">
            <v>1</v>
          </cell>
          <cell r="D15" t="str">
            <v>B</v>
          </cell>
          <cell r="E15">
            <v>1</v>
          </cell>
          <cell r="F15" t="str">
            <v>2.T.hit.értékpapir(172-174,175-böl)</v>
          </cell>
        </row>
        <row r="16">
          <cell r="A16" t="str">
            <v>15</v>
          </cell>
          <cell r="B16" t="str">
            <v>01</v>
          </cell>
          <cell r="C16" t="str">
            <v>1</v>
          </cell>
          <cell r="D16" t="str">
            <v>B</v>
          </cell>
          <cell r="E16">
            <v>1</v>
          </cell>
          <cell r="F16" t="str">
            <v>3.Egyéb tartosan adott kölcsön(19)</v>
          </cell>
        </row>
        <row r="17">
          <cell r="A17" t="str">
            <v>16</v>
          </cell>
          <cell r="B17" t="str">
            <v>01</v>
          </cell>
          <cell r="C17" t="str">
            <v>1</v>
          </cell>
          <cell r="D17" t="str">
            <v>B</v>
          </cell>
          <cell r="E17">
            <v>1</v>
          </cell>
          <cell r="F17" t="str">
            <v>4.Hosszu lejáratu bankbetétek(178)</v>
          </cell>
        </row>
        <row r="18">
          <cell r="A18" t="str">
            <v>17</v>
          </cell>
          <cell r="B18" t="str">
            <v>01</v>
          </cell>
          <cell r="C18" t="str">
            <v>1</v>
          </cell>
          <cell r="D18" t="str">
            <v>B</v>
          </cell>
          <cell r="E18">
            <v>1</v>
          </cell>
          <cell r="F18" t="str">
            <v>III.Befektetett pü-i eszköz össz</v>
          </cell>
        </row>
        <row r="19">
          <cell r="A19" t="str">
            <v>18</v>
          </cell>
          <cell r="B19" t="str">
            <v>01</v>
          </cell>
          <cell r="C19" t="str">
            <v>1</v>
          </cell>
          <cell r="D19" t="str">
            <v>B</v>
          </cell>
          <cell r="E19">
            <v>1</v>
          </cell>
          <cell r="F19" t="str">
            <v>IV.Üzemeltetésre,kez.átadott eszk.</v>
          </cell>
        </row>
        <row r="20">
          <cell r="A20" t="str">
            <v>19</v>
          </cell>
          <cell r="B20" t="str">
            <v>01</v>
          </cell>
          <cell r="C20" t="str">
            <v>1</v>
          </cell>
          <cell r="D20" t="str">
            <v>B</v>
          </cell>
          <cell r="E20">
            <v>1</v>
          </cell>
          <cell r="F20" t="str">
            <v>A.)BEFEKTETETT ESZKÖZÖK ÖSSZESEN</v>
          </cell>
        </row>
        <row r="21">
          <cell r="A21" t="str">
            <v>20</v>
          </cell>
          <cell r="B21" t="str">
            <v>01</v>
          </cell>
          <cell r="C21" t="str">
            <v>1</v>
          </cell>
          <cell r="D21" t="str">
            <v>B</v>
          </cell>
          <cell r="E21">
            <v>1</v>
          </cell>
          <cell r="F21" t="str">
            <v>1.Anyagok (21-22)</v>
          </cell>
        </row>
        <row r="22">
          <cell r="A22" t="str">
            <v>21</v>
          </cell>
          <cell r="B22" t="str">
            <v>01</v>
          </cell>
          <cell r="C22" t="str">
            <v>1</v>
          </cell>
          <cell r="D22" t="str">
            <v>B</v>
          </cell>
          <cell r="E22">
            <v>1</v>
          </cell>
          <cell r="F22" t="str">
            <v>2.Befejezetlen term,félk.term.(26)</v>
          </cell>
        </row>
        <row r="23">
          <cell r="A23" t="str">
            <v>22</v>
          </cell>
          <cell r="B23" t="str">
            <v>01</v>
          </cell>
          <cell r="C23" t="str">
            <v>1</v>
          </cell>
          <cell r="D23" t="str">
            <v>B</v>
          </cell>
          <cell r="E23">
            <v>1</v>
          </cell>
          <cell r="F23" t="str">
            <v>3.Növedék-,hizo és egyéb állat.(25)</v>
          </cell>
        </row>
        <row r="24">
          <cell r="A24" t="str">
            <v>23</v>
          </cell>
          <cell r="B24" t="str">
            <v>01</v>
          </cell>
          <cell r="C24" t="str">
            <v>1</v>
          </cell>
          <cell r="D24" t="str">
            <v>B</v>
          </cell>
          <cell r="E24">
            <v>1</v>
          </cell>
          <cell r="F24" t="str">
            <v>4.Késztermékek (24)</v>
          </cell>
        </row>
        <row r="25">
          <cell r="A25" t="str">
            <v>24</v>
          </cell>
          <cell r="B25" t="str">
            <v>01</v>
          </cell>
          <cell r="C25" t="str">
            <v>1</v>
          </cell>
          <cell r="D25" t="str">
            <v>B</v>
          </cell>
          <cell r="E25">
            <v>1</v>
          </cell>
          <cell r="F25" t="str">
            <v>2./a Áruk és közv.szolg.(23-bol)</v>
          </cell>
        </row>
        <row r="26">
          <cell r="A26" t="str">
            <v>25</v>
          </cell>
          <cell r="B26" t="str">
            <v>01</v>
          </cell>
          <cell r="C26" t="str">
            <v>1</v>
          </cell>
          <cell r="D26" t="str">
            <v>B</v>
          </cell>
          <cell r="E26">
            <v>1</v>
          </cell>
          <cell r="F26" t="str">
            <v>2./b Köv.fejében átvett eszk.,kész</v>
          </cell>
        </row>
        <row r="27">
          <cell r="A27" t="str">
            <v>26</v>
          </cell>
          <cell r="B27" t="str">
            <v>01</v>
          </cell>
          <cell r="C27" t="str">
            <v>1</v>
          </cell>
          <cell r="D27" t="str">
            <v>B</v>
          </cell>
          <cell r="E27">
            <v>1</v>
          </cell>
          <cell r="F27" t="str">
            <v>I.Készletek összesen</v>
          </cell>
        </row>
        <row r="28">
          <cell r="A28" t="str">
            <v>27</v>
          </cell>
          <cell r="B28" t="str">
            <v>01</v>
          </cell>
          <cell r="C28" t="str">
            <v>1</v>
          </cell>
          <cell r="D28" t="str">
            <v>B</v>
          </cell>
          <cell r="E28">
            <v>1</v>
          </cell>
          <cell r="F28" t="str">
            <v>1.Követelés szolg.-bol(vevök)(282)</v>
          </cell>
        </row>
        <row r="29">
          <cell r="A29" t="str">
            <v>28</v>
          </cell>
          <cell r="B29" t="str">
            <v>01</v>
          </cell>
          <cell r="C29" t="str">
            <v>1</v>
          </cell>
          <cell r="D29" t="str">
            <v>B</v>
          </cell>
          <cell r="E29">
            <v>1</v>
          </cell>
          <cell r="F29" t="str">
            <v>2.Adosok (281)</v>
          </cell>
        </row>
        <row r="30">
          <cell r="A30" t="str">
            <v>29</v>
          </cell>
          <cell r="B30" t="str">
            <v>01</v>
          </cell>
          <cell r="C30" t="str">
            <v>1</v>
          </cell>
          <cell r="D30" t="str">
            <v>B</v>
          </cell>
          <cell r="E30">
            <v>1</v>
          </cell>
          <cell r="F30" t="str">
            <v>3.Rövid lejáratu kölcsönök (27)</v>
          </cell>
        </row>
        <row r="31">
          <cell r="A31" t="str">
            <v>30</v>
          </cell>
          <cell r="B31" t="str">
            <v>01</v>
          </cell>
          <cell r="C31" t="str">
            <v>1</v>
          </cell>
          <cell r="D31" t="str">
            <v>B</v>
          </cell>
          <cell r="E31">
            <v>1</v>
          </cell>
          <cell r="F31" t="str">
            <v>4.Egyéb követ.(283-284,289,19-böl)</v>
          </cell>
        </row>
        <row r="32">
          <cell r="A32" t="str">
            <v>31</v>
          </cell>
          <cell r="B32" t="str">
            <v>01</v>
          </cell>
          <cell r="C32" t="str">
            <v>1</v>
          </cell>
          <cell r="D32" t="str">
            <v>B</v>
          </cell>
          <cell r="E32">
            <v>1</v>
          </cell>
          <cell r="F32" t="str">
            <v>- kölcs.t.évet követö évbeni részl</v>
          </cell>
        </row>
        <row r="33">
          <cell r="A33" t="str">
            <v>32</v>
          </cell>
          <cell r="B33" t="str">
            <v>01</v>
          </cell>
          <cell r="C33" t="str">
            <v>1</v>
          </cell>
          <cell r="D33" t="str">
            <v>B</v>
          </cell>
          <cell r="E33">
            <v>1</v>
          </cell>
          <cell r="F33" t="str">
            <v>- különf.egyéb követelések</v>
          </cell>
        </row>
        <row r="34">
          <cell r="A34" t="str">
            <v>33</v>
          </cell>
          <cell r="B34" t="str">
            <v>01</v>
          </cell>
          <cell r="C34" t="str">
            <v>1</v>
          </cell>
          <cell r="D34" t="str">
            <v>B</v>
          </cell>
          <cell r="E34">
            <v>1</v>
          </cell>
          <cell r="F34" t="str">
            <v>II.Követelések összesen</v>
          </cell>
        </row>
        <row r="35">
          <cell r="A35" t="str">
            <v>34</v>
          </cell>
          <cell r="B35" t="str">
            <v>01</v>
          </cell>
          <cell r="C35" t="str">
            <v>1</v>
          </cell>
          <cell r="D35" t="str">
            <v>B</v>
          </cell>
          <cell r="E35">
            <v>1</v>
          </cell>
          <cell r="F35" t="str">
            <v>1.Egyéb részesedés(295,298-bol)</v>
          </cell>
        </row>
        <row r="36">
          <cell r="A36" t="str">
            <v>35</v>
          </cell>
          <cell r="B36" t="str">
            <v>01</v>
          </cell>
          <cell r="C36" t="str">
            <v>1</v>
          </cell>
          <cell r="D36" t="str">
            <v>B</v>
          </cell>
          <cell r="E36">
            <v>1</v>
          </cell>
          <cell r="F36" t="str">
            <v>2.Forg.célu hitelvisz.értékpapirok</v>
          </cell>
        </row>
        <row r="37">
          <cell r="A37" t="str">
            <v>36</v>
          </cell>
          <cell r="B37" t="str">
            <v>01</v>
          </cell>
          <cell r="C37" t="str">
            <v>1</v>
          </cell>
          <cell r="D37" t="str">
            <v>B</v>
          </cell>
          <cell r="E37">
            <v>1</v>
          </cell>
          <cell r="F37" t="str">
            <v>III.Értékpapirok összesen</v>
          </cell>
        </row>
        <row r="38">
          <cell r="A38" t="str">
            <v>37</v>
          </cell>
          <cell r="B38" t="str">
            <v>01</v>
          </cell>
          <cell r="C38" t="str">
            <v>1</v>
          </cell>
          <cell r="D38" t="str">
            <v>B</v>
          </cell>
          <cell r="E38">
            <v>1</v>
          </cell>
          <cell r="F38" t="str">
            <v>1.Pénztárak,csekkek,betétkönyv.(33)</v>
          </cell>
        </row>
        <row r="39">
          <cell r="A39" t="str">
            <v>38</v>
          </cell>
          <cell r="B39" t="str">
            <v>01</v>
          </cell>
          <cell r="C39" t="str">
            <v>1</v>
          </cell>
          <cell r="D39" t="str">
            <v>B</v>
          </cell>
          <cell r="E39">
            <v>1</v>
          </cell>
          <cell r="F39" t="str">
            <v>2.Költségvetési bankszámlák (34)</v>
          </cell>
        </row>
        <row r="40">
          <cell r="A40" t="str">
            <v>39</v>
          </cell>
          <cell r="B40" t="str">
            <v>01</v>
          </cell>
          <cell r="C40" t="str">
            <v>1</v>
          </cell>
          <cell r="D40" t="str">
            <v>B</v>
          </cell>
          <cell r="E40">
            <v>1</v>
          </cell>
          <cell r="F40" t="str">
            <v>3.Elszámolási számlák (35)</v>
          </cell>
        </row>
        <row r="41">
          <cell r="A41" t="str">
            <v>40</v>
          </cell>
          <cell r="B41" t="str">
            <v>01</v>
          </cell>
          <cell r="C41" t="str">
            <v>1</v>
          </cell>
          <cell r="D41" t="str">
            <v>B</v>
          </cell>
          <cell r="E41">
            <v>1</v>
          </cell>
          <cell r="F41" t="str">
            <v>4.Idegen pénzeszközök (36)</v>
          </cell>
        </row>
        <row r="42">
          <cell r="A42" t="str">
            <v>41</v>
          </cell>
          <cell r="B42" t="str">
            <v>01</v>
          </cell>
          <cell r="C42" t="str">
            <v>1</v>
          </cell>
          <cell r="D42" t="str">
            <v>B</v>
          </cell>
          <cell r="E42">
            <v>1</v>
          </cell>
          <cell r="F42" t="str">
            <v>IV.Pénzeszközök összesen</v>
          </cell>
        </row>
        <row r="43">
          <cell r="A43" t="str">
            <v>42</v>
          </cell>
          <cell r="B43" t="str">
            <v>01</v>
          </cell>
          <cell r="C43" t="str">
            <v>1</v>
          </cell>
          <cell r="D43" t="str">
            <v>B</v>
          </cell>
          <cell r="E43">
            <v>1</v>
          </cell>
          <cell r="F43" t="str">
            <v>1/a Ktgv-i aktiv függö elszámol.</v>
          </cell>
        </row>
        <row r="44">
          <cell r="A44" t="str">
            <v>43</v>
          </cell>
          <cell r="B44" t="str">
            <v>01</v>
          </cell>
          <cell r="C44" t="str">
            <v>1</v>
          </cell>
          <cell r="D44" t="str">
            <v>B</v>
          </cell>
          <cell r="E44">
            <v>1</v>
          </cell>
          <cell r="F44" t="str">
            <v>2/a Ktgv-i aktiv átfuto elszám.</v>
          </cell>
        </row>
        <row r="45">
          <cell r="A45" t="str">
            <v>44</v>
          </cell>
          <cell r="B45" t="str">
            <v>01</v>
          </cell>
          <cell r="C45" t="str">
            <v>1</v>
          </cell>
          <cell r="D45" t="str">
            <v>B</v>
          </cell>
          <cell r="E45">
            <v>1</v>
          </cell>
          <cell r="F45" t="str">
            <v>3/a Ktgv-i aktiv kiegyenlitö elsz.</v>
          </cell>
        </row>
        <row r="46">
          <cell r="A46" t="str">
            <v>45</v>
          </cell>
          <cell r="B46" t="str">
            <v>01</v>
          </cell>
          <cell r="C46" t="str">
            <v>1</v>
          </cell>
          <cell r="D46" t="str">
            <v>B</v>
          </cell>
          <cell r="E46">
            <v>1</v>
          </cell>
          <cell r="F46" t="str">
            <v>1-3/b Ktgv-en kiv. aktiv kiegy.el.</v>
          </cell>
        </row>
        <row r="47">
          <cell r="A47" t="str">
            <v>46</v>
          </cell>
          <cell r="B47" t="str">
            <v>01</v>
          </cell>
          <cell r="C47" t="str">
            <v>1</v>
          </cell>
          <cell r="D47" t="str">
            <v>B</v>
          </cell>
          <cell r="E47">
            <v>1</v>
          </cell>
          <cell r="F47" t="str">
            <v>V.Egyéb aktiv pü-i elsz. összesen</v>
          </cell>
        </row>
        <row r="48">
          <cell r="A48" t="str">
            <v>47</v>
          </cell>
          <cell r="B48" t="str">
            <v>01</v>
          </cell>
          <cell r="C48" t="str">
            <v>1</v>
          </cell>
          <cell r="D48" t="str">
            <v>B</v>
          </cell>
          <cell r="E48">
            <v>1</v>
          </cell>
          <cell r="F48" t="str">
            <v>B.)FORGOESZKÖZÖK ÖSSZESEN</v>
          </cell>
        </row>
        <row r="49">
          <cell r="A49" t="str">
            <v>48</v>
          </cell>
          <cell r="B49" t="str">
            <v>01</v>
          </cell>
          <cell r="C49" t="str">
            <v>1</v>
          </cell>
          <cell r="D49" t="str">
            <v>B</v>
          </cell>
          <cell r="E49">
            <v>1</v>
          </cell>
          <cell r="F49" t="str">
            <v>E S Z K Ö Z Ö K  Ö S S Z E S E N</v>
          </cell>
        </row>
        <row r="50">
          <cell r="A50" t="str">
            <v>49</v>
          </cell>
          <cell r="B50" t="str">
            <v>01</v>
          </cell>
          <cell r="C50" t="str">
            <v>1</v>
          </cell>
          <cell r="D50" t="str">
            <v>J</v>
          </cell>
          <cell r="E50">
            <v>1</v>
          </cell>
          <cell r="F50" t="str">
            <v>1.Indulo töke (411)</v>
          </cell>
        </row>
        <row r="51">
          <cell r="A51" t="str">
            <v>50</v>
          </cell>
          <cell r="B51" t="str">
            <v>01</v>
          </cell>
          <cell r="C51" t="str">
            <v>1</v>
          </cell>
          <cell r="D51" t="str">
            <v>J</v>
          </cell>
          <cell r="E51">
            <v>1</v>
          </cell>
          <cell r="F51" t="str">
            <v>2.Tökeváltozások (412)</v>
          </cell>
        </row>
        <row r="52">
          <cell r="A52" t="str">
            <v>51</v>
          </cell>
          <cell r="B52" t="str">
            <v>01</v>
          </cell>
          <cell r="C52" t="str">
            <v>1</v>
          </cell>
          <cell r="D52" t="str">
            <v>J</v>
          </cell>
          <cell r="E52">
            <v>1</v>
          </cell>
          <cell r="F52" t="str">
            <v>D.)SAJÁT TÖKE ÖSSZESEN</v>
          </cell>
        </row>
        <row r="53">
          <cell r="A53" t="str">
            <v>52</v>
          </cell>
          <cell r="B53" t="str">
            <v>01</v>
          </cell>
          <cell r="C53" t="str">
            <v>1</v>
          </cell>
          <cell r="D53" t="str">
            <v>J</v>
          </cell>
          <cell r="E53">
            <v>1</v>
          </cell>
          <cell r="F53" t="str">
            <v>1.Ktgv-i tartalék elszám.</v>
          </cell>
        </row>
        <row r="54">
          <cell r="A54" t="str">
            <v>53</v>
          </cell>
          <cell r="B54" t="str">
            <v>01</v>
          </cell>
          <cell r="C54" t="str">
            <v>1</v>
          </cell>
          <cell r="D54" t="str">
            <v>J</v>
          </cell>
          <cell r="E54">
            <v>1</v>
          </cell>
          <cell r="F54" t="str">
            <v>- tárgyévi  ktgv-i tartalék</v>
          </cell>
        </row>
        <row r="55">
          <cell r="A55" t="str">
            <v>54</v>
          </cell>
          <cell r="B55" t="str">
            <v>01</v>
          </cell>
          <cell r="C55" t="str">
            <v>1</v>
          </cell>
          <cell r="D55" t="str">
            <v>J</v>
          </cell>
          <cell r="E55">
            <v>1</v>
          </cell>
          <cell r="F55" t="str">
            <v>- elözö évi ktgv-i tartalék</v>
          </cell>
        </row>
        <row r="56">
          <cell r="A56" t="str">
            <v>55</v>
          </cell>
          <cell r="B56" t="str">
            <v>01</v>
          </cell>
          <cell r="C56" t="str">
            <v>1</v>
          </cell>
          <cell r="D56" t="str">
            <v>J</v>
          </cell>
          <cell r="E56">
            <v>1</v>
          </cell>
          <cell r="F56" t="str">
            <v>2.Költségv-i pénzmaradvány(4212)</v>
          </cell>
        </row>
        <row r="57">
          <cell r="A57" t="str">
            <v>56</v>
          </cell>
          <cell r="B57" t="str">
            <v>01</v>
          </cell>
          <cell r="C57" t="str">
            <v>1</v>
          </cell>
          <cell r="D57" t="str">
            <v>J</v>
          </cell>
          <cell r="E57">
            <v>1</v>
          </cell>
          <cell r="F57" t="str">
            <v>3.Kiadási megtakaritás(425)</v>
          </cell>
        </row>
        <row r="58">
          <cell r="A58" t="str">
            <v>57</v>
          </cell>
          <cell r="B58" t="str">
            <v>01</v>
          </cell>
          <cell r="C58" t="str">
            <v>1</v>
          </cell>
          <cell r="D58" t="str">
            <v>J</v>
          </cell>
          <cell r="E58">
            <v>1</v>
          </cell>
          <cell r="F58" t="str">
            <v>4.Bevételi lemaradás(426)</v>
          </cell>
        </row>
        <row r="59">
          <cell r="A59" t="str">
            <v>58</v>
          </cell>
          <cell r="B59" t="str">
            <v>01</v>
          </cell>
          <cell r="C59" t="str">
            <v>1</v>
          </cell>
          <cell r="D59" t="str">
            <v>J</v>
          </cell>
          <cell r="E59">
            <v>1</v>
          </cell>
          <cell r="F59" t="str">
            <v>5.Elöirányzat-maradvány (424)</v>
          </cell>
        </row>
        <row r="60">
          <cell r="A60" t="str">
            <v>59</v>
          </cell>
          <cell r="B60" t="str">
            <v>01</v>
          </cell>
          <cell r="C60" t="str">
            <v>1</v>
          </cell>
          <cell r="D60" t="str">
            <v>J</v>
          </cell>
          <cell r="E60">
            <v>1</v>
          </cell>
          <cell r="F60" t="str">
            <v>I.Ktgv-i tartalékok összesen</v>
          </cell>
        </row>
        <row r="61">
          <cell r="A61" t="str">
            <v>60</v>
          </cell>
          <cell r="B61" t="str">
            <v>01</v>
          </cell>
          <cell r="C61" t="str">
            <v>1</v>
          </cell>
          <cell r="D61" t="str">
            <v>J</v>
          </cell>
          <cell r="E61">
            <v>1</v>
          </cell>
          <cell r="F61" t="str">
            <v>1.Vállalk.tart.elszám(4221,4224)</v>
          </cell>
        </row>
        <row r="62">
          <cell r="A62" t="str">
            <v>61</v>
          </cell>
          <cell r="B62" t="str">
            <v>01</v>
          </cell>
          <cell r="C62" t="str">
            <v>1</v>
          </cell>
          <cell r="D62" t="str">
            <v>J</v>
          </cell>
          <cell r="E62">
            <v>1</v>
          </cell>
          <cell r="F62" t="str">
            <v>- tárgyévi  vállalk. tartalék</v>
          </cell>
        </row>
        <row r="63">
          <cell r="A63" t="str">
            <v>62</v>
          </cell>
          <cell r="B63" t="str">
            <v>01</v>
          </cell>
          <cell r="C63" t="str">
            <v>1</v>
          </cell>
          <cell r="D63" t="str">
            <v>J</v>
          </cell>
          <cell r="E63">
            <v>1</v>
          </cell>
          <cell r="F63" t="str">
            <v>- elözö évi vállalk. tartalék</v>
          </cell>
        </row>
        <row r="64">
          <cell r="A64" t="str">
            <v>63</v>
          </cell>
          <cell r="B64" t="str">
            <v>01</v>
          </cell>
          <cell r="C64" t="str">
            <v>1</v>
          </cell>
          <cell r="D64" t="str">
            <v>J</v>
          </cell>
          <cell r="E64">
            <v>1</v>
          </cell>
          <cell r="F64" t="str">
            <v>2.Vállalkozási tev.eredménye(4222)</v>
          </cell>
        </row>
        <row r="65">
          <cell r="A65" t="str">
            <v>64</v>
          </cell>
          <cell r="B65" t="str">
            <v>01</v>
          </cell>
          <cell r="C65" t="str">
            <v>1</v>
          </cell>
          <cell r="D65" t="str">
            <v>J</v>
          </cell>
          <cell r="E65">
            <v>1</v>
          </cell>
          <cell r="F65" t="str">
            <v>3.Vállal.tev.kiadási megtak.(427)</v>
          </cell>
        </row>
        <row r="66">
          <cell r="A66" t="str">
            <v>65</v>
          </cell>
          <cell r="B66" t="str">
            <v>01</v>
          </cell>
          <cell r="C66" t="str">
            <v>1</v>
          </cell>
          <cell r="D66" t="str">
            <v>J</v>
          </cell>
          <cell r="E66">
            <v>1</v>
          </cell>
          <cell r="F66" t="str">
            <v>4.Vállal.tev.bev.lemaradása(428)</v>
          </cell>
        </row>
        <row r="67">
          <cell r="A67" t="str">
            <v>66</v>
          </cell>
          <cell r="B67" t="str">
            <v>01</v>
          </cell>
          <cell r="C67" t="str">
            <v>1</v>
          </cell>
          <cell r="D67" t="str">
            <v>J</v>
          </cell>
          <cell r="E67">
            <v>1</v>
          </cell>
          <cell r="F67" t="str">
            <v>II.Vállalkozási tartalék összesen</v>
          </cell>
        </row>
        <row r="68">
          <cell r="A68" t="str">
            <v>67</v>
          </cell>
          <cell r="B68" t="str">
            <v>01</v>
          </cell>
          <cell r="C68" t="str">
            <v>1</v>
          </cell>
          <cell r="D68" t="str">
            <v>J</v>
          </cell>
          <cell r="E68">
            <v>1</v>
          </cell>
          <cell r="F68" t="str">
            <v>E.)TARTALÉKOK ÖSSZESEN</v>
          </cell>
        </row>
        <row r="69">
          <cell r="A69" t="str">
            <v>68</v>
          </cell>
          <cell r="B69" t="str">
            <v>01</v>
          </cell>
          <cell r="C69" t="str">
            <v>1</v>
          </cell>
          <cell r="D69" t="str">
            <v>J</v>
          </cell>
          <cell r="E69">
            <v>1</v>
          </cell>
          <cell r="F69" t="str">
            <v>1.Hosszu lejár.kölcsönök(4351-4361)</v>
          </cell>
        </row>
        <row r="70">
          <cell r="A70" t="str">
            <v>69</v>
          </cell>
          <cell r="B70" t="str">
            <v>01</v>
          </cell>
          <cell r="C70" t="str">
            <v>1</v>
          </cell>
          <cell r="D70" t="str">
            <v>J</v>
          </cell>
          <cell r="E70">
            <v>1</v>
          </cell>
          <cell r="F70" t="str">
            <v>2.Tartozás fejl.c. kötvénykib-bol</v>
          </cell>
        </row>
        <row r="71">
          <cell r="A71" t="str">
            <v>70</v>
          </cell>
          <cell r="B71" t="str">
            <v>01</v>
          </cell>
          <cell r="C71" t="str">
            <v>1</v>
          </cell>
          <cell r="D71" t="str">
            <v>J</v>
          </cell>
          <cell r="E71">
            <v>1</v>
          </cell>
          <cell r="F71" t="str">
            <v>3.Beruh.,fejlesztési hitelek</v>
          </cell>
        </row>
        <row r="72">
          <cell r="A72" t="str">
            <v>71</v>
          </cell>
          <cell r="B72" t="str">
            <v>01</v>
          </cell>
          <cell r="C72" t="str">
            <v>1</v>
          </cell>
          <cell r="D72" t="str">
            <v>J</v>
          </cell>
          <cell r="E72">
            <v>1</v>
          </cell>
          <cell r="F72" t="str">
            <v>4.Egyéb hosszu lejáratu köt.(438)</v>
          </cell>
        </row>
        <row r="73">
          <cell r="A73" t="str">
            <v>72</v>
          </cell>
          <cell r="B73" t="str">
            <v>01</v>
          </cell>
          <cell r="C73" t="str">
            <v>1</v>
          </cell>
          <cell r="D73" t="str">
            <v>J</v>
          </cell>
          <cell r="E73">
            <v>1</v>
          </cell>
          <cell r="F73" t="str">
            <v>I.Hosszu lejáratu kötelezettségek</v>
          </cell>
        </row>
        <row r="74">
          <cell r="A74" t="str">
            <v>73</v>
          </cell>
          <cell r="B74" t="str">
            <v>01</v>
          </cell>
          <cell r="C74" t="str">
            <v>1</v>
          </cell>
          <cell r="D74" t="str">
            <v>J</v>
          </cell>
          <cell r="E74">
            <v>1</v>
          </cell>
          <cell r="F74" t="str">
            <v>1.Rövid lejár.kölcsönök(4561-4571)</v>
          </cell>
        </row>
        <row r="75">
          <cell r="A75" t="str">
            <v>74</v>
          </cell>
          <cell r="B75" t="str">
            <v>01</v>
          </cell>
          <cell r="C75" t="str">
            <v>1</v>
          </cell>
          <cell r="D75" t="str">
            <v>J</v>
          </cell>
          <cell r="E75">
            <v>1</v>
          </cell>
          <cell r="F75" t="str">
            <v>2.Rövid lejár.hitelek (4511-4541)</v>
          </cell>
        </row>
        <row r="76">
          <cell r="A76" t="str">
            <v>75</v>
          </cell>
          <cell r="B76" t="str">
            <v>01</v>
          </cell>
          <cell r="C76" t="str">
            <v>1</v>
          </cell>
          <cell r="D76" t="str">
            <v>J</v>
          </cell>
          <cell r="E76">
            <v>1</v>
          </cell>
          <cell r="F76" t="str">
            <v>3.Kötelezettség.(szállito)(441-443)</v>
          </cell>
        </row>
        <row r="77">
          <cell r="A77" t="str">
            <v>76</v>
          </cell>
          <cell r="B77" t="str">
            <v>01</v>
          </cell>
          <cell r="C77" t="str">
            <v>1</v>
          </cell>
          <cell r="D77" t="str">
            <v>J</v>
          </cell>
          <cell r="E77">
            <v>1</v>
          </cell>
          <cell r="F77" t="str">
            <v>- tárgyévi  ktgv-i száll.-i köt.</v>
          </cell>
        </row>
        <row r="78">
          <cell r="A78" t="str">
            <v>77</v>
          </cell>
          <cell r="B78" t="str">
            <v>01</v>
          </cell>
          <cell r="C78" t="str">
            <v>1</v>
          </cell>
          <cell r="D78" t="str">
            <v>J</v>
          </cell>
          <cell r="E78">
            <v>1</v>
          </cell>
          <cell r="F78" t="str">
            <v>- t.évet követö év szállitoi köt.</v>
          </cell>
        </row>
        <row r="79">
          <cell r="A79" t="str">
            <v>78</v>
          </cell>
          <cell r="B79" t="str">
            <v>01</v>
          </cell>
          <cell r="C79" t="str">
            <v>1</v>
          </cell>
          <cell r="D79" t="str">
            <v>J</v>
          </cell>
          <cell r="E79">
            <v>1</v>
          </cell>
          <cell r="F79" t="str">
            <v>4.Egyéb rövid lejáratu kötelezetts.</v>
          </cell>
        </row>
        <row r="80">
          <cell r="A80" t="str">
            <v>79</v>
          </cell>
          <cell r="B80" t="str">
            <v>01</v>
          </cell>
          <cell r="C80" t="str">
            <v>1</v>
          </cell>
          <cell r="D80" t="str">
            <v>J</v>
          </cell>
          <cell r="E80">
            <v>1</v>
          </cell>
          <cell r="F80" t="str">
            <v>- tartozás mük.célu értékpapirbol</v>
          </cell>
        </row>
        <row r="81">
          <cell r="A81" t="str">
            <v>80</v>
          </cell>
          <cell r="B81" t="str">
            <v>01</v>
          </cell>
          <cell r="C81" t="str">
            <v>1</v>
          </cell>
          <cell r="D81" t="str">
            <v>J</v>
          </cell>
          <cell r="E81">
            <v>1</v>
          </cell>
          <cell r="F81" t="str">
            <v>- beruh,fejl.hitel köv.évi törl.</v>
          </cell>
        </row>
        <row r="82">
          <cell r="A82" t="str">
            <v>81</v>
          </cell>
          <cell r="B82" t="str">
            <v>01</v>
          </cell>
          <cell r="C82" t="str">
            <v>1</v>
          </cell>
          <cell r="D82" t="str">
            <v>J</v>
          </cell>
          <cell r="E82">
            <v>1</v>
          </cell>
          <cell r="F82" t="str">
            <v>- hosszu lejár.köt.köv.évben rész.</v>
          </cell>
        </row>
        <row r="83">
          <cell r="A83" t="str">
            <v>82</v>
          </cell>
          <cell r="B83" t="str">
            <v>01</v>
          </cell>
          <cell r="C83" t="str">
            <v>1</v>
          </cell>
          <cell r="D83" t="str">
            <v>J</v>
          </cell>
          <cell r="E83">
            <v>1</v>
          </cell>
          <cell r="F83" t="str">
            <v>- t.évi  ktgv-t terh.rövid.köt.</v>
          </cell>
        </row>
        <row r="84">
          <cell r="A84" t="str">
            <v>83</v>
          </cell>
          <cell r="B84" t="str">
            <v>01</v>
          </cell>
          <cell r="C84" t="str">
            <v>1</v>
          </cell>
          <cell r="D84" t="str">
            <v>J</v>
          </cell>
          <cell r="E84">
            <v>1</v>
          </cell>
          <cell r="F84" t="str">
            <v>- különféle egyéb rövid lejár.köt.</v>
          </cell>
        </row>
        <row r="85">
          <cell r="A85" t="str">
            <v>84</v>
          </cell>
          <cell r="B85" t="str">
            <v>01</v>
          </cell>
          <cell r="C85" t="str">
            <v>1</v>
          </cell>
          <cell r="D85" t="str">
            <v>J</v>
          </cell>
          <cell r="E85">
            <v>1</v>
          </cell>
          <cell r="F85" t="str">
            <v>II.Rövid lejáratu kötelezettségek</v>
          </cell>
        </row>
        <row r="86">
          <cell r="A86" t="str">
            <v>85</v>
          </cell>
          <cell r="B86" t="str">
            <v>01</v>
          </cell>
          <cell r="C86" t="str">
            <v>1</v>
          </cell>
          <cell r="D86" t="str">
            <v>J</v>
          </cell>
          <cell r="E86">
            <v>1</v>
          </cell>
          <cell r="F86" t="str">
            <v>1/a Ktgv-i passziv függö elszám.</v>
          </cell>
        </row>
        <row r="87">
          <cell r="A87" t="str">
            <v>86</v>
          </cell>
          <cell r="B87" t="str">
            <v>01</v>
          </cell>
          <cell r="C87" t="str">
            <v>1</v>
          </cell>
          <cell r="D87" t="str">
            <v>J</v>
          </cell>
          <cell r="E87">
            <v>1</v>
          </cell>
          <cell r="F87" t="str">
            <v>2/a Ktgv-i passziv átfuto elszám.</v>
          </cell>
        </row>
        <row r="88">
          <cell r="A88" t="str">
            <v>87</v>
          </cell>
          <cell r="B88" t="str">
            <v>01</v>
          </cell>
          <cell r="C88" t="str">
            <v>1</v>
          </cell>
          <cell r="D88" t="str">
            <v>J</v>
          </cell>
          <cell r="E88">
            <v>1</v>
          </cell>
          <cell r="F88" t="str">
            <v>3/a Ktgv-i passziv kiegy. elszámol.</v>
          </cell>
        </row>
        <row r="89">
          <cell r="A89" t="str">
            <v>88</v>
          </cell>
          <cell r="B89" t="str">
            <v>01</v>
          </cell>
          <cell r="C89" t="str">
            <v>1</v>
          </cell>
          <cell r="D89" t="str">
            <v>J</v>
          </cell>
          <cell r="E89">
            <v>1</v>
          </cell>
          <cell r="F89" t="str">
            <v>1-3/b ktgv-en kiv.passz.kiegy. elsz.</v>
          </cell>
        </row>
        <row r="90">
          <cell r="A90" t="str">
            <v>89</v>
          </cell>
          <cell r="B90" t="str">
            <v>01</v>
          </cell>
          <cell r="C90" t="str">
            <v>1</v>
          </cell>
          <cell r="D90" t="str">
            <v>J</v>
          </cell>
          <cell r="E90">
            <v>1</v>
          </cell>
          <cell r="F90" t="str">
            <v>4.Passziv letéti elszám.(488-bol)</v>
          </cell>
        </row>
        <row r="91">
          <cell r="A91" t="str">
            <v>90</v>
          </cell>
          <cell r="B91" t="str">
            <v>01</v>
          </cell>
          <cell r="C91" t="str">
            <v>1</v>
          </cell>
          <cell r="D91" t="str">
            <v>J</v>
          </cell>
          <cell r="E91">
            <v>1</v>
          </cell>
          <cell r="F91" t="str">
            <v>5.Nemzetközi tám.prog.dev.elszámol.</v>
          </cell>
        </row>
        <row r="92">
          <cell r="A92" t="str">
            <v>91</v>
          </cell>
          <cell r="B92" t="str">
            <v>01</v>
          </cell>
          <cell r="C92" t="str">
            <v>1</v>
          </cell>
          <cell r="D92" t="str">
            <v>J</v>
          </cell>
          <cell r="E92">
            <v>1</v>
          </cell>
          <cell r="F92" t="str">
            <v>III.egyéb passziv pü-i elszám-ok</v>
          </cell>
        </row>
        <row r="93">
          <cell r="A93" t="str">
            <v>92</v>
          </cell>
          <cell r="B93" t="str">
            <v>01</v>
          </cell>
          <cell r="C93" t="str">
            <v>1</v>
          </cell>
          <cell r="D93" t="str">
            <v>J</v>
          </cell>
          <cell r="E93">
            <v>1</v>
          </cell>
          <cell r="F93" t="str">
            <v>F.) KÖTELEZETTSÉGEK ÖSSZESEN</v>
          </cell>
        </row>
        <row r="94">
          <cell r="A94" t="str">
            <v>93</v>
          </cell>
          <cell r="B94" t="str">
            <v>01</v>
          </cell>
          <cell r="C94" t="str">
            <v>1</v>
          </cell>
          <cell r="D94" t="str">
            <v>J</v>
          </cell>
          <cell r="E94">
            <v>1</v>
          </cell>
        </row>
        <row r="95">
          <cell r="A95" t="str">
            <v>94</v>
          </cell>
          <cell r="B95" t="str">
            <v>01</v>
          </cell>
          <cell r="C95" t="str">
            <v>1</v>
          </cell>
          <cell r="D95" t="str">
            <v>J</v>
          </cell>
          <cell r="E95">
            <v>1</v>
          </cell>
        </row>
        <row r="96">
          <cell r="A96" t="str">
            <v>95</v>
          </cell>
          <cell r="B96" t="str">
            <v>01</v>
          </cell>
          <cell r="C96" t="str">
            <v>1</v>
          </cell>
          <cell r="D96" t="str">
            <v>J</v>
          </cell>
          <cell r="E96">
            <v>1</v>
          </cell>
        </row>
        <row r="97">
          <cell r="A97" t="str">
            <v>96</v>
          </cell>
          <cell r="B97" t="str">
            <v>01</v>
          </cell>
          <cell r="C97" t="str">
            <v>1</v>
          </cell>
          <cell r="D97" t="str">
            <v>J</v>
          </cell>
          <cell r="E97">
            <v>1</v>
          </cell>
          <cell r="F97" t="str">
            <v>F O R R Á S O K   Ö S S Z E S E N</v>
          </cell>
        </row>
        <row r="98">
          <cell r="A98" t="str">
            <v>1</v>
          </cell>
          <cell r="B98" t="str">
            <v>02</v>
          </cell>
          <cell r="C98" t="str">
            <v>1</v>
          </cell>
          <cell r="D98" t="str">
            <v>B</v>
          </cell>
          <cell r="E98">
            <v>1</v>
          </cell>
          <cell r="F98" t="str">
            <v>Alapilletmények</v>
          </cell>
        </row>
        <row r="99">
          <cell r="A99" t="str">
            <v>2</v>
          </cell>
          <cell r="B99" t="str">
            <v>02</v>
          </cell>
          <cell r="C99" t="str">
            <v>1</v>
          </cell>
          <cell r="D99" t="str">
            <v>B</v>
          </cell>
          <cell r="E99">
            <v>1</v>
          </cell>
          <cell r="F99" t="str">
            <v>Illetménykiegészitések</v>
          </cell>
        </row>
        <row r="100">
          <cell r="A100" t="str">
            <v>3</v>
          </cell>
          <cell r="B100" t="str">
            <v>02</v>
          </cell>
          <cell r="C100" t="str">
            <v>1</v>
          </cell>
          <cell r="D100" t="str">
            <v>B</v>
          </cell>
          <cell r="E100">
            <v>1</v>
          </cell>
          <cell r="F100" t="str">
            <v>Nyelvpotlék</v>
          </cell>
        </row>
        <row r="101">
          <cell r="A101" t="str">
            <v>4</v>
          </cell>
          <cell r="B101" t="str">
            <v>02</v>
          </cell>
          <cell r="C101" t="str">
            <v>1</v>
          </cell>
          <cell r="D101" t="str">
            <v>B</v>
          </cell>
          <cell r="E101">
            <v>1</v>
          </cell>
          <cell r="F101" t="str">
            <v>Egyéb kötelezö illetménypotlékok</v>
          </cell>
        </row>
        <row r="102">
          <cell r="A102" t="str">
            <v>5</v>
          </cell>
          <cell r="B102" t="str">
            <v>02</v>
          </cell>
          <cell r="C102" t="str">
            <v>1</v>
          </cell>
          <cell r="D102" t="str">
            <v>B</v>
          </cell>
          <cell r="E102">
            <v>1</v>
          </cell>
          <cell r="F102" t="str">
            <v>Egyéb feltételtöl függö potlékok és juttatások</v>
          </cell>
        </row>
        <row r="103">
          <cell r="A103" t="str">
            <v>6</v>
          </cell>
          <cell r="B103" t="str">
            <v>02</v>
          </cell>
          <cell r="C103" t="str">
            <v>1</v>
          </cell>
          <cell r="D103" t="str">
            <v>B</v>
          </cell>
          <cell r="E103">
            <v>1</v>
          </cell>
          <cell r="F103" t="str">
            <v>Egyéb juttatás</v>
          </cell>
        </row>
        <row r="104">
          <cell r="A104" t="str">
            <v>7</v>
          </cell>
          <cell r="B104" t="str">
            <v>02</v>
          </cell>
          <cell r="C104" t="str">
            <v>1</v>
          </cell>
          <cell r="D104" t="str">
            <v>B</v>
          </cell>
          <cell r="E104">
            <v>1</v>
          </cell>
          <cell r="F104" t="str">
            <v>Telj.munkaidö.fogl.rendszeres szem.jut.össz.(01+...+06)</v>
          </cell>
        </row>
        <row r="105">
          <cell r="A105" t="str">
            <v>8</v>
          </cell>
          <cell r="B105" t="str">
            <v>02</v>
          </cell>
          <cell r="C105" t="str">
            <v>1</v>
          </cell>
          <cell r="D105" t="str">
            <v>B</v>
          </cell>
          <cell r="E105">
            <v>1</v>
          </cell>
          <cell r="F105" t="str">
            <v>Részmunkaidöben fogl.rendszeres személyi juttatása</v>
          </cell>
        </row>
        <row r="106">
          <cell r="A106" t="str">
            <v>9</v>
          </cell>
          <cell r="B106" t="str">
            <v>02</v>
          </cell>
          <cell r="C106" t="str">
            <v>1</v>
          </cell>
          <cell r="D106" t="str">
            <v>B</v>
          </cell>
          <cell r="E106">
            <v>1</v>
          </cell>
          <cell r="F106" t="str">
            <v>Rendszeres személyi juttatások (07+08)</v>
          </cell>
        </row>
        <row r="107">
          <cell r="A107" t="str">
            <v>10</v>
          </cell>
          <cell r="B107" t="str">
            <v>02</v>
          </cell>
          <cell r="C107" t="str">
            <v>1</v>
          </cell>
          <cell r="D107" t="str">
            <v>B</v>
          </cell>
          <cell r="E107">
            <v>1</v>
          </cell>
          <cell r="F107" t="str">
            <v>Jutalom</v>
          </cell>
        </row>
        <row r="108">
          <cell r="A108" t="str">
            <v>11</v>
          </cell>
          <cell r="B108" t="str">
            <v>02</v>
          </cell>
          <cell r="C108" t="str">
            <v>1</v>
          </cell>
          <cell r="D108" t="str">
            <v>B</v>
          </cell>
          <cell r="E108">
            <v>1</v>
          </cell>
          <cell r="F108" t="str">
            <v>Tulora,tulszolgálat</v>
          </cell>
        </row>
        <row r="109">
          <cell r="A109" t="str">
            <v>12</v>
          </cell>
          <cell r="B109" t="str">
            <v>02</v>
          </cell>
          <cell r="C109" t="str">
            <v>1</v>
          </cell>
          <cell r="D109" t="str">
            <v>B</v>
          </cell>
          <cell r="E109">
            <v>1</v>
          </cell>
          <cell r="F109" t="str">
            <v>Készenléti,ügyeleti,helyettesitési dij</v>
          </cell>
        </row>
        <row r="110">
          <cell r="A110" t="str">
            <v>13</v>
          </cell>
          <cell r="B110" t="str">
            <v>02</v>
          </cell>
          <cell r="C110" t="str">
            <v>1</v>
          </cell>
          <cell r="D110" t="str">
            <v>B</v>
          </cell>
          <cell r="E110">
            <v>1</v>
          </cell>
          <cell r="F110" t="str">
            <v>Egyéb munkavégzéshez kapcsolodo juttatások</v>
          </cell>
        </row>
        <row r="111">
          <cell r="A111" t="str">
            <v>14</v>
          </cell>
          <cell r="B111" t="str">
            <v>02</v>
          </cell>
          <cell r="C111" t="str">
            <v>1</v>
          </cell>
          <cell r="D111" t="str">
            <v>B</v>
          </cell>
          <cell r="E111">
            <v>1</v>
          </cell>
          <cell r="F111" t="str">
            <v>Telj.munkaidö.fogl.munkavégz.kapcs.jut.össz.(10+...+13)</v>
          </cell>
        </row>
        <row r="112">
          <cell r="A112" t="str">
            <v>15</v>
          </cell>
          <cell r="B112" t="str">
            <v>02</v>
          </cell>
          <cell r="C112" t="str">
            <v>1</v>
          </cell>
          <cell r="D112" t="str">
            <v>B</v>
          </cell>
          <cell r="E112">
            <v>1</v>
          </cell>
          <cell r="F112" t="str">
            <v>Részmunkaidöben fogl.munkavégzéshez kapcsolodo juttatásai</v>
          </cell>
        </row>
        <row r="113">
          <cell r="A113" t="str">
            <v>16</v>
          </cell>
          <cell r="B113" t="str">
            <v>02</v>
          </cell>
          <cell r="C113" t="str">
            <v>1</v>
          </cell>
          <cell r="D113" t="str">
            <v>B</v>
          </cell>
          <cell r="E113">
            <v>1</v>
          </cell>
          <cell r="F113" t="str">
            <v>Munkavégzéshez kapcsolodo juttatások (14+15)</v>
          </cell>
        </row>
        <row r="114">
          <cell r="A114" t="str">
            <v>17</v>
          </cell>
          <cell r="B114" t="str">
            <v>02</v>
          </cell>
          <cell r="C114" t="str">
            <v>1</v>
          </cell>
          <cell r="D114" t="str">
            <v>B</v>
          </cell>
          <cell r="E114">
            <v>1</v>
          </cell>
          <cell r="F114" t="str">
            <v>Végkielégités</v>
          </cell>
        </row>
        <row r="115">
          <cell r="A115" t="str">
            <v>18</v>
          </cell>
          <cell r="B115" t="str">
            <v>02</v>
          </cell>
          <cell r="C115" t="str">
            <v>1</v>
          </cell>
          <cell r="D115" t="str">
            <v>B</v>
          </cell>
          <cell r="E115">
            <v>1</v>
          </cell>
          <cell r="F115" t="str">
            <v>Jubileumi jutalom</v>
          </cell>
        </row>
        <row r="116">
          <cell r="A116" t="str">
            <v>19</v>
          </cell>
          <cell r="B116" t="str">
            <v>02</v>
          </cell>
          <cell r="C116" t="str">
            <v>1</v>
          </cell>
          <cell r="D116" t="str">
            <v>B</v>
          </cell>
          <cell r="E116">
            <v>1</v>
          </cell>
          <cell r="F116" t="str">
            <v>Napidij</v>
          </cell>
        </row>
        <row r="117">
          <cell r="A117" t="str">
            <v>20</v>
          </cell>
          <cell r="B117" t="str">
            <v>02</v>
          </cell>
          <cell r="C117" t="str">
            <v>1</v>
          </cell>
          <cell r="D117" t="str">
            <v>B</v>
          </cell>
          <cell r="E117">
            <v>1</v>
          </cell>
          <cell r="F117" t="str">
            <v>Biztositási dijak</v>
          </cell>
        </row>
        <row r="118">
          <cell r="A118" t="str">
            <v>21</v>
          </cell>
          <cell r="B118" t="str">
            <v>02</v>
          </cell>
          <cell r="C118" t="str">
            <v>1</v>
          </cell>
          <cell r="D118" t="str">
            <v>B</v>
          </cell>
          <cell r="E118">
            <v>1</v>
          </cell>
          <cell r="F118" t="str">
            <v>Egyéb sajátos juttatások</v>
          </cell>
        </row>
        <row r="119">
          <cell r="A119" t="str">
            <v>22</v>
          </cell>
          <cell r="B119" t="str">
            <v>02</v>
          </cell>
          <cell r="C119" t="str">
            <v>1</v>
          </cell>
          <cell r="D119" t="str">
            <v>B</v>
          </cell>
          <cell r="E119">
            <v>1</v>
          </cell>
          <cell r="F119" t="str">
            <v>Telj.munkaidöben fogl. sajátos juttatásai(17+...+21)</v>
          </cell>
        </row>
        <row r="120">
          <cell r="A120" t="str">
            <v>23</v>
          </cell>
          <cell r="B120" t="str">
            <v>02</v>
          </cell>
          <cell r="C120" t="str">
            <v>1</v>
          </cell>
          <cell r="D120" t="str">
            <v>B</v>
          </cell>
          <cell r="E120">
            <v>1</v>
          </cell>
          <cell r="F120" t="str">
            <v>Részmunkaidöben foglalkoztatottak sajátos juttatásai</v>
          </cell>
        </row>
        <row r="121">
          <cell r="A121" t="str">
            <v>24</v>
          </cell>
          <cell r="B121" t="str">
            <v>02</v>
          </cell>
          <cell r="C121" t="str">
            <v>1</v>
          </cell>
          <cell r="D121" t="str">
            <v>B</v>
          </cell>
          <cell r="E121">
            <v>1</v>
          </cell>
          <cell r="F121" t="str">
            <v>Foglalkoztatottak sajátos juttatásai (22+23)</v>
          </cell>
        </row>
        <row r="122">
          <cell r="A122" t="str">
            <v>25</v>
          </cell>
          <cell r="B122" t="str">
            <v>02</v>
          </cell>
          <cell r="C122" t="str">
            <v>1</v>
          </cell>
          <cell r="D122" t="str">
            <v>B</v>
          </cell>
          <cell r="E122">
            <v>1</v>
          </cell>
          <cell r="F122" t="str">
            <v>Ruházati költségtérités, hozzájárulás</v>
          </cell>
        </row>
        <row r="123">
          <cell r="A123" t="str">
            <v>26</v>
          </cell>
          <cell r="B123" t="str">
            <v>02</v>
          </cell>
          <cell r="C123" t="str">
            <v>1</v>
          </cell>
          <cell r="D123" t="str">
            <v>B</v>
          </cell>
          <cell r="E123">
            <v>1</v>
          </cell>
          <cell r="F123" t="str">
            <v>Üdülési hozzájárulás</v>
          </cell>
        </row>
        <row r="124">
          <cell r="A124" t="str">
            <v>27</v>
          </cell>
          <cell r="B124" t="str">
            <v>02</v>
          </cell>
          <cell r="C124" t="str">
            <v>1</v>
          </cell>
          <cell r="D124" t="str">
            <v>B</v>
          </cell>
          <cell r="E124">
            <v>1</v>
          </cell>
          <cell r="F124" t="str">
            <v>Közlekedési költségtérités</v>
          </cell>
        </row>
        <row r="125">
          <cell r="A125" t="str">
            <v>28</v>
          </cell>
          <cell r="B125" t="str">
            <v>02</v>
          </cell>
          <cell r="C125" t="str">
            <v>1</v>
          </cell>
          <cell r="D125" t="str">
            <v>B</v>
          </cell>
          <cell r="E125">
            <v>1</v>
          </cell>
          <cell r="F125" t="str">
            <v>Étkezési hozzájárulás</v>
          </cell>
        </row>
        <row r="126">
          <cell r="A126" t="str">
            <v>29</v>
          </cell>
          <cell r="B126" t="str">
            <v>02</v>
          </cell>
          <cell r="C126" t="str">
            <v>1</v>
          </cell>
          <cell r="D126" t="str">
            <v>B</v>
          </cell>
          <cell r="E126">
            <v>1</v>
          </cell>
          <cell r="F126" t="str">
            <v>Egyéb költségtérités és hozzájárulás</v>
          </cell>
        </row>
        <row r="127">
          <cell r="A127" t="str">
            <v>30</v>
          </cell>
          <cell r="B127" t="str">
            <v>02</v>
          </cell>
          <cell r="C127" t="str">
            <v>1</v>
          </cell>
          <cell r="D127" t="str">
            <v>B</v>
          </cell>
          <cell r="E127">
            <v>1</v>
          </cell>
          <cell r="F127" t="str">
            <v>Telj.munkaidö.fogl.személyhez kapcs.költ.tér.(25+..+29)</v>
          </cell>
        </row>
        <row r="128">
          <cell r="A128" t="str">
            <v>31</v>
          </cell>
          <cell r="B128" t="str">
            <v>02</v>
          </cell>
          <cell r="C128" t="str">
            <v>1</v>
          </cell>
          <cell r="D128" t="str">
            <v>B</v>
          </cell>
          <cell r="E128">
            <v>1</v>
          </cell>
          <cell r="F128" t="str">
            <v>Részmunkaidöben fogl.személyhez kapcs.költségtéritései</v>
          </cell>
        </row>
        <row r="129">
          <cell r="A129" t="str">
            <v>32</v>
          </cell>
          <cell r="B129" t="str">
            <v>02</v>
          </cell>
          <cell r="C129" t="str">
            <v>1</v>
          </cell>
          <cell r="D129" t="str">
            <v>B</v>
          </cell>
          <cell r="E129">
            <v>1</v>
          </cell>
          <cell r="F129" t="str">
            <v>Személyhez kapcs.költ.tér.,hozzájárulások össz.(30+31)</v>
          </cell>
        </row>
        <row r="130">
          <cell r="A130" t="str">
            <v>33</v>
          </cell>
          <cell r="B130" t="str">
            <v>02</v>
          </cell>
          <cell r="C130" t="str">
            <v>1</v>
          </cell>
          <cell r="D130" t="str">
            <v>B</v>
          </cell>
          <cell r="E130">
            <v>1</v>
          </cell>
          <cell r="F130" t="str">
            <v>Telj.munkaidöben fogl.szociális jellegü juttatásai</v>
          </cell>
        </row>
        <row r="131">
          <cell r="A131" t="str">
            <v>34</v>
          </cell>
          <cell r="B131" t="str">
            <v>02</v>
          </cell>
          <cell r="C131" t="str">
            <v>1</v>
          </cell>
          <cell r="D131" t="str">
            <v>B</v>
          </cell>
          <cell r="E131">
            <v>1</v>
          </cell>
          <cell r="F131" t="str">
            <v>Részmunkaidöben fogl.szociális jellegü juttatásai</v>
          </cell>
        </row>
        <row r="132">
          <cell r="A132" t="str">
            <v>35</v>
          </cell>
          <cell r="B132" t="str">
            <v>02</v>
          </cell>
          <cell r="C132" t="str">
            <v>1</v>
          </cell>
          <cell r="D132" t="str">
            <v>B</v>
          </cell>
          <cell r="E132">
            <v>1</v>
          </cell>
          <cell r="F132" t="str">
            <v>Szociális jellegü juttatások (33+34)</v>
          </cell>
        </row>
        <row r="133">
          <cell r="A133" t="str">
            <v>36</v>
          </cell>
          <cell r="B133" t="str">
            <v>02</v>
          </cell>
          <cell r="C133" t="str">
            <v>1</v>
          </cell>
          <cell r="D133" t="str">
            <v>B</v>
          </cell>
          <cell r="E133">
            <v>1</v>
          </cell>
          <cell r="F133" t="str">
            <v>Telj.munkaidöben.fogl.különféle nem rendszeres juttatásai</v>
          </cell>
        </row>
        <row r="134">
          <cell r="A134" t="str">
            <v>37</v>
          </cell>
          <cell r="B134" t="str">
            <v>02</v>
          </cell>
          <cell r="C134" t="str">
            <v>1</v>
          </cell>
          <cell r="D134" t="str">
            <v>B</v>
          </cell>
          <cell r="E134">
            <v>1</v>
          </cell>
          <cell r="F134" t="str">
            <v>Részmunkaidöben fogl.különféle nem rendszeres juttatásai</v>
          </cell>
        </row>
        <row r="135">
          <cell r="A135" t="str">
            <v>38</v>
          </cell>
          <cell r="B135" t="str">
            <v>02</v>
          </cell>
          <cell r="C135" t="str">
            <v>1</v>
          </cell>
          <cell r="D135" t="str">
            <v>B</v>
          </cell>
          <cell r="E135">
            <v>1</v>
          </cell>
          <cell r="F135" t="str">
            <v>Különféle nem rendszeres juttatások összesen (36+37)</v>
          </cell>
        </row>
        <row r="136">
          <cell r="A136" t="str">
            <v>39</v>
          </cell>
          <cell r="B136" t="str">
            <v>02</v>
          </cell>
          <cell r="C136" t="str">
            <v>1</v>
          </cell>
          <cell r="D136" t="str">
            <v>B</v>
          </cell>
          <cell r="E136">
            <v>1</v>
          </cell>
          <cell r="F136" t="str">
            <v>Telj.munkaidö.fogl.nem rendsz.juttat.(14+22+30+33+36)</v>
          </cell>
        </row>
        <row r="137">
          <cell r="A137" t="str">
            <v>40</v>
          </cell>
          <cell r="B137" t="str">
            <v>02</v>
          </cell>
          <cell r="C137" t="str">
            <v>1</v>
          </cell>
          <cell r="D137" t="str">
            <v>B</v>
          </cell>
          <cell r="E137">
            <v>1</v>
          </cell>
          <cell r="F137" t="str">
            <v>Részmunkaidöben fogl.nem rendsz.juttat.(15+23+31+34+37)</v>
          </cell>
        </row>
        <row r="138">
          <cell r="A138" t="str">
            <v>41</v>
          </cell>
          <cell r="B138" t="str">
            <v>02</v>
          </cell>
          <cell r="C138" t="str">
            <v>1</v>
          </cell>
          <cell r="D138" t="str">
            <v>B</v>
          </cell>
          <cell r="E138">
            <v>1</v>
          </cell>
          <cell r="F138" t="str">
            <v>Nem rendszeres személyi juttatások (39+40)</v>
          </cell>
        </row>
        <row r="139">
          <cell r="A139" t="str">
            <v>42</v>
          </cell>
          <cell r="B139" t="str">
            <v>02</v>
          </cell>
          <cell r="C139" t="str">
            <v>1</v>
          </cell>
          <cell r="D139" t="str">
            <v>B</v>
          </cell>
          <cell r="E139">
            <v>1</v>
          </cell>
          <cell r="F139" t="str">
            <v>Állományba nem tartozok juttatásai</v>
          </cell>
        </row>
        <row r="140">
          <cell r="A140" t="str">
            <v>43</v>
          </cell>
          <cell r="B140" t="str">
            <v>02</v>
          </cell>
          <cell r="C140" t="str">
            <v>1</v>
          </cell>
          <cell r="D140" t="str">
            <v>B</v>
          </cell>
          <cell r="E140">
            <v>1</v>
          </cell>
          <cell r="F140" t="str">
            <v>Tartalékos állományuak juttatásai</v>
          </cell>
        </row>
        <row r="141">
          <cell r="A141" t="str">
            <v>44</v>
          </cell>
          <cell r="B141" t="str">
            <v>02</v>
          </cell>
          <cell r="C141" t="str">
            <v>1</v>
          </cell>
          <cell r="D141" t="str">
            <v>B</v>
          </cell>
          <cell r="E141">
            <v>1</v>
          </cell>
          <cell r="F141" t="str">
            <v>Katonai és rendvédelmi tanintézeti hallgatok juttatásai</v>
          </cell>
        </row>
        <row r="142">
          <cell r="A142" t="str">
            <v>45</v>
          </cell>
          <cell r="B142" t="str">
            <v>02</v>
          </cell>
          <cell r="C142" t="str">
            <v>1</v>
          </cell>
          <cell r="D142" t="str">
            <v>B</v>
          </cell>
          <cell r="E142">
            <v>1</v>
          </cell>
          <cell r="F142" t="str">
            <v>Sorkatonai szolgálatot teljesitök juttatásai</v>
          </cell>
        </row>
        <row r="143">
          <cell r="A143" t="str">
            <v>46</v>
          </cell>
          <cell r="B143" t="str">
            <v>02</v>
          </cell>
          <cell r="C143" t="str">
            <v>1</v>
          </cell>
          <cell r="D143" t="str">
            <v>B</v>
          </cell>
          <cell r="E143">
            <v>1</v>
          </cell>
          <cell r="F143" t="str">
            <v>Egyéb sajátos juttatások</v>
          </cell>
        </row>
        <row r="144">
          <cell r="A144" t="str">
            <v>47</v>
          </cell>
          <cell r="B144" t="str">
            <v>02</v>
          </cell>
          <cell r="C144" t="str">
            <v>1</v>
          </cell>
          <cell r="D144" t="str">
            <v>B</v>
          </cell>
          <cell r="E144">
            <v>1</v>
          </cell>
          <cell r="F144" t="str">
            <v>Fegyveres erök,test.,rendv.áll.nem tart.jut.(43+...+46)</v>
          </cell>
        </row>
        <row r="145">
          <cell r="A145" t="str">
            <v>48</v>
          </cell>
          <cell r="B145" t="str">
            <v>02</v>
          </cell>
          <cell r="C145" t="str">
            <v>1</v>
          </cell>
          <cell r="D145" t="str">
            <v>B</v>
          </cell>
          <cell r="E145">
            <v>1</v>
          </cell>
          <cell r="F145" t="str">
            <v>Külsö személyi juttatások (42+47)</v>
          </cell>
        </row>
        <row r="146">
          <cell r="A146" t="str">
            <v>49</v>
          </cell>
          <cell r="B146" t="str">
            <v>02</v>
          </cell>
          <cell r="C146" t="str">
            <v>1</v>
          </cell>
          <cell r="D146" t="str">
            <v>B</v>
          </cell>
          <cell r="E146">
            <v>1</v>
          </cell>
          <cell r="F146" t="str">
            <v>Személyi juttatások összesen (09+41+48)</v>
          </cell>
        </row>
        <row r="147">
          <cell r="A147" t="str">
            <v>50</v>
          </cell>
          <cell r="B147" t="str">
            <v>02</v>
          </cell>
          <cell r="C147" t="str">
            <v>1</v>
          </cell>
          <cell r="D147" t="str">
            <v>B</v>
          </cell>
          <cell r="E147">
            <v>1</v>
          </cell>
          <cell r="F147" t="str">
            <v>Társadalombiztositási járulék</v>
          </cell>
        </row>
        <row r="148">
          <cell r="A148" t="str">
            <v>51</v>
          </cell>
          <cell r="B148" t="str">
            <v>02</v>
          </cell>
          <cell r="C148" t="str">
            <v>1</v>
          </cell>
          <cell r="D148" t="str">
            <v>B</v>
          </cell>
          <cell r="E148">
            <v>1</v>
          </cell>
          <cell r="F148" t="str">
            <v>Munkaadoi járulék</v>
          </cell>
        </row>
        <row r="149">
          <cell r="A149" t="str">
            <v>52</v>
          </cell>
          <cell r="B149" t="str">
            <v>02</v>
          </cell>
          <cell r="C149" t="str">
            <v>1</v>
          </cell>
          <cell r="D149" t="str">
            <v>B</v>
          </cell>
          <cell r="E149">
            <v>1</v>
          </cell>
          <cell r="F149" t="str">
            <v>Egészségügyi hozzájárulás</v>
          </cell>
        </row>
        <row r="150">
          <cell r="A150" t="str">
            <v>53</v>
          </cell>
          <cell r="B150" t="str">
            <v>02</v>
          </cell>
          <cell r="C150" t="str">
            <v>1</v>
          </cell>
          <cell r="D150" t="str">
            <v>B</v>
          </cell>
          <cell r="E150">
            <v>1</v>
          </cell>
          <cell r="F150" t="str">
            <v>Táppénz hozzájárulás</v>
          </cell>
        </row>
        <row r="151">
          <cell r="A151" t="str">
            <v>54</v>
          </cell>
          <cell r="B151" t="str">
            <v>02</v>
          </cell>
          <cell r="C151" t="str">
            <v>1</v>
          </cell>
          <cell r="D151" t="str">
            <v>B</v>
          </cell>
          <cell r="E151">
            <v>1</v>
          </cell>
          <cell r="F151" t="str">
            <v>Munkaadokat terhelö járulékok államháztartáson kivülre</v>
          </cell>
        </row>
        <row r="152">
          <cell r="A152" t="str">
            <v>55</v>
          </cell>
          <cell r="B152" t="str">
            <v>02</v>
          </cell>
          <cell r="C152" t="str">
            <v>1</v>
          </cell>
          <cell r="D152" t="str">
            <v>B</v>
          </cell>
          <cell r="E152">
            <v>1</v>
          </cell>
          <cell r="F152" t="str">
            <v>Munkaadokat terhelö egyéb járulékok</v>
          </cell>
        </row>
        <row r="153">
          <cell r="A153" t="str">
            <v>56</v>
          </cell>
          <cell r="B153" t="str">
            <v>02</v>
          </cell>
          <cell r="C153" t="str">
            <v>1</v>
          </cell>
          <cell r="D153" t="str">
            <v>B</v>
          </cell>
          <cell r="E153">
            <v>1</v>
          </cell>
          <cell r="F153" t="str">
            <v>Munkaadokat terhelö járulékok (50+...+55)</v>
          </cell>
        </row>
        <row r="154">
          <cell r="A154" t="str">
            <v>1</v>
          </cell>
          <cell r="B154" t="str">
            <v>03</v>
          </cell>
          <cell r="C154" t="str">
            <v>1</v>
          </cell>
          <cell r="D154" t="str">
            <v>B</v>
          </cell>
          <cell r="E154">
            <v>1</v>
          </cell>
          <cell r="F154" t="str">
            <v>Élelmiszer-beszerzés</v>
          </cell>
        </row>
        <row r="155">
          <cell r="A155" t="str">
            <v>2</v>
          </cell>
          <cell r="B155" t="str">
            <v>03</v>
          </cell>
          <cell r="C155" t="str">
            <v>1</v>
          </cell>
          <cell r="D155" t="str">
            <v>B</v>
          </cell>
          <cell r="E155">
            <v>1</v>
          </cell>
          <cell r="F155" t="str">
            <v>Gyogyszer-, vegyszerbeszerzés</v>
          </cell>
        </row>
        <row r="156">
          <cell r="A156" t="str">
            <v>3</v>
          </cell>
          <cell r="B156" t="str">
            <v>03</v>
          </cell>
          <cell r="C156" t="str">
            <v>1</v>
          </cell>
          <cell r="D156" t="str">
            <v>B</v>
          </cell>
          <cell r="E156">
            <v>1</v>
          </cell>
          <cell r="F156" t="str">
            <v>Irodaszer, nyomtatvány beszerzése</v>
          </cell>
        </row>
        <row r="157">
          <cell r="A157" t="str">
            <v>4</v>
          </cell>
          <cell r="B157" t="str">
            <v>03</v>
          </cell>
          <cell r="C157" t="str">
            <v>1</v>
          </cell>
          <cell r="D157" t="str">
            <v>B</v>
          </cell>
          <cell r="E157">
            <v>1</v>
          </cell>
          <cell r="F157" t="str">
            <v>Könyv,folyoirat,egyéb informáciohordozo beszerzése</v>
          </cell>
        </row>
        <row r="158">
          <cell r="A158" t="str">
            <v>5</v>
          </cell>
          <cell r="B158" t="str">
            <v>03</v>
          </cell>
          <cell r="C158" t="str">
            <v>1</v>
          </cell>
          <cell r="D158" t="str">
            <v>B</v>
          </cell>
          <cell r="E158">
            <v>1</v>
          </cell>
          <cell r="F158" t="str">
            <v>Tüzelöanyagok beszerzése</v>
          </cell>
        </row>
        <row r="159">
          <cell r="A159" t="str">
            <v>6</v>
          </cell>
          <cell r="B159" t="str">
            <v>03</v>
          </cell>
          <cell r="C159" t="str">
            <v>1</v>
          </cell>
          <cell r="D159" t="str">
            <v>B</v>
          </cell>
          <cell r="E159">
            <v>1</v>
          </cell>
          <cell r="F159" t="str">
            <v>Hajto- és kenöanyag beszerzése</v>
          </cell>
        </row>
        <row r="160">
          <cell r="A160" t="str">
            <v>7</v>
          </cell>
          <cell r="B160" t="str">
            <v>03</v>
          </cell>
          <cell r="C160" t="str">
            <v>1</v>
          </cell>
          <cell r="D160" t="str">
            <v>B</v>
          </cell>
          <cell r="E160">
            <v>1</v>
          </cell>
          <cell r="F160" t="str">
            <v>Anyag,kis értékü tárgyi eszköz,szellemi termékek beszerzése</v>
          </cell>
        </row>
        <row r="161">
          <cell r="A161" t="str">
            <v>8</v>
          </cell>
          <cell r="B161" t="str">
            <v>03</v>
          </cell>
          <cell r="C161" t="str">
            <v>1</v>
          </cell>
          <cell r="D161" t="str">
            <v>B</v>
          </cell>
          <cell r="E161">
            <v>1</v>
          </cell>
          <cell r="F161" t="str">
            <v>Munkaruha,védöruha,formaruha,egyenruha</v>
          </cell>
        </row>
        <row r="162">
          <cell r="A162" t="str">
            <v>9</v>
          </cell>
          <cell r="B162" t="str">
            <v>03</v>
          </cell>
          <cell r="C162" t="str">
            <v>1</v>
          </cell>
          <cell r="D162" t="str">
            <v>B</v>
          </cell>
          <cell r="E162">
            <v>1</v>
          </cell>
          <cell r="F162" t="str">
            <v>Egyéb készletbeszerzés</v>
          </cell>
        </row>
        <row r="163">
          <cell r="A163" t="str">
            <v>10</v>
          </cell>
          <cell r="B163" t="str">
            <v>03</v>
          </cell>
          <cell r="C163" t="str">
            <v>1</v>
          </cell>
          <cell r="D163" t="str">
            <v>B</v>
          </cell>
          <cell r="E163">
            <v>1</v>
          </cell>
          <cell r="F163" t="str">
            <v>Készletbeszerzés (01+...+09)</v>
          </cell>
        </row>
        <row r="164">
          <cell r="A164" t="str">
            <v>11</v>
          </cell>
          <cell r="B164" t="str">
            <v>03</v>
          </cell>
          <cell r="C164" t="str">
            <v>1</v>
          </cell>
          <cell r="D164" t="str">
            <v>B</v>
          </cell>
          <cell r="E164">
            <v>1</v>
          </cell>
          <cell r="F164" t="str">
            <v>Nem adatátviteli célu távközlési dijak</v>
          </cell>
        </row>
        <row r="165">
          <cell r="A165" t="str">
            <v>12</v>
          </cell>
          <cell r="B165" t="str">
            <v>03</v>
          </cell>
          <cell r="C165" t="str">
            <v>1</v>
          </cell>
          <cell r="D165" t="str">
            <v>B</v>
          </cell>
          <cell r="E165">
            <v>1</v>
          </cell>
          <cell r="F165" t="str">
            <v>Adatátviteli célu távközlési dijak</v>
          </cell>
        </row>
        <row r="166">
          <cell r="A166" t="str">
            <v>13</v>
          </cell>
          <cell r="B166" t="str">
            <v>03</v>
          </cell>
          <cell r="C166" t="str">
            <v>1</v>
          </cell>
          <cell r="D166" t="str">
            <v>B</v>
          </cell>
          <cell r="E166">
            <v>1</v>
          </cell>
          <cell r="F166" t="str">
            <v>Egyéb kommunikácios szolgáltatások</v>
          </cell>
        </row>
        <row r="167">
          <cell r="A167" t="str">
            <v>14</v>
          </cell>
          <cell r="B167" t="str">
            <v>03</v>
          </cell>
          <cell r="C167" t="str">
            <v>1</v>
          </cell>
          <cell r="D167" t="str">
            <v>B</v>
          </cell>
          <cell r="E167">
            <v>1</v>
          </cell>
          <cell r="F167" t="str">
            <v>Kommunikácios szolgáltatások  (11+12+13)</v>
          </cell>
        </row>
        <row r="168">
          <cell r="A168" t="str">
            <v>15</v>
          </cell>
          <cell r="B168" t="str">
            <v>03</v>
          </cell>
          <cell r="C168" t="str">
            <v>1</v>
          </cell>
          <cell r="D168" t="str">
            <v>B</v>
          </cell>
          <cell r="E168">
            <v>1</v>
          </cell>
          <cell r="F168" t="str">
            <v>Vásárolt élelmezés</v>
          </cell>
        </row>
        <row r="169">
          <cell r="A169" t="str">
            <v>16</v>
          </cell>
          <cell r="B169" t="str">
            <v>03</v>
          </cell>
          <cell r="C169" t="str">
            <v>1</v>
          </cell>
          <cell r="D169" t="str">
            <v>B</v>
          </cell>
          <cell r="E169">
            <v>1</v>
          </cell>
          <cell r="F169" t="str">
            <v>Bérleti és lizingdijak</v>
          </cell>
        </row>
        <row r="170">
          <cell r="A170" t="str">
            <v>17</v>
          </cell>
          <cell r="B170" t="str">
            <v>03</v>
          </cell>
          <cell r="C170" t="str">
            <v>1</v>
          </cell>
          <cell r="D170" t="str">
            <v>B</v>
          </cell>
          <cell r="E170">
            <v>1</v>
          </cell>
          <cell r="F170" t="str">
            <v>Szállitási szolgáltatás</v>
          </cell>
        </row>
        <row r="171">
          <cell r="A171" t="str">
            <v>18</v>
          </cell>
          <cell r="B171" t="str">
            <v>03</v>
          </cell>
          <cell r="C171" t="str">
            <v>1</v>
          </cell>
          <cell r="D171" t="str">
            <v>B</v>
          </cell>
          <cell r="E171">
            <v>1</v>
          </cell>
          <cell r="F171" t="str">
            <v>Gázenergia-szolgáltatás dija</v>
          </cell>
        </row>
        <row r="172">
          <cell r="A172" t="str">
            <v>19</v>
          </cell>
          <cell r="B172" t="str">
            <v>03</v>
          </cell>
          <cell r="C172" t="str">
            <v>1</v>
          </cell>
          <cell r="D172" t="str">
            <v>B</v>
          </cell>
          <cell r="E172">
            <v>1</v>
          </cell>
          <cell r="F172" t="str">
            <v>Villamosenergia-szolgáltatás dija</v>
          </cell>
        </row>
        <row r="173">
          <cell r="A173" t="str">
            <v>20</v>
          </cell>
          <cell r="B173" t="str">
            <v>03</v>
          </cell>
          <cell r="C173" t="str">
            <v>1</v>
          </cell>
          <cell r="D173" t="str">
            <v>B</v>
          </cell>
          <cell r="E173">
            <v>1</v>
          </cell>
          <cell r="F173" t="str">
            <v>Távhö- és melegviz-szolgáltatás dija</v>
          </cell>
        </row>
        <row r="174">
          <cell r="A174" t="str">
            <v>21</v>
          </cell>
          <cell r="B174" t="str">
            <v>03</v>
          </cell>
          <cell r="C174" t="str">
            <v>1</v>
          </cell>
          <cell r="D174" t="str">
            <v>B</v>
          </cell>
          <cell r="E174">
            <v>1</v>
          </cell>
          <cell r="F174" t="str">
            <v>Viz- és csatornadijak</v>
          </cell>
        </row>
        <row r="175">
          <cell r="A175" t="str">
            <v>22</v>
          </cell>
          <cell r="B175" t="str">
            <v>03</v>
          </cell>
          <cell r="C175" t="str">
            <v>1</v>
          </cell>
          <cell r="D175" t="str">
            <v>B</v>
          </cell>
          <cell r="E175">
            <v>1</v>
          </cell>
          <cell r="F175" t="str">
            <v>Karbantartási,kisjavitási szolgáltatások kiadásai</v>
          </cell>
        </row>
        <row r="176">
          <cell r="A176" t="str">
            <v>23</v>
          </cell>
          <cell r="B176" t="str">
            <v>03</v>
          </cell>
          <cell r="C176" t="str">
            <v>1</v>
          </cell>
          <cell r="D176" t="str">
            <v>B</v>
          </cell>
          <cell r="E176">
            <v>1</v>
          </cell>
          <cell r="F176" t="str">
            <v>Egyéb üzemeltetési,fenntartási szolgáltatási kiadások</v>
          </cell>
        </row>
        <row r="177">
          <cell r="A177" t="str">
            <v>24</v>
          </cell>
          <cell r="B177" t="str">
            <v>03</v>
          </cell>
          <cell r="C177" t="str">
            <v>1</v>
          </cell>
          <cell r="D177" t="str">
            <v>B</v>
          </cell>
          <cell r="E177">
            <v>1</v>
          </cell>
          <cell r="F177" t="str">
            <v>Szolgáltatási kiadások (15+...+23)</v>
          </cell>
        </row>
        <row r="178">
          <cell r="A178" t="str">
            <v>25</v>
          </cell>
          <cell r="B178" t="str">
            <v>03</v>
          </cell>
          <cell r="C178" t="str">
            <v>1</v>
          </cell>
          <cell r="D178" t="str">
            <v>B</v>
          </cell>
          <cell r="E178">
            <v>1</v>
          </cell>
          <cell r="F178" t="str">
            <v>Vásárolt közszolgáltatások</v>
          </cell>
        </row>
        <row r="179">
          <cell r="A179" t="str">
            <v>26</v>
          </cell>
          <cell r="B179" t="str">
            <v>03</v>
          </cell>
          <cell r="C179" t="str">
            <v>1</v>
          </cell>
          <cell r="D179" t="str">
            <v>B</v>
          </cell>
          <cell r="E179">
            <v>1</v>
          </cell>
          <cell r="F179" t="str">
            <v>Vásárolt termékek és szolgáltatások ÁFA-ja</v>
          </cell>
        </row>
        <row r="180">
          <cell r="A180" t="str">
            <v>27</v>
          </cell>
          <cell r="B180" t="str">
            <v>03</v>
          </cell>
          <cell r="C180" t="str">
            <v>1</v>
          </cell>
          <cell r="D180" t="str">
            <v>B</v>
          </cell>
          <cell r="E180">
            <v>1</v>
          </cell>
          <cell r="F180" t="str">
            <v>Kiszámlázott termékek és szolgáltatások ÁFA befizetése</v>
          </cell>
        </row>
        <row r="181">
          <cell r="A181" t="str">
            <v>28</v>
          </cell>
          <cell r="B181" t="str">
            <v>03</v>
          </cell>
          <cell r="C181" t="str">
            <v>1</v>
          </cell>
          <cell r="D181" t="str">
            <v>B</v>
          </cell>
          <cell r="E181">
            <v>1</v>
          </cell>
          <cell r="F181" t="str">
            <v>Ért.tárgyi eszköz.,immat.javak ÁFA befiz.(05.ürlap nélkül)</v>
          </cell>
        </row>
        <row r="182">
          <cell r="A182" t="str">
            <v>29</v>
          </cell>
          <cell r="B182" t="str">
            <v>03</v>
          </cell>
          <cell r="C182" t="str">
            <v>1</v>
          </cell>
          <cell r="D182" t="str">
            <v>B</v>
          </cell>
          <cell r="E182">
            <v>1</v>
          </cell>
          <cell r="F182" t="str">
            <v>Általános forgalmi ado összesen (26+27+28)</v>
          </cell>
        </row>
        <row r="183">
          <cell r="A183" t="str">
            <v>30</v>
          </cell>
          <cell r="B183" t="str">
            <v>03</v>
          </cell>
          <cell r="C183" t="str">
            <v>1</v>
          </cell>
          <cell r="D183" t="str">
            <v>B</v>
          </cell>
          <cell r="E183">
            <v>1</v>
          </cell>
          <cell r="F183" t="str">
            <v>Belföldi kiküldetés</v>
          </cell>
        </row>
        <row r="184">
          <cell r="A184" t="str">
            <v>31</v>
          </cell>
          <cell r="B184" t="str">
            <v>03</v>
          </cell>
          <cell r="C184" t="str">
            <v>1</v>
          </cell>
          <cell r="D184" t="str">
            <v>B</v>
          </cell>
          <cell r="E184">
            <v>1</v>
          </cell>
          <cell r="F184" t="str">
            <v>Külföldi kiküldetés</v>
          </cell>
        </row>
        <row r="185">
          <cell r="A185" t="str">
            <v>32</v>
          </cell>
          <cell r="B185" t="str">
            <v>03</v>
          </cell>
          <cell r="C185" t="str">
            <v>1</v>
          </cell>
          <cell r="D185" t="str">
            <v>B</v>
          </cell>
          <cell r="E185">
            <v>1</v>
          </cell>
          <cell r="F185" t="str">
            <v>Reprezentácio</v>
          </cell>
        </row>
        <row r="186">
          <cell r="A186" t="str">
            <v>33</v>
          </cell>
          <cell r="B186" t="str">
            <v>03</v>
          </cell>
          <cell r="C186" t="str">
            <v>1</v>
          </cell>
          <cell r="D186" t="str">
            <v>B</v>
          </cell>
          <cell r="E186">
            <v>1</v>
          </cell>
          <cell r="F186" t="str">
            <v>Reklám- és propaganda kiadások</v>
          </cell>
        </row>
        <row r="187">
          <cell r="A187" t="str">
            <v>34</v>
          </cell>
          <cell r="B187" t="str">
            <v>03</v>
          </cell>
          <cell r="C187" t="str">
            <v>1</v>
          </cell>
          <cell r="D187" t="str">
            <v>B</v>
          </cell>
          <cell r="E187">
            <v>1</v>
          </cell>
          <cell r="F187" t="str">
            <v>Kiküldetés,reprezentácio,reklámkiadások (30+...+33)</v>
          </cell>
        </row>
        <row r="188">
          <cell r="A188" t="str">
            <v>35</v>
          </cell>
          <cell r="B188" t="str">
            <v>03</v>
          </cell>
          <cell r="C188" t="str">
            <v>1</v>
          </cell>
          <cell r="D188" t="str">
            <v>B</v>
          </cell>
          <cell r="E188">
            <v>1</v>
          </cell>
          <cell r="F188" t="str">
            <v>Egyéb dologi kiadások</v>
          </cell>
        </row>
        <row r="189">
          <cell r="A189" t="str">
            <v>36</v>
          </cell>
          <cell r="B189" t="str">
            <v>03</v>
          </cell>
          <cell r="C189" t="str">
            <v>1</v>
          </cell>
          <cell r="D189" t="str">
            <v>B</v>
          </cell>
          <cell r="E189">
            <v>1</v>
          </cell>
          <cell r="F189" t="str">
            <v>Dologi kiadások (10+14+24+25+29+34+35)</v>
          </cell>
        </row>
        <row r="190">
          <cell r="A190" t="str">
            <v>37</v>
          </cell>
          <cell r="B190" t="str">
            <v>03</v>
          </cell>
          <cell r="C190" t="str">
            <v>1</v>
          </cell>
          <cell r="D190" t="str">
            <v>B</v>
          </cell>
          <cell r="E190">
            <v>1</v>
          </cell>
          <cell r="F190" t="str">
            <v>Elözö évi maradvány visszafizetése (felügyeleti nélkül)</v>
          </cell>
        </row>
        <row r="191">
          <cell r="A191" t="str">
            <v>38</v>
          </cell>
          <cell r="B191" t="str">
            <v>03</v>
          </cell>
          <cell r="C191" t="str">
            <v>1</v>
          </cell>
          <cell r="D191" t="str">
            <v>B</v>
          </cell>
          <cell r="E191">
            <v>1</v>
          </cell>
          <cell r="F191" t="str">
            <v>Vállalkozási tevékenység eredménye utáni befizetés</v>
          </cell>
        </row>
        <row r="192">
          <cell r="A192" t="str">
            <v>39</v>
          </cell>
          <cell r="B192" t="str">
            <v>03</v>
          </cell>
          <cell r="C192" t="str">
            <v>1</v>
          </cell>
          <cell r="D192" t="str">
            <v>B</v>
          </cell>
          <cell r="E192">
            <v>1</v>
          </cell>
          <cell r="F192" t="str">
            <v>Felügyeleti szerv javára teljesitett egyéb befizetés</v>
          </cell>
        </row>
        <row r="193">
          <cell r="A193" t="str">
            <v>40</v>
          </cell>
          <cell r="B193" t="str">
            <v>03</v>
          </cell>
          <cell r="C193" t="str">
            <v>1</v>
          </cell>
          <cell r="D193" t="str">
            <v>B</v>
          </cell>
          <cell r="E193">
            <v>1</v>
          </cell>
          <cell r="F193" t="str">
            <v>Eredeti elöirányzatot meghalado bevétel utáni befizetés</v>
          </cell>
        </row>
        <row r="194">
          <cell r="A194" t="str">
            <v>41</v>
          </cell>
          <cell r="B194" t="str">
            <v>03</v>
          </cell>
          <cell r="C194" t="str">
            <v>1</v>
          </cell>
          <cell r="D194" t="str">
            <v>B</v>
          </cell>
          <cell r="E194">
            <v>1</v>
          </cell>
          <cell r="F194" t="str">
            <v>Bevételek meghatározott köre utáni befizetés</v>
          </cell>
        </row>
        <row r="195">
          <cell r="A195" t="str">
            <v>42</v>
          </cell>
          <cell r="B195" t="str">
            <v>03</v>
          </cell>
          <cell r="C195" t="str">
            <v>1</v>
          </cell>
          <cell r="D195" t="str">
            <v>B</v>
          </cell>
          <cell r="E195">
            <v>1</v>
          </cell>
          <cell r="F195" t="str">
            <v>Befektetett eszközökkel kapcsolatos befizetési kötelezetts.</v>
          </cell>
        </row>
        <row r="196">
          <cell r="A196" t="str">
            <v>43</v>
          </cell>
          <cell r="B196" t="str">
            <v>03</v>
          </cell>
          <cell r="C196" t="str">
            <v>1</v>
          </cell>
          <cell r="D196" t="str">
            <v>B</v>
          </cell>
          <cell r="E196">
            <v>1</v>
          </cell>
          <cell r="F196" t="str">
            <v>Egyéb befizetési kötelezettség</v>
          </cell>
        </row>
        <row r="197">
          <cell r="A197" t="str">
            <v>44</v>
          </cell>
          <cell r="B197" t="str">
            <v>03</v>
          </cell>
          <cell r="C197" t="str">
            <v>1</v>
          </cell>
          <cell r="D197" t="str">
            <v>B</v>
          </cell>
          <cell r="E197">
            <v>1</v>
          </cell>
          <cell r="F197" t="str">
            <v>Különféle költségvetési befizetések (37+...+43)</v>
          </cell>
        </row>
        <row r="198">
          <cell r="A198" t="str">
            <v>45</v>
          </cell>
          <cell r="B198" t="str">
            <v>03</v>
          </cell>
          <cell r="C198" t="str">
            <v>1</v>
          </cell>
          <cell r="D198" t="str">
            <v>B</v>
          </cell>
          <cell r="E198">
            <v>1</v>
          </cell>
          <cell r="F198" t="str">
            <v>Munkáltato által fizetett személyi jövedelemado</v>
          </cell>
        </row>
        <row r="199">
          <cell r="A199" t="str">
            <v>46</v>
          </cell>
          <cell r="B199" t="str">
            <v>03</v>
          </cell>
          <cell r="C199" t="str">
            <v>1</v>
          </cell>
          <cell r="D199" t="str">
            <v>B</v>
          </cell>
          <cell r="E199">
            <v>1</v>
          </cell>
          <cell r="F199" t="str">
            <v>Nemzetközi tagsági dijak</v>
          </cell>
        </row>
        <row r="200">
          <cell r="A200" t="str">
            <v>47</v>
          </cell>
          <cell r="B200" t="str">
            <v>03</v>
          </cell>
          <cell r="C200" t="str">
            <v>1</v>
          </cell>
          <cell r="D200" t="str">
            <v>B</v>
          </cell>
          <cell r="E200">
            <v>1</v>
          </cell>
          <cell r="F200" t="str">
            <v>Adok,dijak,egyéb befizetések</v>
          </cell>
        </row>
        <row r="201">
          <cell r="A201" t="str">
            <v>48</v>
          </cell>
          <cell r="B201" t="str">
            <v>03</v>
          </cell>
          <cell r="C201" t="str">
            <v>1</v>
          </cell>
          <cell r="D201" t="str">
            <v>B</v>
          </cell>
          <cell r="E201">
            <v>1</v>
          </cell>
          <cell r="F201" t="str">
            <v>Adok,dijak,befizetések (45+46+47)</v>
          </cell>
        </row>
        <row r="202">
          <cell r="A202" t="str">
            <v>49</v>
          </cell>
          <cell r="B202" t="str">
            <v>03</v>
          </cell>
          <cell r="C202" t="str">
            <v>1</v>
          </cell>
          <cell r="D202" t="str">
            <v>B</v>
          </cell>
          <cell r="E202">
            <v>1</v>
          </cell>
          <cell r="F202" t="str">
            <v>Kamatkiadások államháztartáson kivülre</v>
          </cell>
        </row>
        <row r="203">
          <cell r="A203" t="str">
            <v>50</v>
          </cell>
          <cell r="B203" t="str">
            <v>03</v>
          </cell>
          <cell r="C203" t="str">
            <v>1</v>
          </cell>
          <cell r="D203" t="str">
            <v>B</v>
          </cell>
          <cell r="E203">
            <v>1</v>
          </cell>
          <cell r="F203" t="str">
            <v>Kamatkiadások államháztartáson belülre</v>
          </cell>
        </row>
        <row r="204">
          <cell r="A204" t="str">
            <v>51</v>
          </cell>
          <cell r="B204" t="str">
            <v>03</v>
          </cell>
          <cell r="C204" t="str">
            <v>1</v>
          </cell>
          <cell r="D204" t="str">
            <v>B</v>
          </cell>
          <cell r="E204">
            <v>1</v>
          </cell>
          <cell r="F204" t="str">
            <v>Kamatkiadások  (49+50)</v>
          </cell>
        </row>
        <row r="205">
          <cell r="A205" t="str">
            <v>52</v>
          </cell>
          <cell r="B205" t="str">
            <v>03</v>
          </cell>
          <cell r="C205" t="str">
            <v>1</v>
          </cell>
          <cell r="D205" t="str">
            <v>B</v>
          </cell>
          <cell r="E205">
            <v>1</v>
          </cell>
          <cell r="F205" t="str">
            <v>Egyéb folyo kiadások (44+48+51)</v>
          </cell>
        </row>
        <row r="206">
          <cell r="A206" t="str">
            <v>53</v>
          </cell>
          <cell r="B206" t="str">
            <v>03</v>
          </cell>
          <cell r="C206" t="str">
            <v>1</v>
          </cell>
          <cell r="D206" t="str">
            <v>B</v>
          </cell>
          <cell r="E206">
            <v>1</v>
          </cell>
          <cell r="F206" t="str">
            <v>Dologi kiadások és egyéb folyo kiadások   (36+52)</v>
          </cell>
        </row>
        <row r="207">
          <cell r="A207" t="str">
            <v>1</v>
          </cell>
          <cell r="B207" t="str">
            <v>04</v>
          </cell>
          <cell r="C207" t="str">
            <v>1</v>
          </cell>
          <cell r="D207" t="str">
            <v>B</v>
          </cell>
          <cell r="E207">
            <v>1</v>
          </cell>
          <cell r="F207" t="str">
            <v>Felügy. alá tartozo ktgv-i szerveknek folyositott támogatás</v>
          </cell>
        </row>
        <row r="208">
          <cell r="A208" t="str">
            <v>2</v>
          </cell>
          <cell r="B208" t="str">
            <v>04</v>
          </cell>
          <cell r="C208" t="str">
            <v>1</v>
          </cell>
          <cell r="D208" t="str">
            <v>B</v>
          </cell>
          <cell r="E208">
            <v>1</v>
          </cell>
          <cell r="F208" t="str">
            <v>Müködési célu pénzeszközátadás államháztartáson kivülre</v>
          </cell>
        </row>
        <row r="209">
          <cell r="A209" t="str">
            <v>3</v>
          </cell>
          <cell r="B209" t="str">
            <v>04</v>
          </cell>
          <cell r="C209" t="str">
            <v>1</v>
          </cell>
          <cell r="D209" t="str">
            <v>B</v>
          </cell>
          <cell r="E209">
            <v>1</v>
          </cell>
          <cell r="F209" t="str">
            <v>Müködési célu pénzeszközátadás államháztartáson belülre</v>
          </cell>
        </row>
        <row r="210">
          <cell r="A210" t="str">
            <v>4</v>
          </cell>
          <cell r="B210" t="str">
            <v>04</v>
          </cell>
          <cell r="C210" t="str">
            <v>1</v>
          </cell>
          <cell r="D210" t="str">
            <v>B</v>
          </cell>
          <cell r="E210">
            <v>1</v>
          </cell>
          <cell r="F210" t="str">
            <v>Felhalmozási célu pénzeszközátadás államháztartáson kivülre</v>
          </cell>
        </row>
        <row r="211">
          <cell r="A211" t="str">
            <v>5</v>
          </cell>
          <cell r="B211" t="str">
            <v>04</v>
          </cell>
          <cell r="C211" t="str">
            <v>1</v>
          </cell>
          <cell r="D211" t="str">
            <v>B</v>
          </cell>
          <cell r="E211">
            <v>1</v>
          </cell>
          <cell r="F211" t="str">
            <v>Felhalmozási célu pénzeszközátadás államháztartáson belülre</v>
          </cell>
        </row>
        <row r="212">
          <cell r="A212" t="str">
            <v>6</v>
          </cell>
          <cell r="B212" t="str">
            <v>04</v>
          </cell>
          <cell r="C212" t="str">
            <v>1</v>
          </cell>
          <cell r="D212" t="str">
            <v>B</v>
          </cell>
          <cell r="E212">
            <v>1</v>
          </cell>
          <cell r="F212" t="str">
            <v>Családi támogatások</v>
          </cell>
        </row>
        <row r="213">
          <cell r="A213" t="str">
            <v>7</v>
          </cell>
          <cell r="B213" t="str">
            <v>04</v>
          </cell>
          <cell r="C213" t="str">
            <v>1</v>
          </cell>
          <cell r="D213" t="str">
            <v>B</v>
          </cell>
          <cell r="E213">
            <v>1</v>
          </cell>
          <cell r="F213" t="str">
            <v>Központi költségvetésböl folyositott egyéb ellátások</v>
          </cell>
        </row>
        <row r="214">
          <cell r="A214" t="str">
            <v>8</v>
          </cell>
          <cell r="B214" t="str">
            <v>04</v>
          </cell>
          <cell r="C214" t="str">
            <v>1</v>
          </cell>
          <cell r="D214" t="str">
            <v>B</v>
          </cell>
          <cell r="E214">
            <v>1</v>
          </cell>
          <cell r="F214" t="str">
            <v>Önkormányzatok által folyositott ellátások</v>
          </cell>
        </row>
        <row r="215">
          <cell r="A215" t="str">
            <v>9</v>
          </cell>
          <cell r="B215" t="str">
            <v>04</v>
          </cell>
          <cell r="C215" t="str">
            <v>1</v>
          </cell>
          <cell r="D215" t="str">
            <v>B</v>
          </cell>
          <cell r="E215">
            <v>1</v>
          </cell>
          <cell r="F215" t="str">
            <v>Pénzbeli kártérités,egyéb pénzbeli juttatások</v>
          </cell>
        </row>
        <row r="216">
          <cell r="A216" t="str">
            <v>10</v>
          </cell>
          <cell r="B216" t="str">
            <v>04</v>
          </cell>
          <cell r="C216" t="str">
            <v>1</v>
          </cell>
          <cell r="D216" t="str">
            <v>B</v>
          </cell>
          <cell r="E216">
            <v>1</v>
          </cell>
          <cell r="F216" t="str">
            <v>Társadalom- és szociálpolitikai juttatások (06+07+08+09)</v>
          </cell>
        </row>
        <row r="217">
          <cell r="A217" t="str">
            <v>11</v>
          </cell>
          <cell r="B217" t="str">
            <v>04</v>
          </cell>
          <cell r="C217" t="str">
            <v>1</v>
          </cell>
          <cell r="D217" t="str">
            <v>B</v>
          </cell>
          <cell r="E217">
            <v>1</v>
          </cell>
          <cell r="F217" t="str">
            <v>Pénzeszközátadás,egyéb támogatás (01+...+05+10)</v>
          </cell>
        </row>
        <row r="218">
          <cell r="A218" t="str">
            <v>12</v>
          </cell>
          <cell r="B218" t="str">
            <v>04</v>
          </cell>
          <cell r="C218" t="str">
            <v>1</v>
          </cell>
          <cell r="D218" t="str">
            <v>B</v>
          </cell>
          <cell r="E218">
            <v>1</v>
          </cell>
          <cell r="F218" t="str">
            <v>Állami gondozásban levök pénzbeli juttatásai</v>
          </cell>
        </row>
        <row r="219">
          <cell r="A219" t="str">
            <v>13</v>
          </cell>
          <cell r="B219" t="str">
            <v>04</v>
          </cell>
          <cell r="C219" t="str">
            <v>1</v>
          </cell>
          <cell r="D219" t="str">
            <v>B</v>
          </cell>
          <cell r="E219">
            <v>1</v>
          </cell>
          <cell r="F219" t="str">
            <v>Középfoku oktatásban részt vevök pénzbeli juttatásai</v>
          </cell>
        </row>
        <row r="220">
          <cell r="A220" t="str">
            <v>14</v>
          </cell>
          <cell r="B220" t="str">
            <v>04</v>
          </cell>
          <cell r="C220" t="str">
            <v>1</v>
          </cell>
          <cell r="D220" t="str">
            <v>B</v>
          </cell>
          <cell r="E220">
            <v>1</v>
          </cell>
          <cell r="F220" t="str">
            <v>Felsöfoku oktatásban részt vevök pénzbeli juttatásai</v>
          </cell>
        </row>
        <row r="221">
          <cell r="A221" t="str">
            <v>15</v>
          </cell>
          <cell r="B221" t="str">
            <v>04</v>
          </cell>
          <cell r="C221" t="str">
            <v>1</v>
          </cell>
          <cell r="D221" t="str">
            <v>B</v>
          </cell>
          <cell r="E221">
            <v>1</v>
          </cell>
          <cell r="F221" t="str">
            <v>Felnöttoktatásban részt vevök pénzbeli juttatásai</v>
          </cell>
        </row>
        <row r="222">
          <cell r="A222" t="str">
            <v>16</v>
          </cell>
          <cell r="B222" t="str">
            <v>04</v>
          </cell>
          <cell r="C222" t="str">
            <v>1</v>
          </cell>
          <cell r="D222" t="str">
            <v>B</v>
          </cell>
          <cell r="E222">
            <v>1</v>
          </cell>
          <cell r="F222" t="str">
            <v>Ellátottak egyéb pénzbeli juttatásai</v>
          </cell>
        </row>
        <row r="223">
          <cell r="A223" t="str">
            <v>17</v>
          </cell>
          <cell r="B223" t="str">
            <v>04</v>
          </cell>
          <cell r="C223" t="str">
            <v>1</v>
          </cell>
          <cell r="D223" t="str">
            <v>B</v>
          </cell>
          <cell r="E223">
            <v>1</v>
          </cell>
          <cell r="F223" t="str">
            <v>Ellátottak pénzbeli juttatásai (12+...+16)</v>
          </cell>
        </row>
        <row r="224">
          <cell r="A224" t="str">
            <v>18</v>
          </cell>
          <cell r="B224" t="str">
            <v>04</v>
          </cell>
          <cell r="C224" t="str">
            <v>1</v>
          </cell>
          <cell r="D224" t="str">
            <v>B</v>
          </cell>
          <cell r="E224">
            <v>1</v>
          </cell>
          <cell r="F224" t="str">
            <v>Nyugdijbiztositási pénzbeli ellátások</v>
          </cell>
        </row>
        <row r="225">
          <cell r="A225" t="str">
            <v>19</v>
          </cell>
          <cell r="B225" t="str">
            <v>04</v>
          </cell>
          <cell r="C225" t="str">
            <v>1</v>
          </cell>
          <cell r="D225" t="str">
            <v>B</v>
          </cell>
          <cell r="E225">
            <v>1</v>
          </cell>
          <cell r="F225" t="str">
            <v>Egészségbiztositási pénzbeli ellátások</v>
          </cell>
        </row>
        <row r="226">
          <cell r="A226" t="str">
            <v>20</v>
          </cell>
          <cell r="B226" t="str">
            <v>04</v>
          </cell>
          <cell r="C226" t="str">
            <v>1</v>
          </cell>
          <cell r="D226" t="str">
            <v>B</v>
          </cell>
          <cell r="E226">
            <v>1</v>
          </cell>
          <cell r="F226" t="str">
            <v>Munkaerö piaci pénzbeli ellátások</v>
          </cell>
        </row>
        <row r="227">
          <cell r="A227" t="str">
            <v>21</v>
          </cell>
          <cell r="B227" t="str">
            <v>04</v>
          </cell>
          <cell r="C227" t="str">
            <v>1</v>
          </cell>
          <cell r="D227" t="str">
            <v>B</v>
          </cell>
          <cell r="E227">
            <v>1</v>
          </cell>
          <cell r="F227" t="str">
            <v>Háztartások közvetett támogatása</v>
          </cell>
        </row>
        <row r="228">
          <cell r="A228" t="str">
            <v>1</v>
          </cell>
          <cell r="B228" t="str">
            <v>05</v>
          </cell>
          <cell r="C228" t="str">
            <v>1</v>
          </cell>
          <cell r="D228" t="str">
            <v>B</v>
          </cell>
          <cell r="E228">
            <v>1</v>
          </cell>
          <cell r="F228" t="str">
            <v>Ingatlanok felujitása</v>
          </cell>
        </row>
        <row r="229">
          <cell r="A229" t="str">
            <v>2</v>
          </cell>
          <cell r="B229" t="str">
            <v>05</v>
          </cell>
          <cell r="C229" t="str">
            <v>1</v>
          </cell>
          <cell r="D229" t="str">
            <v>B</v>
          </cell>
          <cell r="E229">
            <v>1</v>
          </cell>
          <cell r="F229" t="str">
            <v>Gépek, berendezések és felszerelések felujitása</v>
          </cell>
        </row>
        <row r="230">
          <cell r="A230" t="str">
            <v>3</v>
          </cell>
          <cell r="B230" t="str">
            <v>05</v>
          </cell>
          <cell r="C230" t="str">
            <v>1</v>
          </cell>
          <cell r="D230" t="str">
            <v>B</v>
          </cell>
          <cell r="E230">
            <v>1</v>
          </cell>
          <cell r="F230" t="str">
            <v>Jármüvek felujitása</v>
          </cell>
        </row>
        <row r="231">
          <cell r="A231" t="str">
            <v>4</v>
          </cell>
          <cell r="B231" t="str">
            <v>05</v>
          </cell>
          <cell r="C231" t="str">
            <v>1</v>
          </cell>
          <cell r="D231" t="str">
            <v>B</v>
          </cell>
          <cell r="E231">
            <v>1</v>
          </cell>
          <cell r="F231" t="str">
            <v>Felujitás elözetesen felszámitott általános forgalmi adoja</v>
          </cell>
        </row>
        <row r="232">
          <cell r="A232" t="str">
            <v>5</v>
          </cell>
          <cell r="B232" t="str">
            <v>05</v>
          </cell>
          <cell r="C232" t="str">
            <v>1</v>
          </cell>
          <cell r="D232" t="str">
            <v>B</v>
          </cell>
          <cell r="E232">
            <v>1</v>
          </cell>
          <cell r="F232" t="str">
            <v>Felujitás összesen (01+...+04)</v>
          </cell>
        </row>
        <row r="233">
          <cell r="A233" t="str">
            <v>6</v>
          </cell>
          <cell r="B233" t="str">
            <v>05</v>
          </cell>
          <cell r="C233" t="str">
            <v>1</v>
          </cell>
          <cell r="D233" t="str">
            <v>B</v>
          </cell>
          <cell r="E233">
            <v>1</v>
          </cell>
          <cell r="F233" t="str">
            <v>Immateriális javak vásárlása</v>
          </cell>
        </row>
        <row r="234">
          <cell r="A234" t="str">
            <v>7</v>
          </cell>
          <cell r="B234" t="str">
            <v>05</v>
          </cell>
          <cell r="C234" t="str">
            <v>1</v>
          </cell>
          <cell r="D234" t="str">
            <v>B</v>
          </cell>
          <cell r="E234">
            <v>1</v>
          </cell>
          <cell r="F234" t="str">
            <v>Ingatlanok vásárlása, létesitése (föld kivételével)</v>
          </cell>
        </row>
        <row r="235">
          <cell r="A235" t="str">
            <v>8</v>
          </cell>
          <cell r="B235" t="str">
            <v>05</v>
          </cell>
          <cell r="C235" t="str">
            <v>1</v>
          </cell>
          <cell r="D235" t="str">
            <v>B</v>
          </cell>
          <cell r="E235">
            <v>1</v>
          </cell>
          <cell r="F235" t="str">
            <v>Földterület vásárlás</v>
          </cell>
        </row>
        <row r="236">
          <cell r="A236" t="str">
            <v>9</v>
          </cell>
          <cell r="B236" t="str">
            <v>05</v>
          </cell>
          <cell r="C236" t="str">
            <v>1</v>
          </cell>
          <cell r="D236" t="str">
            <v>B</v>
          </cell>
          <cell r="E236">
            <v>1</v>
          </cell>
          <cell r="F236" t="str">
            <v>Gépek,berendezések és felszerelések vásárlása,létesitése</v>
          </cell>
        </row>
        <row r="237">
          <cell r="A237" t="str">
            <v>10</v>
          </cell>
          <cell r="B237" t="str">
            <v>05</v>
          </cell>
          <cell r="C237" t="str">
            <v>1</v>
          </cell>
          <cell r="D237" t="str">
            <v>B</v>
          </cell>
          <cell r="E237">
            <v>1</v>
          </cell>
          <cell r="F237" t="str">
            <v>Jármüvek vásárlása,létesitése</v>
          </cell>
        </row>
        <row r="238">
          <cell r="A238" t="str">
            <v>11</v>
          </cell>
          <cell r="B238" t="str">
            <v>05</v>
          </cell>
          <cell r="C238" t="str">
            <v>1</v>
          </cell>
          <cell r="D238" t="str">
            <v>B</v>
          </cell>
          <cell r="E238">
            <v>1</v>
          </cell>
          <cell r="F238" t="str">
            <v>Tenyészállatok vásárlása</v>
          </cell>
        </row>
        <row r="239">
          <cell r="A239" t="str">
            <v>12</v>
          </cell>
          <cell r="B239" t="str">
            <v>05</v>
          </cell>
          <cell r="C239" t="str">
            <v>1</v>
          </cell>
          <cell r="D239" t="str">
            <v>B</v>
          </cell>
          <cell r="E239">
            <v>1</v>
          </cell>
          <cell r="F239" t="str">
            <v>Intézményi beruházási kiadások  (06+...+11)</v>
          </cell>
        </row>
        <row r="240">
          <cell r="A240" t="str">
            <v>13</v>
          </cell>
          <cell r="B240" t="str">
            <v>05</v>
          </cell>
          <cell r="C240" t="str">
            <v>1</v>
          </cell>
          <cell r="D240" t="str">
            <v>B</v>
          </cell>
          <cell r="E240">
            <v>1</v>
          </cell>
          <cell r="F240" t="str">
            <v>Immateriális javak vásárlása</v>
          </cell>
        </row>
        <row r="241">
          <cell r="A241" t="str">
            <v>14</v>
          </cell>
          <cell r="B241" t="str">
            <v>05</v>
          </cell>
          <cell r="C241" t="str">
            <v>1</v>
          </cell>
          <cell r="D241" t="str">
            <v>B</v>
          </cell>
          <cell r="E241">
            <v>1</v>
          </cell>
          <cell r="F241" t="str">
            <v>Ingatlanok vásárlása, létesitése (föld nélkül)</v>
          </cell>
        </row>
        <row r="242">
          <cell r="A242" t="str">
            <v>15</v>
          </cell>
          <cell r="B242" t="str">
            <v>05</v>
          </cell>
          <cell r="C242" t="str">
            <v>1</v>
          </cell>
          <cell r="D242" t="str">
            <v>B</v>
          </cell>
          <cell r="E242">
            <v>1</v>
          </cell>
          <cell r="F242" t="str">
            <v>Földterület vásárlása</v>
          </cell>
        </row>
        <row r="243">
          <cell r="A243" t="str">
            <v>16</v>
          </cell>
          <cell r="B243" t="str">
            <v>05</v>
          </cell>
          <cell r="C243" t="str">
            <v>1</v>
          </cell>
          <cell r="D243" t="str">
            <v>B</v>
          </cell>
          <cell r="E243">
            <v>1</v>
          </cell>
          <cell r="F243" t="str">
            <v>Gépek,berendezések és felszerelések vásárlása,létesitése</v>
          </cell>
        </row>
        <row r="244">
          <cell r="A244" t="str">
            <v>17</v>
          </cell>
          <cell r="B244" t="str">
            <v>05</v>
          </cell>
          <cell r="C244" t="str">
            <v>1</v>
          </cell>
          <cell r="D244" t="str">
            <v>B</v>
          </cell>
          <cell r="E244">
            <v>1</v>
          </cell>
          <cell r="F244" t="str">
            <v>Jármüvek vásárlása, létesitése</v>
          </cell>
        </row>
        <row r="245">
          <cell r="A245" t="str">
            <v>18</v>
          </cell>
          <cell r="B245" t="str">
            <v>05</v>
          </cell>
          <cell r="C245" t="str">
            <v>1</v>
          </cell>
          <cell r="D245" t="str">
            <v>B</v>
          </cell>
          <cell r="E245">
            <v>1</v>
          </cell>
          <cell r="F245" t="str">
            <v>Felhalm. célu pénzeszközátadás vállalkozásoknak</v>
          </cell>
        </row>
        <row r="246">
          <cell r="A246" t="str">
            <v>19</v>
          </cell>
          <cell r="B246" t="str">
            <v>05</v>
          </cell>
          <cell r="C246" t="str">
            <v>1</v>
          </cell>
          <cell r="D246" t="str">
            <v>B</v>
          </cell>
          <cell r="E246">
            <v>1</v>
          </cell>
          <cell r="F246" t="str">
            <v>Felhalm. célu egyéb pénzeszközátadás államházt.kivülre</v>
          </cell>
        </row>
        <row r="247">
          <cell r="A247" t="str">
            <v>20</v>
          </cell>
          <cell r="B247" t="str">
            <v>05</v>
          </cell>
          <cell r="C247" t="str">
            <v>1</v>
          </cell>
          <cell r="D247" t="str">
            <v>B</v>
          </cell>
          <cell r="E247">
            <v>1</v>
          </cell>
          <cell r="F247" t="str">
            <v>Központi beruházási kiadások (13+...+19)</v>
          </cell>
        </row>
        <row r="248">
          <cell r="A248" t="str">
            <v>21</v>
          </cell>
          <cell r="B248" t="str">
            <v>05</v>
          </cell>
          <cell r="C248" t="str">
            <v>1</v>
          </cell>
          <cell r="D248" t="str">
            <v>B</v>
          </cell>
          <cell r="E248">
            <v>1</v>
          </cell>
          <cell r="F248" t="str">
            <v>Felhalmozási célu pénzeszközátadás háztartásoknak</v>
          </cell>
        </row>
        <row r="249">
          <cell r="A249" t="str">
            <v>22</v>
          </cell>
          <cell r="B249" t="str">
            <v>05</v>
          </cell>
          <cell r="C249" t="str">
            <v>1</v>
          </cell>
          <cell r="D249" t="str">
            <v>B</v>
          </cell>
          <cell r="E249">
            <v>1</v>
          </cell>
          <cell r="F249" t="str">
            <v>Lakástámogatás (=21)</v>
          </cell>
        </row>
        <row r="250">
          <cell r="A250" t="str">
            <v>23</v>
          </cell>
          <cell r="B250" t="str">
            <v>05</v>
          </cell>
          <cell r="C250" t="str">
            <v>1</v>
          </cell>
          <cell r="D250" t="str">
            <v>B</v>
          </cell>
          <cell r="E250">
            <v>1</v>
          </cell>
          <cell r="F250" t="str">
            <v>Ingatlanok vásárlása, létesitése</v>
          </cell>
        </row>
        <row r="251">
          <cell r="A251" t="str">
            <v>24</v>
          </cell>
          <cell r="B251" t="str">
            <v>05</v>
          </cell>
          <cell r="C251" t="str">
            <v>1</v>
          </cell>
          <cell r="D251" t="str">
            <v>B</v>
          </cell>
          <cell r="E251">
            <v>1</v>
          </cell>
          <cell r="F251" t="str">
            <v>Lakásépités (=23)</v>
          </cell>
        </row>
        <row r="252">
          <cell r="A252" t="str">
            <v>25</v>
          </cell>
          <cell r="B252" t="str">
            <v>05</v>
          </cell>
          <cell r="C252" t="str">
            <v>1</v>
          </cell>
          <cell r="D252" t="str">
            <v>B</v>
          </cell>
          <cell r="E252">
            <v>1</v>
          </cell>
          <cell r="F252" t="str">
            <v>Állami készletek,tartalékok felhalmozási kiadásai</v>
          </cell>
        </row>
        <row r="253">
          <cell r="A253" t="str">
            <v>26</v>
          </cell>
          <cell r="B253" t="str">
            <v>05</v>
          </cell>
          <cell r="C253" t="str">
            <v>1</v>
          </cell>
          <cell r="D253" t="str">
            <v>B</v>
          </cell>
          <cell r="E253">
            <v>1</v>
          </cell>
          <cell r="F253" t="str">
            <v>Intézményi beruházások általános forgalmi adoja</v>
          </cell>
        </row>
        <row r="254">
          <cell r="A254" t="str">
            <v>27</v>
          </cell>
          <cell r="B254" t="str">
            <v>05</v>
          </cell>
          <cell r="C254" t="str">
            <v>1</v>
          </cell>
          <cell r="D254" t="str">
            <v>B</v>
          </cell>
          <cell r="E254">
            <v>1</v>
          </cell>
          <cell r="F254" t="str">
            <v>Központi beruházási kiadások általános forgalmi adoja</v>
          </cell>
        </row>
        <row r="255">
          <cell r="A255" t="str">
            <v>28</v>
          </cell>
          <cell r="B255" t="str">
            <v>05</v>
          </cell>
          <cell r="C255" t="str">
            <v>1</v>
          </cell>
          <cell r="D255" t="str">
            <v>B</v>
          </cell>
          <cell r="E255">
            <v>1</v>
          </cell>
          <cell r="F255" t="str">
            <v>Lakásépités általános forgalmi adoja</v>
          </cell>
        </row>
        <row r="256">
          <cell r="A256" t="str">
            <v>29</v>
          </cell>
          <cell r="B256" t="str">
            <v>05</v>
          </cell>
          <cell r="C256" t="str">
            <v>1</v>
          </cell>
          <cell r="D256" t="str">
            <v>B</v>
          </cell>
          <cell r="E256">
            <v>1</v>
          </cell>
          <cell r="F256" t="str">
            <v>Állami készletek,tartalékok általános forgalmi adoja</v>
          </cell>
        </row>
        <row r="257">
          <cell r="A257" t="str">
            <v>30</v>
          </cell>
          <cell r="B257" t="str">
            <v>05</v>
          </cell>
          <cell r="C257" t="str">
            <v>1</v>
          </cell>
          <cell r="D257" t="str">
            <v>B</v>
          </cell>
          <cell r="E257">
            <v>1</v>
          </cell>
          <cell r="F257" t="str">
            <v>Beruházásokhoz kapcsolodo általános forgalmi ado befizetés</v>
          </cell>
        </row>
        <row r="258">
          <cell r="A258" t="str">
            <v>31</v>
          </cell>
          <cell r="B258" t="str">
            <v>05</v>
          </cell>
          <cell r="C258" t="str">
            <v>1</v>
          </cell>
          <cell r="D258" t="str">
            <v>B</v>
          </cell>
          <cell r="E258">
            <v>1</v>
          </cell>
          <cell r="F258" t="str">
            <v>Beruházások általános forgalmi adoja (26+...+30)</v>
          </cell>
        </row>
        <row r="259">
          <cell r="A259" t="str">
            <v>32</v>
          </cell>
          <cell r="B259" t="str">
            <v>05</v>
          </cell>
          <cell r="C259" t="str">
            <v>1</v>
          </cell>
          <cell r="D259" t="str">
            <v>B</v>
          </cell>
          <cell r="E259">
            <v>1</v>
          </cell>
          <cell r="F259" t="str">
            <v>Felhalmozási kiadások összesen (12+20+22+24+25+31)</v>
          </cell>
        </row>
        <row r="260">
          <cell r="A260" t="str">
            <v>33</v>
          </cell>
          <cell r="B260" t="str">
            <v>05</v>
          </cell>
          <cell r="C260" t="str">
            <v>1</v>
          </cell>
          <cell r="D260" t="str">
            <v>B</v>
          </cell>
          <cell r="E260">
            <v>1</v>
          </cell>
          <cell r="F260" t="str">
            <v>Részvények és részesedések vásárlása</v>
          </cell>
        </row>
        <row r="261">
          <cell r="A261" t="str">
            <v>34</v>
          </cell>
          <cell r="B261" t="str">
            <v>05</v>
          </cell>
          <cell r="C261" t="str">
            <v>1</v>
          </cell>
          <cell r="D261" t="str">
            <v>B</v>
          </cell>
          <cell r="E261">
            <v>1</v>
          </cell>
          <cell r="F261" t="str">
            <v>Kárpotlási jegyek vásárlása</v>
          </cell>
        </row>
        <row r="262">
          <cell r="A262" t="str">
            <v>35</v>
          </cell>
          <cell r="B262" t="str">
            <v>05</v>
          </cell>
          <cell r="C262" t="str">
            <v>1</v>
          </cell>
          <cell r="D262" t="str">
            <v>B</v>
          </cell>
          <cell r="E262">
            <v>1</v>
          </cell>
          <cell r="F262" t="str">
            <v>Államkötvények,egyéb értékpapirok vásárlása</v>
          </cell>
        </row>
        <row r="263">
          <cell r="A263" t="str">
            <v>36</v>
          </cell>
          <cell r="B263" t="str">
            <v>05</v>
          </cell>
          <cell r="C263" t="str">
            <v>1</v>
          </cell>
          <cell r="D263" t="str">
            <v>B</v>
          </cell>
          <cell r="E263">
            <v>1</v>
          </cell>
          <cell r="F263" t="str">
            <v>Egyéb pénzügyi befektetések</v>
          </cell>
        </row>
        <row r="264">
          <cell r="A264" t="str">
            <v>37</v>
          </cell>
          <cell r="B264" t="str">
            <v>05</v>
          </cell>
          <cell r="C264" t="str">
            <v>1</v>
          </cell>
          <cell r="D264" t="str">
            <v>B</v>
          </cell>
          <cell r="E264">
            <v>1</v>
          </cell>
          <cell r="F264" t="str">
            <v>Pénzügyi befektetések kiadásai (33+...+36)</v>
          </cell>
        </row>
        <row r="265">
          <cell r="A265" t="str">
            <v>38</v>
          </cell>
          <cell r="B265" t="str">
            <v>05</v>
          </cell>
          <cell r="C265" t="str">
            <v>1</v>
          </cell>
          <cell r="D265" t="str">
            <v>B</v>
          </cell>
          <cell r="E265">
            <v>1</v>
          </cell>
          <cell r="F265" t="str">
            <v>Felhalmozási kiadások és pénzügyi befekt.összesen(32+37)</v>
          </cell>
        </row>
        <row r="266">
          <cell r="A266" t="str">
            <v>1</v>
          </cell>
          <cell r="B266" t="str">
            <v>06</v>
          </cell>
          <cell r="C266" t="str">
            <v>1</v>
          </cell>
          <cell r="D266" t="str">
            <v>B</v>
          </cell>
          <cell r="E266">
            <v>1</v>
          </cell>
          <cell r="F266" t="str">
            <v>Mük.célu tám.-i kölcsönök nyujtása központi ktgv-i szervnek</v>
          </cell>
        </row>
        <row r="267">
          <cell r="A267" t="str">
            <v>2</v>
          </cell>
          <cell r="B267" t="str">
            <v>06</v>
          </cell>
          <cell r="C267" t="str">
            <v>1</v>
          </cell>
          <cell r="D267" t="str">
            <v>B</v>
          </cell>
          <cell r="E267">
            <v>1</v>
          </cell>
          <cell r="F267" t="str">
            <v>Mük.célu tám.-i kölcsönök nyujtása helyi önk. ktgv-i sz-nek</v>
          </cell>
        </row>
        <row r="268">
          <cell r="A268" t="str">
            <v>3</v>
          </cell>
          <cell r="B268" t="str">
            <v>06</v>
          </cell>
          <cell r="C268" t="str">
            <v>1</v>
          </cell>
          <cell r="D268" t="str">
            <v>B</v>
          </cell>
          <cell r="E268">
            <v>1</v>
          </cell>
          <cell r="F268" t="str">
            <v>Mük.célu tám.-i kölcsönök nyujtása fejezeten (önk.) belül</v>
          </cell>
        </row>
        <row r="269">
          <cell r="A269" t="str">
            <v>4</v>
          </cell>
          <cell r="B269" t="str">
            <v>06</v>
          </cell>
          <cell r="C269" t="str">
            <v>1</v>
          </cell>
          <cell r="D269" t="str">
            <v>B</v>
          </cell>
          <cell r="E269">
            <v>1</v>
          </cell>
          <cell r="F269" t="str">
            <v>Mük.célu tám.-i kölcsönök nyujtása TB.alapoknak és kezelöin.</v>
          </cell>
        </row>
        <row r="270">
          <cell r="A270" t="str">
            <v>5</v>
          </cell>
          <cell r="B270" t="str">
            <v>06</v>
          </cell>
          <cell r="C270" t="str">
            <v>1</v>
          </cell>
          <cell r="D270" t="str">
            <v>B</v>
          </cell>
          <cell r="E270">
            <v>1</v>
          </cell>
          <cell r="F270" t="str">
            <v>Mük.célu tám.-i kölcsönök nyujtása elkül.állami pénzalapokn.</v>
          </cell>
        </row>
        <row r="271">
          <cell r="A271" t="str">
            <v>6</v>
          </cell>
          <cell r="B271" t="str">
            <v>06</v>
          </cell>
          <cell r="C271" t="str">
            <v>1</v>
          </cell>
          <cell r="D271" t="str">
            <v>B</v>
          </cell>
          <cell r="E271">
            <v>1</v>
          </cell>
          <cell r="F271" t="str">
            <v>Mük.célu tám.-i kölcsön nyujt.áht.belülre (01+...+05)</v>
          </cell>
        </row>
        <row r="272">
          <cell r="A272" t="str">
            <v>7</v>
          </cell>
          <cell r="B272" t="str">
            <v>06</v>
          </cell>
          <cell r="C272" t="str">
            <v>1</v>
          </cell>
          <cell r="D272" t="str">
            <v>B</v>
          </cell>
          <cell r="E272">
            <v>1</v>
          </cell>
          <cell r="F272" t="str">
            <v>Felh.célu tám.-i kölcsönök nyujtása kp-i ktgv-i szervnek</v>
          </cell>
        </row>
        <row r="273">
          <cell r="A273" t="str">
            <v>8</v>
          </cell>
          <cell r="B273" t="str">
            <v>06</v>
          </cell>
          <cell r="C273" t="str">
            <v>1</v>
          </cell>
          <cell r="D273" t="str">
            <v>B</v>
          </cell>
          <cell r="E273">
            <v>1</v>
          </cell>
          <cell r="F273" t="str">
            <v>Felh.célu tám.-i kölcsönök nyujtása helyi önk.ktgv-i sz-nek</v>
          </cell>
        </row>
        <row r="274">
          <cell r="A274" t="str">
            <v>9</v>
          </cell>
          <cell r="B274" t="str">
            <v>06</v>
          </cell>
          <cell r="C274" t="str">
            <v>1</v>
          </cell>
          <cell r="D274" t="str">
            <v>B</v>
          </cell>
          <cell r="E274">
            <v>1</v>
          </cell>
          <cell r="F274" t="str">
            <v>Felh.célu tám.-i kölcsönök nyujtása fejezeten (önk.) belül</v>
          </cell>
        </row>
        <row r="275">
          <cell r="A275" t="str">
            <v>10</v>
          </cell>
          <cell r="B275" t="str">
            <v>06</v>
          </cell>
          <cell r="C275" t="str">
            <v>1</v>
          </cell>
          <cell r="D275" t="str">
            <v>B</v>
          </cell>
          <cell r="E275">
            <v>1</v>
          </cell>
          <cell r="F275" t="str">
            <v>Felh.célu tám.-i kölcsönök nyujtása TB.alapoknak és kezelöi.</v>
          </cell>
        </row>
        <row r="276">
          <cell r="A276" t="str">
            <v>11</v>
          </cell>
          <cell r="B276" t="str">
            <v>06</v>
          </cell>
          <cell r="C276" t="str">
            <v>1</v>
          </cell>
          <cell r="D276" t="str">
            <v>B</v>
          </cell>
          <cell r="E276">
            <v>1</v>
          </cell>
          <cell r="F276" t="str">
            <v>Felh.célu tám.-i kölcsönök nyujtása elkül.állami pénzalapok.</v>
          </cell>
        </row>
        <row r="277">
          <cell r="A277" t="str">
            <v>12</v>
          </cell>
          <cell r="B277" t="str">
            <v>06</v>
          </cell>
          <cell r="C277" t="str">
            <v>1</v>
          </cell>
          <cell r="D277" t="str">
            <v>B</v>
          </cell>
          <cell r="E277">
            <v>1</v>
          </cell>
          <cell r="F277" t="str">
            <v>Felh.célu tám.-i kölcsön nyujtása áht.belülre (07+...+11)</v>
          </cell>
        </row>
        <row r="278">
          <cell r="A278" t="str">
            <v>13</v>
          </cell>
          <cell r="B278" t="str">
            <v>06</v>
          </cell>
          <cell r="C278" t="str">
            <v>1</v>
          </cell>
          <cell r="D278" t="str">
            <v>B</v>
          </cell>
          <cell r="E278">
            <v>1</v>
          </cell>
          <cell r="F278" t="str">
            <v>Támogatási kölcsönök nyujtása áht.belülre (06+12)</v>
          </cell>
        </row>
        <row r="279">
          <cell r="A279" t="str">
            <v>14</v>
          </cell>
          <cell r="B279" t="str">
            <v>06</v>
          </cell>
          <cell r="C279" t="str">
            <v>1</v>
          </cell>
          <cell r="D279" t="str">
            <v>B</v>
          </cell>
          <cell r="E279">
            <v>1</v>
          </cell>
          <cell r="F279" t="str">
            <v>Mük.célu tám.-i kölcsönök nyujtása állami nem pü-i váll-nak</v>
          </cell>
        </row>
        <row r="280">
          <cell r="A280" t="str">
            <v>15</v>
          </cell>
          <cell r="B280" t="str">
            <v>06</v>
          </cell>
          <cell r="C280" t="str">
            <v>1</v>
          </cell>
          <cell r="D280" t="str">
            <v>B</v>
          </cell>
          <cell r="E280">
            <v>1</v>
          </cell>
          <cell r="F280" t="str">
            <v>Mük.célu tám.-i kölcsönök nyujtása pénzügyi vállalkozásoknak</v>
          </cell>
        </row>
        <row r="281">
          <cell r="A281" t="str">
            <v>16</v>
          </cell>
          <cell r="B281" t="str">
            <v>06</v>
          </cell>
          <cell r="C281" t="str">
            <v>1</v>
          </cell>
          <cell r="D281" t="str">
            <v>B</v>
          </cell>
          <cell r="E281">
            <v>1</v>
          </cell>
          <cell r="F281" t="str">
            <v>Mük.célu tám.EM 62.cikkely.kölcs.nyujt.önk.többs.tul.váll.</v>
          </cell>
        </row>
        <row r="282">
          <cell r="A282" t="str">
            <v>17</v>
          </cell>
          <cell r="B282" t="str">
            <v>06</v>
          </cell>
          <cell r="C282" t="str">
            <v>1</v>
          </cell>
          <cell r="D282" t="str">
            <v>B</v>
          </cell>
          <cell r="E282">
            <v>1</v>
          </cell>
          <cell r="F282" t="str">
            <v>Mük.célu tám.EM 62.cikkely.kölcs.nyujt.nem önk.többs.váll.</v>
          </cell>
        </row>
        <row r="283">
          <cell r="A283" t="str">
            <v>18</v>
          </cell>
          <cell r="B283" t="str">
            <v>06</v>
          </cell>
          <cell r="C283" t="str">
            <v>1</v>
          </cell>
          <cell r="D283" t="str">
            <v>B</v>
          </cell>
          <cell r="E283">
            <v>1</v>
          </cell>
          <cell r="F283" t="str">
            <v>Mük.célu tám.EM 62.cikkely.kölcs.nyujt.egyéb váll.(16+17)</v>
          </cell>
        </row>
        <row r="284">
          <cell r="A284" t="str">
            <v>19</v>
          </cell>
          <cell r="B284" t="str">
            <v>06</v>
          </cell>
          <cell r="C284" t="str">
            <v>1</v>
          </cell>
          <cell r="D284" t="str">
            <v>B</v>
          </cell>
          <cell r="E284">
            <v>1</v>
          </cell>
          <cell r="F284" t="str">
            <v>Mük.célu tám.nem 16-os sorba tart.kölcs.nyujt.önk.többs.váll.</v>
          </cell>
        </row>
        <row r="285">
          <cell r="A285" t="str">
            <v>20</v>
          </cell>
          <cell r="B285" t="str">
            <v>06</v>
          </cell>
          <cell r="C285" t="str">
            <v>1</v>
          </cell>
          <cell r="D285" t="str">
            <v>B</v>
          </cell>
          <cell r="E285">
            <v>1</v>
          </cell>
          <cell r="F285" t="str">
            <v>Mük.célu tám.nem 17-es sorba tart.kölcs.nyujt.nem önk.többs.v.</v>
          </cell>
        </row>
        <row r="286">
          <cell r="A286" t="str">
            <v>21</v>
          </cell>
          <cell r="B286" t="str">
            <v>06</v>
          </cell>
          <cell r="C286" t="str">
            <v>1</v>
          </cell>
          <cell r="D286" t="str">
            <v>B</v>
          </cell>
          <cell r="E286">
            <v>1</v>
          </cell>
          <cell r="F286" t="str">
            <v>Mük.célu tám.-i kölcsönök nyujtása egyéb vállal.(18+19+20)</v>
          </cell>
        </row>
        <row r="287">
          <cell r="A287" t="str">
            <v>22</v>
          </cell>
          <cell r="B287" t="str">
            <v>06</v>
          </cell>
          <cell r="C287" t="str">
            <v>1</v>
          </cell>
          <cell r="D287" t="str">
            <v>B</v>
          </cell>
          <cell r="E287">
            <v>1</v>
          </cell>
          <cell r="F287" t="str">
            <v>Mük.célu tám.-i kölcsönök nyujtása háztartásoknak</v>
          </cell>
        </row>
        <row r="288">
          <cell r="A288" t="str">
            <v>23</v>
          </cell>
          <cell r="B288" t="str">
            <v>06</v>
          </cell>
          <cell r="C288" t="str">
            <v>1</v>
          </cell>
          <cell r="D288" t="str">
            <v>B</v>
          </cell>
          <cell r="E288">
            <v>1</v>
          </cell>
          <cell r="F288" t="str">
            <v>Mük.célu tám.-i kölcsönök nyujtása non-profit szervezeteknek</v>
          </cell>
        </row>
        <row r="289">
          <cell r="A289" t="str">
            <v>24</v>
          </cell>
          <cell r="B289" t="str">
            <v>06</v>
          </cell>
          <cell r="C289" t="str">
            <v>1</v>
          </cell>
          <cell r="D289" t="str">
            <v>B</v>
          </cell>
          <cell r="E289">
            <v>1</v>
          </cell>
          <cell r="F289" t="str">
            <v>Mük.célu tám.-i kölcsönök nyujtása külföldre</v>
          </cell>
        </row>
        <row r="290">
          <cell r="A290" t="str">
            <v>25</v>
          </cell>
          <cell r="B290" t="str">
            <v>06</v>
          </cell>
          <cell r="C290" t="str">
            <v>1</v>
          </cell>
          <cell r="D290" t="str">
            <v>B</v>
          </cell>
          <cell r="E290">
            <v>1</v>
          </cell>
          <cell r="F290" t="str">
            <v>Mük.célu tám.kölcs.nyujt.áht.-n kivülre (14+15+21+...+24)</v>
          </cell>
        </row>
        <row r="291">
          <cell r="A291" t="str">
            <v>26</v>
          </cell>
          <cell r="B291" t="str">
            <v>06</v>
          </cell>
          <cell r="C291" t="str">
            <v>1</v>
          </cell>
          <cell r="D291" t="str">
            <v>B</v>
          </cell>
          <cell r="E291">
            <v>1</v>
          </cell>
          <cell r="F291" t="str">
            <v>Felh.célu tám.-i kölcsönök nyujtása állami nem pü-i váll-nak</v>
          </cell>
        </row>
        <row r="292">
          <cell r="A292" t="str">
            <v>27</v>
          </cell>
          <cell r="B292" t="str">
            <v>06</v>
          </cell>
          <cell r="C292" t="str">
            <v>1</v>
          </cell>
          <cell r="D292" t="str">
            <v>B</v>
          </cell>
          <cell r="E292">
            <v>1</v>
          </cell>
          <cell r="F292" t="str">
            <v>Felh.célu tám.-i kölcsönök nyujtása pénzügyi vállalkozásnak</v>
          </cell>
        </row>
        <row r="293">
          <cell r="A293" t="str">
            <v>28</v>
          </cell>
          <cell r="B293" t="str">
            <v>06</v>
          </cell>
          <cell r="C293" t="str">
            <v>1</v>
          </cell>
          <cell r="D293" t="str">
            <v>B</v>
          </cell>
          <cell r="E293">
            <v>1</v>
          </cell>
          <cell r="F293" t="str">
            <v>Felh.célu tám.EM 62.cikkely.kölcs.nyujt.önk.többs.tul.váll.</v>
          </cell>
        </row>
        <row r="294">
          <cell r="A294" t="str">
            <v>29</v>
          </cell>
          <cell r="B294" t="str">
            <v>06</v>
          </cell>
          <cell r="C294" t="str">
            <v>1</v>
          </cell>
          <cell r="D294" t="str">
            <v>B</v>
          </cell>
          <cell r="E294">
            <v>1</v>
          </cell>
          <cell r="F294" t="str">
            <v>Felh.célu tám.EM 62.cikkely.kölcs.nyujt.nem önk.többs.váll.</v>
          </cell>
        </row>
        <row r="295">
          <cell r="A295" t="str">
            <v>30</v>
          </cell>
          <cell r="B295" t="str">
            <v>06</v>
          </cell>
          <cell r="C295" t="str">
            <v>1</v>
          </cell>
          <cell r="D295" t="str">
            <v>B</v>
          </cell>
          <cell r="E295">
            <v>1</v>
          </cell>
          <cell r="F295" t="str">
            <v>Felh.célu tám.EM 62.cikkely.kölcs.nyujt.egyéb váll.(28+29)</v>
          </cell>
        </row>
        <row r="296">
          <cell r="A296" t="str">
            <v>31</v>
          </cell>
          <cell r="B296" t="str">
            <v>06</v>
          </cell>
          <cell r="C296" t="str">
            <v>1</v>
          </cell>
          <cell r="D296" t="str">
            <v>B</v>
          </cell>
          <cell r="E296">
            <v>1</v>
          </cell>
          <cell r="F296" t="str">
            <v>Felh.célu tám.nem 28. sorba tart.kölcs.nyujt.önk.többs.váll.</v>
          </cell>
        </row>
        <row r="297">
          <cell r="A297" t="str">
            <v>32</v>
          </cell>
          <cell r="B297" t="str">
            <v>06</v>
          </cell>
          <cell r="C297" t="str">
            <v>1</v>
          </cell>
          <cell r="D297" t="str">
            <v>B</v>
          </cell>
          <cell r="E297">
            <v>1</v>
          </cell>
          <cell r="F297" t="str">
            <v>Felh.célu tám.nem 29. sorba tart.kölcs.nyujt.nem önk.többs.v.</v>
          </cell>
        </row>
        <row r="298">
          <cell r="A298" t="str">
            <v>33</v>
          </cell>
          <cell r="B298" t="str">
            <v>06</v>
          </cell>
          <cell r="C298" t="str">
            <v>1</v>
          </cell>
          <cell r="D298" t="str">
            <v>B</v>
          </cell>
          <cell r="E298">
            <v>1</v>
          </cell>
          <cell r="F298" t="str">
            <v>Felh.célu tám.-i kölcsönök nyujtása egyéb váll.(30+31+32)</v>
          </cell>
        </row>
        <row r="299">
          <cell r="A299" t="str">
            <v>34</v>
          </cell>
          <cell r="B299" t="str">
            <v>06</v>
          </cell>
          <cell r="C299" t="str">
            <v>1</v>
          </cell>
          <cell r="D299" t="str">
            <v>B</v>
          </cell>
          <cell r="E299">
            <v>1</v>
          </cell>
          <cell r="F299" t="str">
            <v>Felh.célu id.tám.-i kölcs.nyujtása háztartásoknak(lak.tám.)</v>
          </cell>
        </row>
        <row r="300">
          <cell r="A300" t="str">
            <v>35</v>
          </cell>
          <cell r="B300" t="str">
            <v>06</v>
          </cell>
          <cell r="C300" t="str">
            <v>1</v>
          </cell>
          <cell r="D300" t="str">
            <v>B</v>
          </cell>
          <cell r="E300">
            <v>1</v>
          </cell>
          <cell r="F300" t="str">
            <v>Egyéb felh.célu tám.-i kölcsönök nyujtása háztartásoknak</v>
          </cell>
        </row>
        <row r="301">
          <cell r="A301" t="str">
            <v>36</v>
          </cell>
          <cell r="B301" t="str">
            <v>06</v>
          </cell>
          <cell r="C301" t="str">
            <v>1</v>
          </cell>
          <cell r="D301" t="str">
            <v>B</v>
          </cell>
          <cell r="E301">
            <v>1</v>
          </cell>
          <cell r="F301" t="str">
            <v>Felh.célu tám.-i kölcsönök nyujtása non-profit szervezetekn.</v>
          </cell>
        </row>
        <row r="302">
          <cell r="A302" t="str">
            <v>37</v>
          </cell>
          <cell r="B302" t="str">
            <v>06</v>
          </cell>
          <cell r="C302" t="str">
            <v>1</v>
          </cell>
          <cell r="D302" t="str">
            <v>B</v>
          </cell>
          <cell r="E302">
            <v>1</v>
          </cell>
          <cell r="F302" t="str">
            <v>Felh.célu tám.-i kölcsönök nyujtása külföldre</v>
          </cell>
        </row>
        <row r="303">
          <cell r="A303" t="str">
            <v>38</v>
          </cell>
          <cell r="B303" t="str">
            <v>06</v>
          </cell>
          <cell r="C303" t="str">
            <v>1</v>
          </cell>
          <cell r="D303" t="str">
            <v>B</v>
          </cell>
          <cell r="E303">
            <v>1</v>
          </cell>
          <cell r="F303" t="str">
            <v>Felh.célu tám.kölcsön nyujt.áht.kivülre (26+27+33+...+37)</v>
          </cell>
        </row>
        <row r="304">
          <cell r="A304" t="str">
            <v>39</v>
          </cell>
          <cell r="B304" t="str">
            <v>06</v>
          </cell>
          <cell r="C304" t="str">
            <v>1</v>
          </cell>
          <cell r="D304" t="str">
            <v>B</v>
          </cell>
          <cell r="E304">
            <v>1</v>
          </cell>
          <cell r="F304" t="str">
            <v>Támogatási kölcsönök nyujtása áht.kivülre (25+38)</v>
          </cell>
        </row>
        <row r="305">
          <cell r="A305" t="str">
            <v>40</v>
          </cell>
          <cell r="B305" t="str">
            <v>06</v>
          </cell>
          <cell r="C305" t="str">
            <v>1</v>
          </cell>
          <cell r="D305" t="str">
            <v>B</v>
          </cell>
          <cell r="E305">
            <v>1</v>
          </cell>
          <cell r="F305" t="str">
            <v>Mük.célu tám.-i kölcsönök törleszt.központi ktgv-i szervnek</v>
          </cell>
        </row>
        <row r="306">
          <cell r="A306" t="str">
            <v>41</v>
          </cell>
          <cell r="B306" t="str">
            <v>06</v>
          </cell>
          <cell r="C306" t="str">
            <v>1</v>
          </cell>
          <cell r="D306" t="str">
            <v>B</v>
          </cell>
          <cell r="E306">
            <v>1</v>
          </cell>
          <cell r="F306" t="str">
            <v>Mük.célu tám.-i kölcsönök törleszt.helyi önk. ktgv-i sz-nek</v>
          </cell>
        </row>
        <row r="307">
          <cell r="A307" t="str">
            <v>42</v>
          </cell>
          <cell r="B307" t="str">
            <v>06</v>
          </cell>
          <cell r="C307" t="str">
            <v>1</v>
          </cell>
          <cell r="D307" t="str">
            <v>B</v>
          </cell>
          <cell r="E307">
            <v>1</v>
          </cell>
          <cell r="F307" t="str">
            <v>Mük.célu tám.-i kölcsönök törleszt.fejezeten (önk.) belül</v>
          </cell>
        </row>
        <row r="308">
          <cell r="A308" t="str">
            <v>43</v>
          </cell>
          <cell r="B308" t="str">
            <v>06</v>
          </cell>
          <cell r="C308" t="str">
            <v>1</v>
          </cell>
          <cell r="D308" t="str">
            <v>B</v>
          </cell>
          <cell r="E308">
            <v>1</v>
          </cell>
          <cell r="F308" t="str">
            <v>Mük.célu tám.-i kölcsönök törleszt.TB.alapoknak és kezelöin.</v>
          </cell>
        </row>
        <row r="309">
          <cell r="A309" t="str">
            <v>44</v>
          </cell>
          <cell r="B309" t="str">
            <v>06</v>
          </cell>
          <cell r="C309" t="str">
            <v>1</v>
          </cell>
          <cell r="D309" t="str">
            <v>B</v>
          </cell>
          <cell r="E309">
            <v>1</v>
          </cell>
          <cell r="F309" t="str">
            <v>Mük.célu tám.-i kölcsönök törleszt.elkül.állami pénzalapokn.</v>
          </cell>
        </row>
        <row r="310">
          <cell r="A310" t="str">
            <v>45</v>
          </cell>
          <cell r="B310" t="str">
            <v>06</v>
          </cell>
          <cell r="C310" t="str">
            <v>1</v>
          </cell>
          <cell r="D310" t="str">
            <v>B</v>
          </cell>
          <cell r="E310">
            <v>1</v>
          </cell>
          <cell r="F310" t="str">
            <v>Mük.célu tám.-i kölcsön törleszt.áht.belülre (40+...+44)</v>
          </cell>
        </row>
        <row r="311">
          <cell r="A311" t="str">
            <v>46</v>
          </cell>
          <cell r="B311" t="str">
            <v>06</v>
          </cell>
          <cell r="C311" t="str">
            <v>1</v>
          </cell>
          <cell r="D311" t="str">
            <v>B</v>
          </cell>
          <cell r="E311">
            <v>1</v>
          </cell>
          <cell r="F311" t="str">
            <v>Felh.célu tám.-i kölcsönök törleszt. kp-i ktgv-i szervnek</v>
          </cell>
        </row>
        <row r="312">
          <cell r="A312" t="str">
            <v>47</v>
          </cell>
          <cell r="B312" t="str">
            <v>06</v>
          </cell>
          <cell r="C312" t="str">
            <v>1</v>
          </cell>
          <cell r="D312" t="str">
            <v>B</v>
          </cell>
          <cell r="E312">
            <v>1</v>
          </cell>
          <cell r="F312" t="str">
            <v>Felh.célu tám.-i kölcsönök törleszt.helyi önk.ktgv-i sz-nek</v>
          </cell>
        </row>
        <row r="313">
          <cell r="A313" t="str">
            <v>48</v>
          </cell>
          <cell r="B313" t="str">
            <v>06</v>
          </cell>
          <cell r="C313" t="str">
            <v>1</v>
          </cell>
          <cell r="D313" t="str">
            <v>B</v>
          </cell>
          <cell r="E313">
            <v>1</v>
          </cell>
          <cell r="F313" t="str">
            <v>Felh.célu tám.-i kölcsönök törleszt.fejezeten (önk.) belül</v>
          </cell>
        </row>
        <row r="314">
          <cell r="A314" t="str">
            <v>49</v>
          </cell>
          <cell r="B314" t="str">
            <v>06</v>
          </cell>
          <cell r="C314" t="str">
            <v>1</v>
          </cell>
          <cell r="D314" t="str">
            <v>B</v>
          </cell>
          <cell r="E314">
            <v>1</v>
          </cell>
          <cell r="F314" t="str">
            <v>Felh.célu tám.-i kölcsönök törleszt.TB.alapoknak és kezelöi.</v>
          </cell>
        </row>
        <row r="315">
          <cell r="A315" t="str">
            <v>50</v>
          </cell>
          <cell r="B315" t="str">
            <v>06</v>
          </cell>
          <cell r="C315" t="str">
            <v>1</v>
          </cell>
          <cell r="D315" t="str">
            <v>B</v>
          </cell>
          <cell r="E315">
            <v>1</v>
          </cell>
          <cell r="F315" t="str">
            <v>Felh.célu tám.-i kölcsönök törleszt.elkül.állami pénzalapok.</v>
          </cell>
        </row>
        <row r="316">
          <cell r="A316" t="str">
            <v>51</v>
          </cell>
          <cell r="B316" t="str">
            <v>06</v>
          </cell>
          <cell r="C316" t="str">
            <v>1</v>
          </cell>
          <cell r="D316" t="str">
            <v>B</v>
          </cell>
          <cell r="E316">
            <v>1</v>
          </cell>
          <cell r="F316" t="str">
            <v>Felh.célu tám.-i kölcsön törl.áht.-belülre (46+...+50)</v>
          </cell>
        </row>
        <row r="317">
          <cell r="A317" t="str">
            <v>52</v>
          </cell>
          <cell r="B317" t="str">
            <v>06</v>
          </cell>
          <cell r="C317" t="str">
            <v>1</v>
          </cell>
          <cell r="D317" t="str">
            <v>B</v>
          </cell>
          <cell r="E317">
            <v>1</v>
          </cell>
          <cell r="F317" t="str">
            <v>Támogatási kölcsönök törleszt.államházt. belülre (45+51)</v>
          </cell>
        </row>
        <row r="318">
          <cell r="A318" t="str">
            <v>53</v>
          </cell>
          <cell r="B318" t="str">
            <v>06</v>
          </cell>
          <cell r="C318" t="str">
            <v>1</v>
          </cell>
          <cell r="D318" t="str">
            <v>B</v>
          </cell>
          <cell r="E318">
            <v>1</v>
          </cell>
          <cell r="F318" t="str">
            <v>Kölcsönök nyujtása és törlesztése (13+39+52)</v>
          </cell>
        </row>
        <row r="319">
          <cell r="A319" t="str">
            <v>54</v>
          </cell>
          <cell r="B319" t="str">
            <v>06</v>
          </cell>
          <cell r="C319" t="str">
            <v>1</v>
          </cell>
          <cell r="D319" t="str">
            <v>B</v>
          </cell>
          <cell r="E319">
            <v>1</v>
          </cell>
          <cell r="F319" t="str">
            <v>Hosszu lejáratu hitelek visszafiz.(törl.)pénzügyi vállalk.</v>
          </cell>
        </row>
        <row r="320">
          <cell r="A320" t="str">
            <v>55</v>
          </cell>
          <cell r="B320" t="str">
            <v>06</v>
          </cell>
          <cell r="C320" t="str">
            <v>1</v>
          </cell>
          <cell r="D320" t="str">
            <v>B</v>
          </cell>
          <cell r="E320">
            <v>1</v>
          </cell>
          <cell r="F320" t="str">
            <v>Hosszu lejáratu hitelek visszafiz.(törl.)egyéb belföldi hit.</v>
          </cell>
        </row>
        <row r="321">
          <cell r="A321" t="str">
            <v>56</v>
          </cell>
          <cell r="B321" t="str">
            <v>06</v>
          </cell>
          <cell r="C321" t="str">
            <v>1</v>
          </cell>
          <cell r="D321" t="str">
            <v>B</v>
          </cell>
          <cell r="E321">
            <v>1</v>
          </cell>
          <cell r="F321" t="str">
            <v>Rövid lejáratu hitelek visszafiz.(törl.) pénzügyi vállalk.</v>
          </cell>
        </row>
        <row r="322">
          <cell r="A322" t="str">
            <v>57</v>
          </cell>
          <cell r="B322" t="str">
            <v>06</v>
          </cell>
          <cell r="C322" t="str">
            <v>1</v>
          </cell>
          <cell r="D322" t="str">
            <v>B</v>
          </cell>
          <cell r="E322">
            <v>1</v>
          </cell>
          <cell r="F322" t="str">
            <v>Rövid lejáratu hitelek visszafiz.(törl.) egyéb belföldi hit.</v>
          </cell>
        </row>
        <row r="323">
          <cell r="A323" t="str">
            <v>58</v>
          </cell>
          <cell r="B323" t="str">
            <v>06</v>
          </cell>
          <cell r="C323" t="str">
            <v>1</v>
          </cell>
          <cell r="D323" t="str">
            <v>B</v>
          </cell>
          <cell r="E323">
            <v>1</v>
          </cell>
          <cell r="F323" t="str">
            <v>Likviditási célu hitel törlesztése központi költségvetésnek</v>
          </cell>
        </row>
        <row r="324">
          <cell r="A324" t="str">
            <v>59</v>
          </cell>
          <cell r="B324" t="str">
            <v>06</v>
          </cell>
          <cell r="C324" t="str">
            <v>1</v>
          </cell>
          <cell r="D324" t="str">
            <v>B</v>
          </cell>
          <cell r="E324">
            <v>1</v>
          </cell>
          <cell r="F324" t="str">
            <v>Müködési célu hitel visszafiz.más elkül. állami pénzalap.</v>
          </cell>
        </row>
        <row r="325">
          <cell r="A325" t="str">
            <v>60</v>
          </cell>
          <cell r="B325" t="str">
            <v>06</v>
          </cell>
          <cell r="C325" t="str">
            <v>1</v>
          </cell>
          <cell r="D325" t="str">
            <v>B</v>
          </cell>
          <cell r="E325">
            <v>1</v>
          </cell>
          <cell r="F325" t="str">
            <v>Hosszu lejáratu belföldi értékpapirok beváltása</v>
          </cell>
        </row>
        <row r="326">
          <cell r="A326" t="str">
            <v>61</v>
          </cell>
          <cell r="B326" t="str">
            <v>06</v>
          </cell>
          <cell r="C326" t="str">
            <v>1</v>
          </cell>
          <cell r="D326" t="str">
            <v>B</v>
          </cell>
          <cell r="E326">
            <v>1</v>
          </cell>
          <cell r="F326" t="str">
            <v>Rövid lejáratu belföldi értékpapirok beváltása</v>
          </cell>
        </row>
        <row r="327">
          <cell r="A327" t="str">
            <v>62</v>
          </cell>
          <cell r="B327" t="str">
            <v>06</v>
          </cell>
          <cell r="C327" t="str">
            <v>1</v>
          </cell>
          <cell r="D327" t="str">
            <v>B</v>
          </cell>
          <cell r="E327">
            <v>1</v>
          </cell>
          <cell r="F327" t="str">
            <v>Rövid lejáratu értékpapirok vásárlása</v>
          </cell>
        </row>
        <row r="328">
          <cell r="A328" t="str">
            <v>63</v>
          </cell>
          <cell r="B328" t="str">
            <v>06</v>
          </cell>
          <cell r="C328" t="str">
            <v>1</v>
          </cell>
          <cell r="D328" t="str">
            <v>B</v>
          </cell>
          <cell r="E328">
            <v>1</v>
          </cell>
          <cell r="F328" t="str">
            <v>Belföldi finanszirozás kiadásai (54+...+62)</v>
          </cell>
        </row>
        <row r="329">
          <cell r="A329" t="str">
            <v>64</v>
          </cell>
          <cell r="B329" t="str">
            <v>06</v>
          </cell>
          <cell r="C329" t="str">
            <v>1</v>
          </cell>
          <cell r="D329" t="str">
            <v>B</v>
          </cell>
          <cell r="E329">
            <v>1</v>
          </cell>
          <cell r="F329" t="str">
            <v>Hiteltörlesztés nemzetközi fejlesztési szervezeteknek</v>
          </cell>
        </row>
        <row r="330">
          <cell r="A330" t="str">
            <v>65</v>
          </cell>
          <cell r="B330" t="str">
            <v>06</v>
          </cell>
          <cell r="C330" t="str">
            <v>1</v>
          </cell>
          <cell r="D330" t="str">
            <v>B</v>
          </cell>
          <cell r="E330">
            <v>1</v>
          </cell>
          <cell r="F330" t="str">
            <v>Hiteltörlesztés más kormányoknak</v>
          </cell>
        </row>
        <row r="331">
          <cell r="A331" t="str">
            <v>66</v>
          </cell>
          <cell r="B331" t="str">
            <v>06</v>
          </cell>
          <cell r="C331" t="str">
            <v>1</v>
          </cell>
          <cell r="D331" t="str">
            <v>B</v>
          </cell>
          <cell r="E331">
            <v>1</v>
          </cell>
          <cell r="F331" t="str">
            <v>Hiteltörlesztés külföldi pénzintézeteknek</v>
          </cell>
        </row>
        <row r="332">
          <cell r="A332" t="str">
            <v>67</v>
          </cell>
          <cell r="B332" t="str">
            <v>06</v>
          </cell>
          <cell r="C332" t="str">
            <v>1</v>
          </cell>
          <cell r="D332" t="str">
            <v>B</v>
          </cell>
          <cell r="E332">
            <v>1</v>
          </cell>
          <cell r="F332" t="str">
            <v>Hiteltörlesztés egyéb külföldi hitelezönek</v>
          </cell>
        </row>
        <row r="333">
          <cell r="A333" t="str">
            <v>68</v>
          </cell>
          <cell r="B333" t="str">
            <v>06</v>
          </cell>
          <cell r="C333" t="str">
            <v>1</v>
          </cell>
          <cell r="D333" t="str">
            <v>B</v>
          </cell>
          <cell r="E333">
            <v>1</v>
          </cell>
          <cell r="F333" t="str">
            <v>Külföldi finanszirozás kiadásai (64+...+67)</v>
          </cell>
        </row>
        <row r="334">
          <cell r="A334" t="str">
            <v>69</v>
          </cell>
          <cell r="B334" t="str">
            <v>06</v>
          </cell>
          <cell r="C334" t="str">
            <v>1</v>
          </cell>
          <cell r="D334" t="str">
            <v>B</v>
          </cell>
          <cell r="E334">
            <v>1</v>
          </cell>
          <cell r="F334" t="str">
            <v>Tervezett maradvány,eredmény</v>
          </cell>
        </row>
        <row r="335">
          <cell r="A335" t="str">
            <v>70</v>
          </cell>
          <cell r="B335" t="str">
            <v>06</v>
          </cell>
          <cell r="C335" t="str">
            <v>1</v>
          </cell>
          <cell r="D335" t="str">
            <v>B</v>
          </cell>
          <cell r="E335">
            <v>1</v>
          </cell>
          <cell r="F335" t="str">
            <v>Céltartalékok</v>
          </cell>
        </row>
        <row r="336">
          <cell r="A336" t="str">
            <v>71</v>
          </cell>
          <cell r="B336" t="str">
            <v>06</v>
          </cell>
          <cell r="C336" t="str">
            <v>1</v>
          </cell>
          <cell r="D336" t="str">
            <v>B</v>
          </cell>
          <cell r="E336">
            <v>1</v>
          </cell>
          <cell r="F336" t="str">
            <v>Alap- és vállalkozási tevékenység közötti elszámolások</v>
          </cell>
        </row>
        <row r="337">
          <cell r="A337" t="str">
            <v>72</v>
          </cell>
          <cell r="B337" t="str">
            <v>06</v>
          </cell>
          <cell r="C337" t="str">
            <v>1</v>
          </cell>
          <cell r="D337" t="str">
            <v>B</v>
          </cell>
          <cell r="E337">
            <v>1</v>
          </cell>
          <cell r="F337" t="str">
            <v>Pénzforgalom nélküli kiadások (69+70+71)</v>
          </cell>
        </row>
        <row r="338">
          <cell r="A338" t="str">
            <v>73</v>
          </cell>
          <cell r="B338" t="str">
            <v>06</v>
          </cell>
          <cell r="C338" t="str">
            <v>1</v>
          </cell>
          <cell r="D338" t="str">
            <v>B</v>
          </cell>
          <cell r="E338">
            <v>1</v>
          </cell>
          <cell r="F338" t="str">
            <v>Kiegyenlitö kiadások</v>
          </cell>
        </row>
        <row r="339">
          <cell r="A339" t="str">
            <v>74</v>
          </cell>
          <cell r="B339" t="str">
            <v>06</v>
          </cell>
          <cell r="C339" t="str">
            <v>1</v>
          </cell>
          <cell r="D339" t="str">
            <v>B</v>
          </cell>
          <cell r="E339">
            <v>1</v>
          </cell>
          <cell r="F339" t="str">
            <v>Függö kiadások</v>
          </cell>
        </row>
        <row r="340">
          <cell r="A340" t="str">
            <v>75</v>
          </cell>
          <cell r="B340" t="str">
            <v>06</v>
          </cell>
          <cell r="C340" t="str">
            <v>1</v>
          </cell>
          <cell r="D340" t="str">
            <v>B</v>
          </cell>
          <cell r="E340">
            <v>1</v>
          </cell>
          <cell r="F340" t="str">
            <v>átfuto kiadások</v>
          </cell>
        </row>
        <row r="341">
          <cell r="A341" t="str">
            <v>76</v>
          </cell>
          <cell r="B341" t="str">
            <v>06</v>
          </cell>
          <cell r="C341" t="str">
            <v>1</v>
          </cell>
          <cell r="D341" t="str">
            <v>B</v>
          </cell>
          <cell r="E341">
            <v>1</v>
          </cell>
          <cell r="F341" t="str">
            <v>Kiegyenlitö,függö,átfuto kiadások (73+74+75)</v>
          </cell>
        </row>
        <row r="342">
          <cell r="A342" t="str">
            <v>1</v>
          </cell>
          <cell r="B342" t="str">
            <v>07</v>
          </cell>
          <cell r="C342" t="str">
            <v>1</v>
          </cell>
          <cell r="D342" t="str">
            <v>B</v>
          </cell>
          <cell r="E342">
            <v>1</v>
          </cell>
          <cell r="F342" t="str">
            <v>Intézményi ellátási dijak</v>
          </cell>
        </row>
        <row r="343">
          <cell r="A343" t="str">
            <v>2</v>
          </cell>
          <cell r="B343" t="str">
            <v>07</v>
          </cell>
          <cell r="C343" t="str">
            <v>1</v>
          </cell>
          <cell r="D343" t="str">
            <v>B</v>
          </cell>
          <cell r="E343">
            <v>1</v>
          </cell>
          <cell r="F343" t="str">
            <v>Alkalmazottak téritése</v>
          </cell>
        </row>
        <row r="344">
          <cell r="A344" t="str">
            <v>3</v>
          </cell>
          <cell r="B344" t="str">
            <v>07</v>
          </cell>
          <cell r="C344" t="str">
            <v>1</v>
          </cell>
          <cell r="D344" t="str">
            <v>B</v>
          </cell>
          <cell r="E344">
            <v>1</v>
          </cell>
          <cell r="F344" t="str">
            <v>Hatosági,enged.-i,felügyeleti,ellörzési feladatok bevétele</v>
          </cell>
        </row>
        <row r="345">
          <cell r="A345" t="str">
            <v>4</v>
          </cell>
          <cell r="B345" t="str">
            <v>07</v>
          </cell>
          <cell r="C345" t="str">
            <v>1</v>
          </cell>
          <cell r="D345" t="str">
            <v>B</v>
          </cell>
          <cell r="E345">
            <v>1</v>
          </cell>
          <cell r="F345" t="str">
            <v>Egyéb alaptevékenységi bevételek</v>
          </cell>
        </row>
        <row r="346">
          <cell r="A346" t="str">
            <v>5</v>
          </cell>
          <cell r="B346" t="str">
            <v>07</v>
          </cell>
          <cell r="C346" t="str">
            <v>1</v>
          </cell>
          <cell r="D346" t="str">
            <v>B</v>
          </cell>
          <cell r="E346">
            <v>1</v>
          </cell>
          <cell r="F346" t="str">
            <v>Alaptevékenység bevételei (01+...+04)</v>
          </cell>
        </row>
        <row r="347">
          <cell r="A347" t="str">
            <v>6</v>
          </cell>
          <cell r="B347" t="str">
            <v>07</v>
          </cell>
          <cell r="C347" t="str">
            <v>1</v>
          </cell>
          <cell r="D347" t="str">
            <v>B</v>
          </cell>
          <cell r="E347">
            <v>1</v>
          </cell>
          <cell r="F347" t="str">
            <v>Állami feladatok ellát.során létrehozott áru-és készletért.</v>
          </cell>
        </row>
        <row r="348">
          <cell r="A348" t="str">
            <v>7</v>
          </cell>
          <cell r="B348" t="str">
            <v>07</v>
          </cell>
          <cell r="C348" t="str">
            <v>1</v>
          </cell>
          <cell r="D348" t="str">
            <v>B</v>
          </cell>
          <cell r="E348">
            <v>1</v>
          </cell>
          <cell r="F348" t="str">
            <v>Alaptevékenység körében végzett szolgáltatások ellenértéke</v>
          </cell>
        </row>
        <row r="349">
          <cell r="A349" t="str">
            <v>8</v>
          </cell>
          <cell r="B349" t="str">
            <v>07</v>
          </cell>
          <cell r="C349" t="str">
            <v>1</v>
          </cell>
          <cell r="D349" t="str">
            <v>B</v>
          </cell>
          <cell r="E349">
            <v>1</v>
          </cell>
          <cell r="F349" t="str">
            <v>Alaptevékenység sajátos szolgáltatásainak ellenértéke</v>
          </cell>
        </row>
        <row r="350">
          <cell r="A350" t="str">
            <v>9</v>
          </cell>
          <cell r="B350" t="str">
            <v>07</v>
          </cell>
          <cell r="C350" t="str">
            <v>1</v>
          </cell>
          <cell r="D350" t="str">
            <v>B</v>
          </cell>
          <cell r="E350">
            <v>1</v>
          </cell>
          <cell r="F350" t="str">
            <v>Alaptevékenységgel összefüggö egyéb bevételek (06+07+08)</v>
          </cell>
        </row>
        <row r="351">
          <cell r="A351" t="str">
            <v>10</v>
          </cell>
          <cell r="B351" t="str">
            <v>07</v>
          </cell>
          <cell r="C351" t="str">
            <v>1</v>
          </cell>
          <cell r="D351" t="str">
            <v>B</v>
          </cell>
          <cell r="E351">
            <v>1</v>
          </cell>
          <cell r="F351" t="str">
            <v>Bérleti és lizing dijbevételek</v>
          </cell>
        </row>
        <row r="352">
          <cell r="A352" t="str">
            <v>11</v>
          </cell>
          <cell r="B352" t="str">
            <v>07</v>
          </cell>
          <cell r="C352" t="str">
            <v>1</v>
          </cell>
          <cell r="D352" t="str">
            <v>B</v>
          </cell>
          <cell r="E352">
            <v>1</v>
          </cell>
          <cell r="F352" t="str">
            <v>Szellemi és anyagi infrastruktura magáncélu igénybevét.tér.</v>
          </cell>
        </row>
        <row r="353">
          <cell r="A353" t="str">
            <v>12</v>
          </cell>
          <cell r="B353" t="str">
            <v>07</v>
          </cell>
          <cell r="C353" t="str">
            <v>1</v>
          </cell>
          <cell r="D353" t="str">
            <v>B</v>
          </cell>
          <cell r="E353">
            <v>1</v>
          </cell>
          <cell r="F353" t="str">
            <v>Vendéglátoip. vállalk. által üzemelt.int.étterem bérl.dija</v>
          </cell>
        </row>
        <row r="354">
          <cell r="A354" t="str">
            <v>13</v>
          </cell>
          <cell r="B354" t="str">
            <v>07</v>
          </cell>
          <cell r="C354" t="str">
            <v>1</v>
          </cell>
          <cell r="D354" t="str">
            <v>B</v>
          </cell>
          <cell r="E354">
            <v>1</v>
          </cell>
          <cell r="F354" t="str">
            <v>Elhasználodott,feleslegessé vált készletek értékesitése</v>
          </cell>
        </row>
        <row r="355">
          <cell r="A355" t="str">
            <v>14</v>
          </cell>
          <cell r="B355" t="str">
            <v>07</v>
          </cell>
          <cell r="C355" t="str">
            <v>1</v>
          </cell>
          <cell r="D355" t="str">
            <v>B</v>
          </cell>
          <cell r="E355">
            <v>1</v>
          </cell>
          <cell r="F355" t="str">
            <v>Dolgozo,hallgato,tanulo,stb.kártéritése és egyéb téritése</v>
          </cell>
        </row>
        <row r="356">
          <cell r="A356" t="str">
            <v>15</v>
          </cell>
          <cell r="B356" t="str">
            <v>07</v>
          </cell>
          <cell r="C356" t="str">
            <v>1</v>
          </cell>
          <cell r="D356" t="str">
            <v>B</v>
          </cell>
          <cell r="E356">
            <v>1</v>
          </cell>
          <cell r="F356" t="str">
            <v>Kötbér,birság,egyéb kártérités,bánatpénz megfiz.szárm.pénz.</v>
          </cell>
        </row>
        <row r="357">
          <cell r="A357" t="str">
            <v>16</v>
          </cell>
          <cell r="B357" t="str">
            <v>07</v>
          </cell>
          <cell r="C357" t="str">
            <v>1</v>
          </cell>
          <cell r="D357" t="str">
            <v>B</v>
          </cell>
          <cell r="E357">
            <v>1</v>
          </cell>
          <cell r="F357" t="str">
            <v>Egyéb bevételek</v>
          </cell>
        </row>
        <row r="358">
          <cell r="A358" t="str">
            <v>17</v>
          </cell>
          <cell r="B358" t="str">
            <v>07</v>
          </cell>
          <cell r="C358" t="str">
            <v>1</v>
          </cell>
          <cell r="D358" t="str">
            <v>B</v>
          </cell>
          <cell r="E358">
            <v>1</v>
          </cell>
          <cell r="F358" t="str">
            <v>Intézmények egyéb sajátos bevételei (10+...+16)</v>
          </cell>
        </row>
        <row r="359">
          <cell r="A359" t="str">
            <v>18</v>
          </cell>
          <cell r="B359" t="str">
            <v>07</v>
          </cell>
          <cell r="C359" t="str">
            <v>1</v>
          </cell>
          <cell r="D359" t="str">
            <v>B</v>
          </cell>
          <cell r="E359">
            <v>1</v>
          </cell>
          <cell r="F359" t="str">
            <v>Müködési kiadáshoz kapcsolodo ÁFA visszatérülése</v>
          </cell>
        </row>
        <row r="360">
          <cell r="A360" t="str">
            <v>19</v>
          </cell>
          <cell r="B360" t="str">
            <v>07</v>
          </cell>
          <cell r="C360" t="str">
            <v>1</v>
          </cell>
          <cell r="D360" t="str">
            <v>B</v>
          </cell>
          <cell r="E360">
            <v>1</v>
          </cell>
          <cell r="F360" t="str">
            <v>Felhalmozási kiadáshoz kapcsolodo ÁFA visszatérülése</v>
          </cell>
        </row>
        <row r="361">
          <cell r="A361" t="str">
            <v>20</v>
          </cell>
          <cell r="B361" t="str">
            <v>07</v>
          </cell>
          <cell r="C361" t="str">
            <v>1</v>
          </cell>
          <cell r="D361" t="str">
            <v>B</v>
          </cell>
          <cell r="E361">
            <v>1</v>
          </cell>
          <cell r="F361" t="str">
            <v>Kiszámlázott termékek és szolgáltatások ÁFA-ja</v>
          </cell>
        </row>
        <row r="362">
          <cell r="A362" t="str">
            <v>21</v>
          </cell>
          <cell r="B362" t="str">
            <v>07</v>
          </cell>
          <cell r="C362" t="str">
            <v>1</v>
          </cell>
          <cell r="D362" t="str">
            <v>B</v>
          </cell>
          <cell r="E362">
            <v>1</v>
          </cell>
          <cell r="F362" t="str">
            <v>Értékesitett tárgyi eszközök,immateriális javak ÁFA-ja</v>
          </cell>
        </row>
        <row r="363">
          <cell r="A363" t="str">
            <v>22</v>
          </cell>
          <cell r="B363" t="str">
            <v>07</v>
          </cell>
          <cell r="C363" t="str">
            <v>1</v>
          </cell>
          <cell r="D363" t="str">
            <v>B</v>
          </cell>
          <cell r="E363">
            <v>1</v>
          </cell>
          <cell r="F363" t="str">
            <v>Ált.forg. ado bevételek,visszatérülések (18+...+21)</v>
          </cell>
        </row>
        <row r="364">
          <cell r="A364" t="str">
            <v>23</v>
          </cell>
          <cell r="B364" t="str">
            <v>07</v>
          </cell>
          <cell r="C364" t="str">
            <v>1</v>
          </cell>
          <cell r="D364" t="str">
            <v>B</v>
          </cell>
          <cell r="E364">
            <v>1</v>
          </cell>
          <cell r="F364" t="str">
            <v>Áruértékesités</v>
          </cell>
        </row>
        <row r="365">
          <cell r="A365" t="str">
            <v>24</v>
          </cell>
          <cell r="B365" t="str">
            <v>07</v>
          </cell>
          <cell r="C365" t="str">
            <v>1</v>
          </cell>
          <cell r="D365" t="str">
            <v>B</v>
          </cell>
          <cell r="E365">
            <v>1</v>
          </cell>
          <cell r="F365" t="str">
            <v>Szolgáltatás</v>
          </cell>
        </row>
        <row r="366">
          <cell r="A366" t="str">
            <v>25</v>
          </cell>
          <cell r="B366" t="str">
            <v>07</v>
          </cell>
          <cell r="C366" t="str">
            <v>1</v>
          </cell>
          <cell r="D366" t="str">
            <v>B</v>
          </cell>
          <cell r="E366">
            <v>1</v>
          </cell>
          <cell r="F366" t="str">
            <v>Vállalkozási bevételek (23+24)</v>
          </cell>
        </row>
        <row r="367">
          <cell r="A367" t="str">
            <v>26</v>
          </cell>
          <cell r="B367" t="str">
            <v>07</v>
          </cell>
          <cell r="C367" t="str">
            <v>1</v>
          </cell>
          <cell r="D367" t="str">
            <v>B</v>
          </cell>
          <cell r="E367">
            <v>1</v>
          </cell>
          <cell r="F367" t="str">
            <v>Államháztartáson kivülröl származo bef.pénz.eszk.kamata</v>
          </cell>
        </row>
        <row r="368">
          <cell r="A368" t="str">
            <v>27</v>
          </cell>
          <cell r="B368" t="str">
            <v>07</v>
          </cell>
          <cell r="C368" t="str">
            <v>1</v>
          </cell>
          <cell r="D368" t="str">
            <v>B</v>
          </cell>
          <cell r="E368">
            <v>1</v>
          </cell>
          <cell r="F368" t="str">
            <v>Egyéb államháztartáson kivülröl származo kamatbevétel</v>
          </cell>
        </row>
        <row r="369">
          <cell r="A369" t="str">
            <v>28</v>
          </cell>
          <cell r="B369" t="str">
            <v>07</v>
          </cell>
          <cell r="C369" t="str">
            <v>1</v>
          </cell>
          <cell r="D369" t="str">
            <v>B</v>
          </cell>
          <cell r="E369">
            <v>1</v>
          </cell>
          <cell r="F369" t="str">
            <v>Kamatbevételek államháztartáson belülröl</v>
          </cell>
        </row>
        <row r="370">
          <cell r="A370" t="str">
            <v>29</v>
          </cell>
          <cell r="B370" t="str">
            <v>07</v>
          </cell>
          <cell r="C370" t="str">
            <v>1</v>
          </cell>
          <cell r="D370" t="str">
            <v>B</v>
          </cell>
          <cell r="E370">
            <v>1</v>
          </cell>
          <cell r="F370" t="str">
            <v>Kamatbevételek (26+27+28)</v>
          </cell>
        </row>
        <row r="371">
          <cell r="A371" t="str">
            <v>30</v>
          </cell>
          <cell r="B371" t="str">
            <v>07</v>
          </cell>
          <cell r="C371" t="str">
            <v>1</v>
          </cell>
          <cell r="D371" t="str">
            <v>B</v>
          </cell>
          <cell r="E371">
            <v>1</v>
          </cell>
          <cell r="F371" t="str">
            <v>Intézményi müködési bevételek (05+09+17+22+25+29)</v>
          </cell>
        </row>
        <row r="372">
          <cell r="A372" t="str">
            <v>31</v>
          </cell>
          <cell r="B372" t="str">
            <v>07</v>
          </cell>
          <cell r="C372" t="str">
            <v>1</v>
          </cell>
          <cell r="D372" t="str">
            <v>B</v>
          </cell>
          <cell r="E372">
            <v>1</v>
          </cell>
          <cell r="F372" t="str">
            <v>Központi költségvetés sajátos bevételei</v>
          </cell>
        </row>
        <row r="373">
          <cell r="A373" t="str">
            <v>32</v>
          </cell>
          <cell r="B373" t="str">
            <v>07</v>
          </cell>
          <cell r="C373" t="str">
            <v>1</v>
          </cell>
          <cell r="D373" t="str">
            <v>B</v>
          </cell>
          <cell r="E373">
            <v>1</v>
          </cell>
          <cell r="F373" t="str">
            <v>Elkülönitett állami pénzalapok sajátos bevételei</v>
          </cell>
        </row>
        <row r="374">
          <cell r="A374" t="str">
            <v>33</v>
          </cell>
          <cell r="B374" t="str">
            <v>07</v>
          </cell>
          <cell r="C374" t="str">
            <v>1</v>
          </cell>
          <cell r="D374" t="str">
            <v>B</v>
          </cell>
          <cell r="E374">
            <v>1</v>
          </cell>
          <cell r="F374" t="str">
            <v>Társadalombiztositási alapok sajátos bevételei</v>
          </cell>
        </row>
        <row r="375">
          <cell r="A375" t="str">
            <v>34</v>
          </cell>
          <cell r="B375" t="str">
            <v>07</v>
          </cell>
          <cell r="C375" t="str">
            <v>1</v>
          </cell>
          <cell r="D375" t="str">
            <v>B</v>
          </cell>
          <cell r="E375">
            <v>1</v>
          </cell>
          <cell r="F375" t="str">
            <v>Önkormányzatok sajátos müködési bevételei</v>
          </cell>
        </row>
        <row r="376">
          <cell r="A376" t="str">
            <v>35</v>
          </cell>
          <cell r="B376" t="str">
            <v>07</v>
          </cell>
          <cell r="C376" t="str">
            <v>1</v>
          </cell>
          <cell r="D376" t="str">
            <v>B</v>
          </cell>
          <cell r="E376">
            <v>1</v>
          </cell>
          <cell r="F376" t="str">
            <v>Államháztartás alrendszereinek mük.bevételei(31+...+34)</v>
          </cell>
        </row>
        <row r="377">
          <cell r="A377" t="str">
            <v>1</v>
          </cell>
          <cell r="B377" t="str">
            <v>08</v>
          </cell>
          <cell r="C377" t="str">
            <v>1</v>
          </cell>
          <cell r="D377" t="str">
            <v>B</v>
          </cell>
          <cell r="E377">
            <v>1</v>
          </cell>
          <cell r="F377" t="str">
            <v>Ingatlanok értékesitése (föld kivételével)</v>
          </cell>
        </row>
        <row r="378">
          <cell r="A378" t="str">
            <v>2</v>
          </cell>
          <cell r="B378" t="str">
            <v>08</v>
          </cell>
          <cell r="C378" t="str">
            <v>1</v>
          </cell>
          <cell r="D378" t="str">
            <v>B</v>
          </cell>
          <cell r="E378">
            <v>1</v>
          </cell>
          <cell r="F378" t="str">
            <v>Földterület értékesitése</v>
          </cell>
        </row>
        <row r="379">
          <cell r="A379" t="str">
            <v>3</v>
          </cell>
          <cell r="B379" t="str">
            <v>08</v>
          </cell>
          <cell r="C379" t="str">
            <v>1</v>
          </cell>
          <cell r="D379" t="str">
            <v>B</v>
          </cell>
          <cell r="E379">
            <v>1</v>
          </cell>
          <cell r="F379" t="str">
            <v>Gépek,berendezések és felszerelések értékesitése</v>
          </cell>
        </row>
        <row r="380">
          <cell r="A380" t="str">
            <v>4</v>
          </cell>
          <cell r="B380" t="str">
            <v>08</v>
          </cell>
          <cell r="C380" t="str">
            <v>1</v>
          </cell>
          <cell r="D380" t="str">
            <v>B</v>
          </cell>
          <cell r="E380">
            <v>1</v>
          </cell>
          <cell r="F380" t="str">
            <v>Jármüvek értékesitése</v>
          </cell>
        </row>
        <row r="381">
          <cell r="A381" t="str">
            <v>5</v>
          </cell>
          <cell r="B381" t="str">
            <v>08</v>
          </cell>
          <cell r="C381" t="str">
            <v>1</v>
          </cell>
          <cell r="D381" t="str">
            <v>B</v>
          </cell>
          <cell r="E381">
            <v>1</v>
          </cell>
          <cell r="F381" t="str">
            <v>Immateriális javak értékesitése</v>
          </cell>
        </row>
        <row r="382">
          <cell r="A382" t="str">
            <v>6</v>
          </cell>
          <cell r="B382" t="str">
            <v>08</v>
          </cell>
          <cell r="C382" t="str">
            <v>1</v>
          </cell>
          <cell r="D382" t="str">
            <v>B</v>
          </cell>
          <cell r="E382">
            <v>1</v>
          </cell>
          <cell r="F382" t="str">
            <v>Tárgyi eszközök,immateriális javak értékesitése(01+...+05)</v>
          </cell>
        </row>
        <row r="383">
          <cell r="A383" t="str">
            <v>7</v>
          </cell>
          <cell r="B383" t="str">
            <v>08</v>
          </cell>
          <cell r="C383" t="str">
            <v>1</v>
          </cell>
          <cell r="D383" t="str">
            <v>B</v>
          </cell>
          <cell r="E383">
            <v>1</v>
          </cell>
          <cell r="F383" t="str">
            <v>Önkormányzatok sajátos felhalmozási és tökebevételei</v>
          </cell>
        </row>
        <row r="384">
          <cell r="A384" t="str">
            <v>8</v>
          </cell>
          <cell r="B384" t="str">
            <v>08</v>
          </cell>
          <cell r="C384" t="str">
            <v>1</v>
          </cell>
          <cell r="D384" t="str">
            <v>B</v>
          </cell>
          <cell r="E384">
            <v>1</v>
          </cell>
          <cell r="F384" t="str">
            <v>Osztalék-és hozambevétel</v>
          </cell>
        </row>
        <row r="385">
          <cell r="A385" t="str">
            <v>9</v>
          </cell>
          <cell r="B385" t="str">
            <v>08</v>
          </cell>
          <cell r="C385" t="str">
            <v>1</v>
          </cell>
          <cell r="D385" t="str">
            <v>B</v>
          </cell>
          <cell r="E385">
            <v>1</v>
          </cell>
          <cell r="F385" t="str">
            <v>Részvények,részesedések értékesitése</v>
          </cell>
        </row>
        <row r="386">
          <cell r="A386" t="str">
            <v>10</v>
          </cell>
          <cell r="B386" t="str">
            <v>08</v>
          </cell>
          <cell r="C386" t="str">
            <v>1</v>
          </cell>
          <cell r="D386" t="str">
            <v>B</v>
          </cell>
          <cell r="E386">
            <v>1</v>
          </cell>
          <cell r="F386" t="str">
            <v>Kárpotlási jegyek értékesitése</v>
          </cell>
        </row>
        <row r="387">
          <cell r="A387" t="str">
            <v>11</v>
          </cell>
          <cell r="B387" t="str">
            <v>08</v>
          </cell>
          <cell r="C387" t="str">
            <v>1</v>
          </cell>
          <cell r="D387" t="str">
            <v>B</v>
          </cell>
          <cell r="E387">
            <v>1</v>
          </cell>
          <cell r="F387" t="str">
            <v>Államkötvények,egyéb értékpapirok értékesitése</v>
          </cell>
        </row>
        <row r="388">
          <cell r="A388" t="str">
            <v>12</v>
          </cell>
          <cell r="B388" t="str">
            <v>08</v>
          </cell>
          <cell r="C388" t="str">
            <v>1</v>
          </cell>
          <cell r="D388" t="str">
            <v>B</v>
          </cell>
          <cell r="E388">
            <v>1</v>
          </cell>
          <cell r="F388" t="str">
            <v>Egyéb pénzügyi befektetések bevételei</v>
          </cell>
        </row>
        <row r="389">
          <cell r="A389" t="str">
            <v>13</v>
          </cell>
          <cell r="B389" t="str">
            <v>08</v>
          </cell>
          <cell r="C389" t="str">
            <v>1</v>
          </cell>
          <cell r="D389" t="str">
            <v>B</v>
          </cell>
          <cell r="E389">
            <v>1</v>
          </cell>
          <cell r="F389" t="str">
            <v>Pénzügyi befektetések bevételei (08+...+12)</v>
          </cell>
        </row>
        <row r="390">
          <cell r="A390" t="str">
            <v>14</v>
          </cell>
          <cell r="B390" t="str">
            <v>08</v>
          </cell>
          <cell r="C390" t="str">
            <v>1</v>
          </cell>
          <cell r="D390" t="str">
            <v>B</v>
          </cell>
          <cell r="E390">
            <v>1</v>
          </cell>
          <cell r="F390" t="str">
            <v>Állami készletek,tartalékok értékesitése</v>
          </cell>
        </row>
        <row r="391">
          <cell r="A391" t="str">
            <v>15</v>
          </cell>
          <cell r="B391" t="str">
            <v>08</v>
          </cell>
          <cell r="C391" t="str">
            <v>1</v>
          </cell>
          <cell r="D391" t="str">
            <v>B</v>
          </cell>
          <cell r="E391">
            <v>1</v>
          </cell>
          <cell r="F391" t="str">
            <v>Felhalmozási és töke jellegü bevételek (06+07+13+14)</v>
          </cell>
        </row>
        <row r="392">
          <cell r="A392" t="str">
            <v>1</v>
          </cell>
          <cell r="B392" t="str">
            <v>09</v>
          </cell>
          <cell r="C392" t="str">
            <v>1</v>
          </cell>
          <cell r="D392" t="str">
            <v>B</v>
          </cell>
          <cell r="E392">
            <v>1</v>
          </cell>
          <cell r="F392" t="str">
            <v>Müködési költségvetés támogatása</v>
          </cell>
        </row>
        <row r="393">
          <cell r="A393" t="str">
            <v>2</v>
          </cell>
          <cell r="B393" t="str">
            <v>09</v>
          </cell>
          <cell r="C393" t="str">
            <v>1</v>
          </cell>
          <cell r="D393" t="str">
            <v>B</v>
          </cell>
          <cell r="E393">
            <v>1</v>
          </cell>
          <cell r="F393" t="str">
            <v>Intézményi felhalmozási kiadások támogatása</v>
          </cell>
        </row>
        <row r="394">
          <cell r="A394" t="str">
            <v>3</v>
          </cell>
          <cell r="B394" t="str">
            <v>09</v>
          </cell>
          <cell r="C394" t="str">
            <v>1</v>
          </cell>
          <cell r="D394" t="str">
            <v>B</v>
          </cell>
          <cell r="E394">
            <v>1</v>
          </cell>
          <cell r="F394" t="str">
            <v>Kormányzati felhalmozási kiadások támogatása</v>
          </cell>
        </row>
        <row r="395">
          <cell r="A395" t="str">
            <v>4</v>
          </cell>
          <cell r="B395" t="str">
            <v>09</v>
          </cell>
          <cell r="C395" t="str">
            <v>1</v>
          </cell>
          <cell r="D395" t="str">
            <v>B</v>
          </cell>
          <cell r="E395">
            <v>1</v>
          </cell>
          <cell r="F395" t="str">
            <v>Felügyeleti szervtöl kapott támogatás (01+...+03)</v>
          </cell>
        </row>
        <row r="396">
          <cell r="A396" t="str">
            <v>5</v>
          </cell>
          <cell r="B396" t="str">
            <v>09</v>
          </cell>
          <cell r="C396" t="str">
            <v>1</v>
          </cell>
          <cell r="D396" t="str">
            <v>B</v>
          </cell>
          <cell r="E396">
            <v>1</v>
          </cell>
          <cell r="F396" t="str">
            <v>Önkormányzatok költségvetési támogatása</v>
          </cell>
        </row>
        <row r="397">
          <cell r="A397" t="str">
            <v>6</v>
          </cell>
          <cell r="B397" t="str">
            <v>09</v>
          </cell>
          <cell r="C397" t="str">
            <v>1</v>
          </cell>
          <cell r="D397" t="str">
            <v>B</v>
          </cell>
          <cell r="E397">
            <v>1</v>
          </cell>
          <cell r="F397" t="str">
            <v>Társadalombiztositási alapok költségvetési támogatása</v>
          </cell>
        </row>
        <row r="398">
          <cell r="A398" t="str">
            <v>7</v>
          </cell>
          <cell r="B398" t="str">
            <v>09</v>
          </cell>
          <cell r="C398" t="str">
            <v>1</v>
          </cell>
          <cell r="D398" t="str">
            <v>B</v>
          </cell>
          <cell r="E398">
            <v>1</v>
          </cell>
          <cell r="F398" t="str">
            <v>Elkülönitett állami pénzalapok költségvetési támogatása</v>
          </cell>
        </row>
        <row r="399">
          <cell r="A399" t="str">
            <v>8</v>
          </cell>
          <cell r="B399" t="str">
            <v>09</v>
          </cell>
          <cell r="C399" t="str">
            <v>1</v>
          </cell>
          <cell r="D399" t="str">
            <v>B</v>
          </cell>
          <cell r="E399">
            <v>1</v>
          </cell>
          <cell r="F399" t="str">
            <v>Központi költségvetésböl kapott támogatás (05+...+07)</v>
          </cell>
        </row>
        <row r="400">
          <cell r="A400" t="str">
            <v>9</v>
          </cell>
          <cell r="B400" t="str">
            <v>09</v>
          </cell>
          <cell r="C400" t="str">
            <v>1</v>
          </cell>
          <cell r="D400" t="str">
            <v>B</v>
          </cell>
          <cell r="E400">
            <v>1</v>
          </cell>
          <cell r="F400" t="str">
            <v>Elözö évi központi költségvetési kieg.-ek, visszatérülések</v>
          </cell>
        </row>
        <row r="401">
          <cell r="A401" t="str">
            <v>10</v>
          </cell>
          <cell r="B401" t="str">
            <v>09</v>
          </cell>
          <cell r="C401" t="str">
            <v>1</v>
          </cell>
          <cell r="D401" t="str">
            <v>B</v>
          </cell>
          <cell r="E401">
            <v>1</v>
          </cell>
          <cell r="F401" t="str">
            <v>Elözö évi egyéb költségvetési kieg.-ek, visszatérülések</v>
          </cell>
        </row>
        <row r="402">
          <cell r="A402" t="str">
            <v>11</v>
          </cell>
          <cell r="B402" t="str">
            <v>09</v>
          </cell>
          <cell r="C402" t="str">
            <v>1</v>
          </cell>
          <cell r="D402" t="str">
            <v>B</v>
          </cell>
          <cell r="E402">
            <v>1</v>
          </cell>
          <cell r="F402" t="str">
            <v>Kiegészitések,visszatérülések  (09+10)</v>
          </cell>
        </row>
        <row r="403">
          <cell r="A403" t="str">
            <v>12</v>
          </cell>
          <cell r="B403" t="str">
            <v>09</v>
          </cell>
          <cell r="C403" t="str">
            <v>1</v>
          </cell>
          <cell r="D403" t="str">
            <v>B</v>
          </cell>
          <cell r="E403">
            <v>1</v>
          </cell>
          <cell r="F403" t="str">
            <v>Müködési célu pénzeszközátvétel államháztartáson kivülröl</v>
          </cell>
        </row>
        <row r="404">
          <cell r="A404" t="str">
            <v>13</v>
          </cell>
          <cell r="B404" t="str">
            <v>09</v>
          </cell>
          <cell r="C404" t="str">
            <v>1</v>
          </cell>
          <cell r="D404" t="str">
            <v>B</v>
          </cell>
          <cell r="E404">
            <v>1</v>
          </cell>
          <cell r="F404" t="str">
            <v>Müködési célu pénzeszközátvétel államháztartáson belülröl</v>
          </cell>
        </row>
        <row r="405">
          <cell r="A405" t="str">
            <v>14</v>
          </cell>
          <cell r="B405" t="str">
            <v>09</v>
          </cell>
          <cell r="C405" t="str">
            <v>1</v>
          </cell>
          <cell r="D405" t="str">
            <v>B</v>
          </cell>
          <cell r="E405">
            <v>1</v>
          </cell>
          <cell r="F405" t="str">
            <v>Felhalm. célu pénzeszközátvétel államháztartáson kivülröl</v>
          </cell>
        </row>
        <row r="406">
          <cell r="A406" t="str">
            <v>15</v>
          </cell>
          <cell r="B406" t="str">
            <v>09</v>
          </cell>
          <cell r="C406" t="str">
            <v>1</v>
          </cell>
          <cell r="D406" t="str">
            <v>B</v>
          </cell>
          <cell r="E406">
            <v>1</v>
          </cell>
          <cell r="F406" t="str">
            <v>Felhalm. célu pénzeszközátvétel államháztartáson belülröl</v>
          </cell>
        </row>
        <row r="407">
          <cell r="A407" t="str">
            <v>16</v>
          </cell>
          <cell r="B407" t="str">
            <v>09</v>
          </cell>
          <cell r="C407" t="str">
            <v>1</v>
          </cell>
          <cell r="D407" t="str">
            <v>B</v>
          </cell>
          <cell r="E407">
            <v>1</v>
          </cell>
          <cell r="F407" t="str">
            <v>Támog.,kieg. és átvett pénzeszközök (04+08+11+...+15)</v>
          </cell>
        </row>
        <row r="408">
          <cell r="A408" t="str">
            <v>1</v>
          </cell>
          <cell r="B408" t="str">
            <v>10</v>
          </cell>
          <cell r="C408" t="str">
            <v>1</v>
          </cell>
          <cell r="D408" t="str">
            <v>B</v>
          </cell>
          <cell r="E408">
            <v>1</v>
          </cell>
          <cell r="F408" t="str">
            <v>Mük.célu tám.kölcsön visszatér.állami nem pü-i vállalk-tol</v>
          </cell>
        </row>
        <row r="409">
          <cell r="A409" t="str">
            <v>2</v>
          </cell>
          <cell r="B409" t="str">
            <v>10</v>
          </cell>
          <cell r="C409" t="str">
            <v>1</v>
          </cell>
          <cell r="D409" t="str">
            <v>B</v>
          </cell>
          <cell r="E409">
            <v>1</v>
          </cell>
          <cell r="F409" t="str">
            <v>Mük.célu tám.kölcsön visszatér.pénzügyi vállalkozásoktol</v>
          </cell>
        </row>
        <row r="410">
          <cell r="A410" t="str">
            <v>3</v>
          </cell>
          <cell r="B410" t="str">
            <v>10</v>
          </cell>
          <cell r="C410" t="str">
            <v>1</v>
          </cell>
          <cell r="D410" t="str">
            <v>B</v>
          </cell>
          <cell r="E410">
            <v>1</v>
          </cell>
          <cell r="F410" t="str">
            <v>Mük.célu tám.EM 62.cikkely.kölcs.vissz.önk.többs.váll.-tol</v>
          </cell>
        </row>
        <row r="411">
          <cell r="A411" t="str">
            <v>4</v>
          </cell>
          <cell r="B411" t="str">
            <v>10</v>
          </cell>
          <cell r="C411" t="str">
            <v>1</v>
          </cell>
          <cell r="D411" t="str">
            <v>B</v>
          </cell>
          <cell r="E411">
            <v>1</v>
          </cell>
          <cell r="F411" t="str">
            <v>Mük.célu tám.EM 62.cikkely.kölcs.vissz.nem önk.többs.váll.</v>
          </cell>
        </row>
        <row r="412">
          <cell r="A412" t="str">
            <v>5</v>
          </cell>
          <cell r="B412" t="str">
            <v>10</v>
          </cell>
          <cell r="C412" t="str">
            <v>1</v>
          </cell>
          <cell r="D412" t="str">
            <v>B</v>
          </cell>
          <cell r="E412">
            <v>1</v>
          </cell>
          <cell r="F412" t="str">
            <v>Mük.célu tám.EM 62.cikkely.kölcs.vissz.e.váll.(03+04)</v>
          </cell>
        </row>
        <row r="413">
          <cell r="A413" t="str">
            <v>6</v>
          </cell>
          <cell r="B413" t="str">
            <v>10</v>
          </cell>
          <cell r="C413" t="str">
            <v>1</v>
          </cell>
          <cell r="D413" t="str">
            <v>B</v>
          </cell>
          <cell r="E413">
            <v>1</v>
          </cell>
          <cell r="F413" t="str">
            <v>Mük.célu tám.nem EM 62.cikkely.kölcs.vissz.önk.többs.váll.</v>
          </cell>
        </row>
        <row r="414">
          <cell r="A414" t="str">
            <v>7</v>
          </cell>
          <cell r="B414" t="str">
            <v>10</v>
          </cell>
          <cell r="C414" t="str">
            <v>1</v>
          </cell>
          <cell r="D414" t="str">
            <v>B</v>
          </cell>
          <cell r="E414">
            <v>1</v>
          </cell>
          <cell r="F414" t="str">
            <v>Mük.célu tám.nem EM 62.cikkely.kölcs.vissz.nem önk.többs.v.</v>
          </cell>
        </row>
        <row r="415">
          <cell r="A415" t="str">
            <v>8</v>
          </cell>
          <cell r="B415" t="str">
            <v>10</v>
          </cell>
          <cell r="C415" t="str">
            <v>1</v>
          </cell>
          <cell r="D415" t="str">
            <v>B</v>
          </cell>
          <cell r="E415">
            <v>1</v>
          </cell>
          <cell r="F415" t="str">
            <v>Mük.célu tám.kölcsön visszatér.egyéb váll.(05+06+07)</v>
          </cell>
        </row>
        <row r="416">
          <cell r="A416" t="str">
            <v>9</v>
          </cell>
          <cell r="B416" t="str">
            <v>10</v>
          </cell>
          <cell r="C416" t="str">
            <v>1</v>
          </cell>
          <cell r="D416" t="str">
            <v>B</v>
          </cell>
          <cell r="E416">
            <v>1</v>
          </cell>
          <cell r="F416" t="str">
            <v>Mük.célu tám.kölcsön visszatér. háztartásoktol</v>
          </cell>
        </row>
        <row r="417">
          <cell r="A417" t="str">
            <v>10</v>
          </cell>
          <cell r="B417" t="str">
            <v>10</v>
          </cell>
          <cell r="C417" t="str">
            <v>1</v>
          </cell>
          <cell r="D417" t="str">
            <v>B</v>
          </cell>
          <cell r="E417">
            <v>1</v>
          </cell>
          <cell r="F417" t="str">
            <v>Mük.célu tám.kölcsön visszatér. non-profit szervezetektöl</v>
          </cell>
        </row>
        <row r="418">
          <cell r="A418" t="str">
            <v>11</v>
          </cell>
          <cell r="B418" t="str">
            <v>10</v>
          </cell>
          <cell r="C418" t="str">
            <v>1</v>
          </cell>
          <cell r="D418" t="str">
            <v>B</v>
          </cell>
          <cell r="E418">
            <v>1</v>
          </cell>
          <cell r="F418" t="str">
            <v>Mük.célu tám.kölcsön visszatér. külföldröl</v>
          </cell>
        </row>
        <row r="419">
          <cell r="A419" t="str">
            <v>12</v>
          </cell>
          <cell r="B419" t="str">
            <v>10</v>
          </cell>
          <cell r="C419" t="str">
            <v>1</v>
          </cell>
          <cell r="D419" t="str">
            <v>B</v>
          </cell>
          <cell r="E419">
            <v>1</v>
          </cell>
          <cell r="F419" t="str">
            <v>Mük.célu tám.kölcsön visszatér.áht.kiv.(01+02+08+...+11)</v>
          </cell>
        </row>
        <row r="420">
          <cell r="A420" t="str">
            <v>13</v>
          </cell>
          <cell r="B420" t="str">
            <v>10</v>
          </cell>
          <cell r="C420" t="str">
            <v>1</v>
          </cell>
          <cell r="D420" t="str">
            <v>B</v>
          </cell>
          <cell r="E420">
            <v>1</v>
          </cell>
          <cell r="F420" t="str">
            <v>Felh.célu tám.kölcsön visszatér.állami nem pü-i vállalk-tol</v>
          </cell>
        </row>
        <row r="421">
          <cell r="A421" t="str">
            <v>14</v>
          </cell>
          <cell r="B421" t="str">
            <v>10</v>
          </cell>
          <cell r="C421" t="str">
            <v>1</v>
          </cell>
          <cell r="D421" t="str">
            <v>B</v>
          </cell>
          <cell r="E421">
            <v>1</v>
          </cell>
          <cell r="F421" t="str">
            <v>Felh.célu tám.kölcsön visszatér.pénzügyi vállalkozásoktol</v>
          </cell>
        </row>
        <row r="422">
          <cell r="A422" t="str">
            <v>15</v>
          </cell>
          <cell r="B422" t="str">
            <v>10</v>
          </cell>
          <cell r="C422" t="str">
            <v>1</v>
          </cell>
          <cell r="D422" t="str">
            <v>B</v>
          </cell>
          <cell r="E422">
            <v>1</v>
          </cell>
          <cell r="F422" t="str">
            <v>Felh.célu tám.EM 62.cikkely.kölcs.vissz.önk.többs.váll.-tol</v>
          </cell>
        </row>
        <row r="423">
          <cell r="A423" t="str">
            <v>16</v>
          </cell>
          <cell r="B423" t="str">
            <v>10</v>
          </cell>
          <cell r="C423" t="str">
            <v>1</v>
          </cell>
          <cell r="D423" t="str">
            <v>B</v>
          </cell>
          <cell r="E423">
            <v>1</v>
          </cell>
          <cell r="F423" t="str">
            <v>Felh.célu tám.EM 62.cikkely.kölcs.vissz.nem önk.többs.váll.</v>
          </cell>
        </row>
        <row r="424">
          <cell r="A424" t="str">
            <v>17</v>
          </cell>
          <cell r="B424" t="str">
            <v>10</v>
          </cell>
          <cell r="C424" t="str">
            <v>1</v>
          </cell>
          <cell r="D424" t="str">
            <v>B</v>
          </cell>
          <cell r="E424">
            <v>1</v>
          </cell>
          <cell r="F424" t="str">
            <v>Felh.célu tám.EM 62.cikkely.kölcs.vissz.e.váll.(15+16)</v>
          </cell>
        </row>
        <row r="425">
          <cell r="A425" t="str">
            <v>18</v>
          </cell>
          <cell r="B425" t="str">
            <v>10</v>
          </cell>
          <cell r="C425" t="str">
            <v>1</v>
          </cell>
          <cell r="D425" t="str">
            <v>B</v>
          </cell>
          <cell r="E425">
            <v>1</v>
          </cell>
          <cell r="F425" t="str">
            <v>Felh.célu tám.nem EM 62.cikkely.kölcs.vissz.önk.többs.váll.</v>
          </cell>
        </row>
        <row r="426">
          <cell r="A426" t="str">
            <v>19</v>
          </cell>
          <cell r="B426" t="str">
            <v>10</v>
          </cell>
          <cell r="C426" t="str">
            <v>1</v>
          </cell>
          <cell r="D426" t="str">
            <v>B</v>
          </cell>
          <cell r="E426">
            <v>1</v>
          </cell>
          <cell r="F426" t="str">
            <v>Felh.célu tám.nem EM 62.cikkely.kölcs.vissz.nem önk.többs.v</v>
          </cell>
        </row>
        <row r="427">
          <cell r="A427" t="str">
            <v>20</v>
          </cell>
          <cell r="B427" t="str">
            <v>10</v>
          </cell>
          <cell r="C427" t="str">
            <v>1</v>
          </cell>
          <cell r="D427" t="str">
            <v>B</v>
          </cell>
          <cell r="E427">
            <v>1</v>
          </cell>
          <cell r="F427" t="str">
            <v>Felh.célu tám.kölcsön visszatér.egyéb váll.(17+18+19)</v>
          </cell>
        </row>
        <row r="428">
          <cell r="A428" t="str">
            <v>21</v>
          </cell>
          <cell r="B428" t="str">
            <v>10</v>
          </cell>
          <cell r="C428" t="str">
            <v>1</v>
          </cell>
          <cell r="D428" t="str">
            <v>B</v>
          </cell>
          <cell r="E428">
            <v>1</v>
          </cell>
          <cell r="F428" t="str">
            <v>Felh.célu tám.kölcsön visszatér.háztartásoktol</v>
          </cell>
        </row>
        <row r="429">
          <cell r="A429" t="str">
            <v>22</v>
          </cell>
          <cell r="B429" t="str">
            <v>10</v>
          </cell>
          <cell r="C429" t="str">
            <v>1</v>
          </cell>
          <cell r="D429" t="str">
            <v>B</v>
          </cell>
          <cell r="E429">
            <v>1</v>
          </cell>
          <cell r="F429" t="str">
            <v>Felh.célu tám.kölcsön visszatér.non-profit szervezetektöl</v>
          </cell>
        </row>
        <row r="430">
          <cell r="A430" t="str">
            <v>23</v>
          </cell>
          <cell r="B430" t="str">
            <v>10</v>
          </cell>
          <cell r="C430" t="str">
            <v>1</v>
          </cell>
          <cell r="D430" t="str">
            <v>B</v>
          </cell>
          <cell r="E430">
            <v>1</v>
          </cell>
          <cell r="F430" t="str">
            <v>Felh.célu tám.kölcsön visszatér.külföldröl</v>
          </cell>
        </row>
        <row r="431">
          <cell r="A431" t="str">
            <v>24</v>
          </cell>
          <cell r="B431" t="str">
            <v>10</v>
          </cell>
          <cell r="C431" t="str">
            <v>1</v>
          </cell>
          <cell r="D431" t="str">
            <v>B</v>
          </cell>
          <cell r="E431">
            <v>1</v>
          </cell>
          <cell r="F431" t="str">
            <v>Felh.célu tám.kölcsön visszatér.áht.kiv.(13+14+20+...+23)</v>
          </cell>
        </row>
        <row r="432">
          <cell r="A432" t="str">
            <v>25</v>
          </cell>
          <cell r="B432" t="str">
            <v>10</v>
          </cell>
          <cell r="C432" t="str">
            <v>1</v>
          </cell>
          <cell r="D432" t="str">
            <v>B</v>
          </cell>
          <cell r="E432">
            <v>1</v>
          </cell>
          <cell r="F432" t="str">
            <v>Támog.kölcsön visszatér.államháztartáson kivülröl(12+24)</v>
          </cell>
        </row>
        <row r="433">
          <cell r="A433" t="str">
            <v>26</v>
          </cell>
          <cell r="B433" t="str">
            <v>10</v>
          </cell>
          <cell r="C433" t="str">
            <v>1</v>
          </cell>
          <cell r="D433" t="str">
            <v>B</v>
          </cell>
          <cell r="E433">
            <v>1</v>
          </cell>
          <cell r="F433" t="str">
            <v>Mük.célu tám.kölcsön visszatér. központi kgtv-i szervtöl</v>
          </cell>
        </row>
        <row r="434">
          <cell r="A434" t="str">
            <v>27</v>
          </cell>
          <cell r="B434" t="str">
            <v>10</v>
          </cell>
          <cell r="C434" t="str">
            <v>1</v>
          </cell>
          <cell r="D434" t="str">
            <v>B</v>
          </cell>
          <cell r="E434">
            <v>1</v>
          </cell>
          <cell r="F434" t="str">
            <v>Mük.célu tám.kölcsön visszatér. helyi önk.kgtv-i szervtöl</v>
          </cell>
        </row>
        <row r="435">
          <cell r="A435" t="str">
            <v>28</v>
          </cell>
          <cell r="B435" t="str">
            <v>10</v>
          </cell>
          <cell r="C435" t="str">
            <v>1</v>
          </cell>
          <cell r="D435" t="str">
            <v>B</v>
          </cell>
          <cell r="E435">
            <v>1</v>
          </cell>
          <cell r="F435" t="str">
            <v>Mük.célu tám.kölcsön visszatér. fejezeten (önk.) belül</v>
          </cell>
        </row>
        <row r="436">
          <cell r="A436" t="str">
            <v>29</v>
          </cell>
          <cell r="B436" t="str">
            <v>10</v>
          </cell>
          <cell r="C436" t="str">
            <v>1</v>
          </cell>
          <cell r="D436" t="str">
            <v>B</v>
          </cell>
          <cell r="E436">
            <v>1</v>
          </cell>
          <cell r="F436" t="str">
            <v>Mük.célu tám.kölcsön visszatér. TB alapoktol és kezelöitöl</v>
          </cell>
        </row>
        <row r="437">
          <cell r="A437" t="str">
            <v>30</v>
          </cell>
          <cell r="B437" t="str">
            <v>10</v>
          </cell>
          <cell r="C437" t="str">
            <v>1</v>
          </cell>
          <cell r="D437" t="str">
            <v>B</v>
          </cell>
          <cell r="E437">
            <v>1</v>
          </cell>
          <cell r="F437" t="str">
            <v>Mük.célu tám.kölcsön visszatér. elkül.állami pénzalapoktol</v>
          </cell>
        </row>
        <row r="438">
          <cell r="A438" t="str">
            <v>31</v>
          </cell>
          <cell r="B438" t="str">
            <v>10</v>
          </cell>
          <cell r="C438" t="str">
            <v>1</v>
          </cell>
          <cell r="D438" t="str">
            <v>B</v>
          </cell>
          <cell r="E438">
            <v>1</v>
          </cell>
          <cell r="F438" t="str">
            <v>Mük.célu tám.kölcsön visszatér.államházt.bel.(26+...+30)</v>
          </cell>
        </row>
        <row r="439">
          <cell r="A439" t="str">
            <v>32</v>
          </cell>
          <cell r="B439" t="str">
            <v>10</v>
          </cell>
          <cell r="C439" t="str">
            <v>1</v>
          </cell>
          <cell r="D439" t="str">
            <v>B</v>
          </cell>
          <cell r="E439">
            <v>1</v>
          </cell>
          <cell r="F439" t="str">
            <v>Felh.célu tám.kölcsön visszatér. központi kgtv-i szervtöl</v>
          </cell>
        </row>
        <row r="440">
          <cell r="A440" t="str">
            <v>33</v>
          </cell>
          <cell r="B440" t="str">
            <v>10</v>
          </cell>
          <cell r="C440" t="str">
            <v>1</v>
          </cell>
          <cell r="D440" t="str">
            <v>B</v>
          </cell>
          <cell r="E440">
            <v>1</v>
          </cell>
          <cell r="F440" t="str">
            <v>Felh.célu tám.kölcsön visszatér. helyi önk.kgtv-i szervtöl</v>
          </cell>
        </row>
        <row r="441">
          <cell r="A441" t="str">
            <v>34</v>
          </cell>
          <cell r="B441" t="str">
            <v>10</v>
          </cell>
          <cell r="C441" t="str">
            <v>1</v>
          </cell>
          <cell r="D441" t="str">
            <v>B</v>
          </cell>
          <cell r="E441">
            <v>1</v>
          </cell>
          <cell r="F441" t="str">
            <v>Felh.célu tám.kölcsön visszatér. fejezeten (önk.) belül</v>
          </cell>
        </row>
        <row r="442">
          <cell r="A442" t="str">
            <v>35</v>
          </cell>
          <cell r="B442" t="str">
            <v>10</v>
          </cell>
          <cell r="C442" t="str">
            <v>1</v>
          </cell>
          <cell r="D442" t="str">
            <v>B</v>
          </cell>
          <cell r="E442">
            <v>1</v>
          </cell>
          <cell r="F442" t="str">
            <v>Felh.célu tám.kölcsön visszatér. TB alapoktol és kezelöitöl</v>
          </cell>
        </row>
        <row r="443">
          <cell r="A443" t="str">
            <v>36</v>
          </cell>
          <cell r="B443" t="str">
            <v>10</v>
          </cell>
          <cell r="C443" t="str">
            <v>1</v>
          </cell>
          <cell r="D443" t="str">
            <v>B</v>
          </cell>
          <cell r="E443">
            <v>1</v>
          </cell>
          <cell r="F443" t="str">
            <v>Felh.célu tám.kölcsön visszatér. elkül.állami pénzalapoktol</v>
          </cell>
        </row>
        <row r="444">
          <cell r="A444" t="str">
            <v>37</v>
          </cell>
          <cell r="B444" t="str">
            <v>10</v>
          </cell>
          <cell r="C444" t="str">
            <v>1</v>
          </cell>
          <cell r="D444" t="str">
            <v>B</v>
          </cell>
          <cell r="E444">
            <v>1</v>
          </cell>
          <cell r="F444" t="str">
            <v>Felh.célu tám.kölcsön visszatér.áht.bel.(32+...+36)</v>
          </cell>
        </row>
        <row r="445">
          <cell r="A445" t="str">
            <v>38</v>
          </cell>
          <cell r="B445" t="str">
            <v>10</v>
          </cell>
          <cell r="C445" t="str">
            <v>1</v>
          </cell>
          <cell r="D445" t="str">
            <v>B</v>
          </cell>
          <cell r="E445">
            <v>1</v>
          </cell>
          <cell r="F445" t="str">
            <v>Mük.célu tám.kölcsön igénybevét.központi kgtv-i szervtöl</v>
          </cell>
        </row>
        <row r="446">
          <cell r="A446" t="str">
            <v>39</v>
          </cell>
          <cell r="B446" t="str">
            <v>10</v>
          </cell>
          <cell r="C446" t="str">
            <v>1</v>
          </cell>
          <cell r="D446" t="str">
            <v>B</v>
          </cell>
          <cell r="E446">
            <v>1</v>
          </cell>
          <cell r="F446" t="str">
            <v>Mük.célu tám.kölcsön igénybevét.helyi önk.kgtv-i szervtöl</v>
          </cell>
        </row>
        <row r="447">
          <cell r="A447" t="str">
            <v>40</v>
          </cell>
          <cell r="B447" t="str">
            <v>10</v>
          </cell>
          <cell r="C447" t="str">
            <v>1</v>
          </cell>
          <cell r="D447" t="str">
            <v>B</v>
          </cell>
          <cell r="E447">
            <v>1</v>
          </cell>
          <cell r="F447" t="str">
            <v>Mük.célu tám.kölcsön igénybevét.fejezeten (önk.) belül</v>
          </cell>
        </row>
        <row r="448">
          <cell r="A448" t="str">
            <v>41</v>
          </cell>
          <cell r="B448" t="str">
            <v>10</v>
          </cell>
          <cell r="C448" t="str">
            <v>1</v>
          </cell>
          <cell r="D448" t="str">
            <v>B</v>
          </cell>
          <cell r="E448">
            <v>1</v>
          </cell>
          <cell r="F448" t="str">
            <v>Mük.célu tám.kölcsön igénybevét.TB alapoktol és kezelöitöl</v>
          </cell>
        </row>
        <row r="449">
          <cell r="A449" t="str">
            <v>42</v>
          </cell>
          <cell r="B449" t="str">
            <v>10</v>
          </cell>
          <cell r="C449" t="str">
            <v>1</v>
          </cell>
          <cell r="D449" t="str">
            <v>B</v>
          </cell>
          <cell r="E449">
            <v>1</v>
          </cell>
          <cell r="F449" t="str">
            <v>Mük.célu tám.kölcsön igénybevét.elkül.állami pénzalapoktol</v>
          </cell>
        </row>
        <row r="450">
          <cell r="A450" t="str">
            <v>43</v>
          </cell>
          <cell r="B450" t="str">
            <v>10</v>
          </cell>
          <cell r="C450" t="str">
            <v>1</v>
          </cell>
          <cell r="D450" t="str">
            <v>B</v>
          </cell>
          <cell r="E450">
            <v>1</v>
          </cell>
          <cell r="F450" t="str">
            <v>Mük.célu tám.kölcsön igénybevét.államházt.bel.(38+...+42)</v>
          </cell>
        </row>
        <row r="451">
          <cell r="A451" t="str">
            <v>44</v>
          </cell>
          <cell r="B451" t="str">
            <v>10</v>
          </cell>
          <cell r="C451" t="str">
            <v>1</v>
          </cell>
          <cell r="D451" t="str">
            <v>B</v>
          </cell>
          <cell r="E451">
            <v>1</v>
          </cell>
          <cell r="F451" t="str">
            <v>Felh.célu tám.kölcsön igénybevét.központi kgtv-i szervtöl</v>
          </cell>
        </row>
        <row r="452">
          <cell r="A452" t="str">
            <v>45</v>
          </cell>
          <cell r="B452" t="str">
            <v>10</v>
          </cell>
          <cell r="C452" t="str">
            <v>1</v>
          </cell>
          <cell r="D452" t="str">
            <v>B</v>
          </cell>
          <cell r="E452">
            <v>1</v>
          </cell>
          <cell r="F452" t="str">
            <v>Felh.célu tám.kölcsön igénybevét.helyi önk.kgtv-i szervtöl</v>
          </cell>
        </row>
        <row r="453">
          <cell r="A453" t="str">
            <v>46</v>
          </cell>
          <cell r="B453" t="str">
            <v>10</v>
          </cell>
          <cell r="C453" t="str">
            <v>1</v>
          </cell>
          <cell r="D453" t="str">
            <v>B</v>
          </cell>
          <cell r="E453">
            <v>1</v>
          </cell>
          <cell r="F453" t="str">
            <v>Felh.célu tám.kölcsön igénybevét.fejezeten (önk.) belül</v>
          </cell>
        </row>
        <row r="454">
          <cell r="A454" t="str">
            <v>47</v>
          </cell>
          <cell r="B454" t="str">
            <v>10</v>
          </cell>
          <cell r="C454" t="str">
            <v>1</v>
          </cell>
          <cell r="D454" t="str">
            <v>B</v>
          </cell>
          <cell r="E454">
            <v>1</v>
          </cell>
          <cell r="F454" t="str">
            <v>Felh.célu tám.kölcsön igénybevét.TB alapoktol és kezelöitöl</v>
          </cell>
        </row>
        <row r="455">
          <cell r="A455" t="str">
            <v>48</v>
          </cell>
          <cell r="B455" t="str">
            <v>10</v>
          </cell>
          <cell r="C455" t="str">
            <v>1</v>
          </cell>
          <cell r="D455" t="str">
            <v>B</v>
          </cell>
          <cell r="E455">
            <v>1</v>
          </cell>
          <cell r="F455" t="str">
            <v>Felh.célu tám.kölcsön igénybevét.elkül.állami pénzalapoktol</v>
          </cell>
        </row>
        <row r="456">
          <cell r="A456" t="str">
            <v>49</v>
          </cell>
          <cell r="B456" t="str">
            <v>10</v>
          </cell>
          <cell r="C456" t="str">
            <v>1</v>
          </cell>
          <cell r="D456" t="str">
            <v>B</v>
          </cell>
          <cell r="E456">
            <v>1</v>
          </cell>
          <cell r="F456" t="str">
            <v>Felh.célu tám.kölcsön igénybevét.áht.belül (44+...+48)</v>
          </cell>
        </row>
        <row r="457">
          <cell r="A457" t="str">
            <v>50</v>
          </cell>
          <cell r="B457" t="str">
            <v>10</v>
          </cell>
          <cell r="C457" t="str">
            <v>1</v>
          </cell>
          <cell r="D457" t="str">
            <v>B</v>
          </cell>
          <cell r="E457">
            <v>1</v>
          </cell>
          <cell r="F457" t="str">
            <v>Támog-i kölcsön vtérül.,igénybev.áht.belül(31+37+43+49)</v>
          </cell>
        </row>
        <row r="458">
          <cell r="A458" t="str">
            <v>51</v>
          </cell>
          <cell r="B458" t="str">
            <v>10</v>
          </cell>
          <cell r="C458" t="str">
            <v>1</v>
          </cell>
          <cell r="D458" t="str">
            <v>B</v>
          </cell>
          <cell r="E458">
            <v>1</v>
          </cell>
          <cell r="F458" t="str">
            <v>Hosszu lejáratu hitelek felvétele pénzügyi vállalkozásoktol</v>
          </cell>
        </row>
        <row r="459">
          <cell r="A459" t="str">
            <v>52</v>
          </cell>
          <cell r="B459" t="str">
            <v>10</v>
          </cell>
          <cell r="C459" t="str">
            <v>1</v>
          </cell>
          <cell r="D459" t="str">
            <v>B</v>
          </cell>
          <cell r="E459">
            <v>1</v>
          </cell>
          <cell r="F459" t="str">
            <v>Rövid lejáratu hitelek felvétele pénzügyi vállalkozásoktol</v>
          </cell>
        </row>
        <row r="460">
          <cell r="A460" t="str">
            <v>53</v>
          </cell>
          <cell r="B460" t="str">
            <v>10</v>
          </cell>
          <cell r="C460" t="str">
            <v>1</v>
          </cell>
          <cell r="D460" t="str">
            <v>B</v>
          </cell>
          <cell r="E460">
            <v>1</v>
          </cell>
          <cell r="F460" t="str">
            <v>Hosszu lejáratu hitelfelvétel egyéb belföldi forrásbol</v>
          </cell>
        </row>
        <row r="461">
          <cell r="A461" t="str">
            <v>54</v>
          </cell>
          <cell r="B461" t="str">
            <v>10</v>
          </cell>
          <cell r="C461" t="str">
            <v>1</v>
          </cell>
          <cell r="D461" t="str">
            <v>B</v>
          </cell>
          <cell r="E461">
            <v>1</v>
          </cell>
          <cell r="F461" t="str">
            <v>Rövid lejáratu hitelfelvétel egyéb belföldi forrásbol</v>
          </cell>
        </row>
        <row r="462">
          <cell r="A462" t="str">
            <v>55</v>
          </cell>
          <cell r="B462" t="str">
            <v>10</v>
          </cell>
          <cell r="C462" t="str">
            <v>1</v>
          </cell>
          <cell r="D462" t="str">
            <v>B</v>
          </cell>
          <cell r="E462">
            <v>1</v>
          </cell>
          <cell r="F462" t="str">
            <v>Hitelfelvétel államháztartáson kivülröl (51+...+54)</v>
          </cell>
        </row>
        <row r="463">
          <cell r="A463" t="str">
            <v>56</v>
          </cell>
          <cell r="B463" t="str">
            <v>10</v>
          </cell>
          <cell r="C463" t="str">
            <v>1</v>
          </cell>
          <cell r="D463" t="str">
            <v>B</v>
          </cell>
          <cell r="E463">
            <v>1</v>
          </cell>
          <cell r="F463" t="str">
            <v>Likviditási célu hitel felvétele központi költségvetéstöl</v>
          </cell>
        </row>
        <row r="464">
          <cell r="A464" t="str">
            <v>57</v>
          </cell>
          <cell r="B464" t="str">
            <v>10</v>
          </cell>
          <cell r="C464" t="str">
            <v>1</v>
          </cell>
          <cell r="D464" t="str">
            <v>B</v>
          </cell>
          <cell r="E464">
            <v>1</v>
          </cell>
          <cell r="F464" t="str">
            <v>Hitelfelvétel más alaptol</v>
          </cell>
        </row>
        <row r="465">
          <cell r="A465" t="str">
            <v>58</v>
          </cell>
          <cell r="B465" t="str">
            <v>10</v>
          </cell>
          <cell r="C465" t="str">
            <v>1</v>
          </cell>
          <cell r="D465" t="str">
            <v>B</v>
          </cell>
          <cell r="E465">
            <v>1</v>
          </cell>
          <cell r="F465" t="str">
            <v>Hitelfelvétel államháztartáson belülröl (56+57)</v>
          </cell>
        </row>
        <row r="466">
          <cell r="A466" t="str">
            <v>59</v>
          </cell>
          <cell r="B466" t="str">
            <v>10</v>
          </cell>
          <cell r="C466" t="str">
            <v>1</v>
          </cell>
          <cell r="D466" t="str">
            <v>B</v>
          </cell>
          <cell r="E466">
            <v>1</v>
          </cell>
          <cell r="F466" t="str">
            <v>Belföldi hitelek felvétele  (55+58)</v>
          </cell>
        </row>
        <row r="467">
          <cell r="A467" t="str">
            <v>60</v>
          </cell>
          <cell r="B467" t="str">
            <v>10</v>
          </cell>
          <cell r="C467" t="str">
            <v>1</v>
          </cell>
          <cell r="D467" t="str">
            <v>B</v>
          </cell>
          <cell r="E467">
            <v>1</v>
          </cell>
          <cell r="F467" t="str">
            <v>Rövid lejáratu értékpapirok értékesitése</v>
          </cell>
        </row>
        <row r="468">
          <cell r="A468" t="str">
            <v>61</v>
          </cell>
          <cell r="B468" t="str">
            <v>10</v>
          </cell>
          <cell r="C468" t="str">
            <v>1</v>
          </cell>
          <cell r="D468" t="str">
            <v>B</v>
          </cell>
          <cell r="E468">
            <v>1</v>
          </cell>
          <cell r="F468" t="str">
            <v>Rövid lejáratu értékpapirok kibocsátása</v>
          </cell>
        </row>
        <row r="469">
          <cell r="A469" t="str">
            <v>62</v>
          </cell>
          <cell r="B469" t="str">
            <v>10</v>
          </cell>
          <cell r="C469" t="str">
            <v>1</v>
          </cell>
          <cell r="D469" t="str">
            <v>B</v>
          </cell>
          <cell r="E469">
            <v>1</v>
          </cell>
          <cell r="F469" t="str">
            <v>Hosszu lejáratu értékpapirok kibocsátása</v>
          </cell>
        </row>
        <row r="470">
          <cell r="A470" t="str">
            <v>63</v>
          </cell>
          <cell r="B470" t="str">
            <v>10</v>
          </cell>
          <cell r="C470" t="str">
            <v>1</v>
          </cell>
          <cell r="D470" t="str">
            <v>B</v>
          </cell>
          <cell r="E470">
            <v>1</v>
          </cell>
          <cell r="F470" t="str">
            <v>Belföldi értékpapirok bevételei  (60+61+62)</v>
          </cell>
        </row>
        <row r="471">
          <cell r="A471" t="str">
            <v>64</v>
          </cell>
          <cell r="B471" t="str">
            <v>10</v>
          </cell>
          <cell r="C471" t="str">
            <v>1</v>
          </cell>
          <cell r="D471" t="str">
            <v>B</v>
          </cell>
          <cell r="E471">
            <v>1</v>
          </cell>
          <cell r="F471" t="str">
            <v>Belföldi hitelmüveletek bevételei (59+63)</v>
          </cell>
        </row>
        <row r="472">
          <cell r="A472" t="str">
            <v>65</v>
          </cell>
          <cell r="B472" t="str">
            <v>10</v>
          </cell>
          <cell r="C472" t="str">
            <v>1</v>
          </cell>
          <cell r="D472" t="str">
            <v>B</v>
          </cell>
          <cell r="E472">
            <v>1</v>
          </cell>
          <cell r="F472" t="str">
            <v>Hitelfelvétel nemzetközi fejlesztési szervezetektöl</v>
          </cell>
        </row>
        <row r="473">
          <cell r="A473" t="str">
            <v>66</v>
          </cell>
          <cell r="B473" t="str">
            <v>10</v>
          </cell>
          <cell r="C473" t="str">
            <v>1</v>
          </cell>
          <cell r="D473" t="str">
            <v>B</v>
          </cell>
          <cell r="E473">
            <v>1</v>
          </cell>
          <cell r="F473" t="str">
            <v>Hitelfelvétel kormányoktol</v>
          </cell>
        </row>
        <row r="474">
          <cell r="A474" t="str">
            <v>67</v>
          </cell>
          <cell r="B474" t="str">
            <v>10</v>
          </cell>
          <cell r="C474" t="str">
            <v>1</v>
          </cell>
          <cell r="D474" t="str">
            <v>B</v>
          </cell>
          <cell r="E474">
            <v>1</v>
          </cell>
          <cell r="F474" t="str">
            <v>Hitelfelvétel külföldi pénzintézettöl</v>
          </cell>
        </row>
        <row r="475">
          <cell r="A475" t="str">
            <v>68</v>
          </cell>
          <cell r="B475" t="str">
            <v>10</v>
          </cell>
          <cell r="C475" t="str">
            <v>1</v>
          </cell>
          <cell r="D475" t="str">
            <v>B</v>
          </cell>
          <cell r="E475">
            <v>1</v>
          </cell>
          <cell r="F475" t="str">
            <v>Hitelfelvétel egyéb külföldi hitelezötöl</v>
          </cell>
        </row>
        <row r="476">
          <cell r="A476" t="str">
            <v>69</v>
          </cell>
          <cell r="B476" t="str">
            <v>10</v>
          </cell>
          <cell r="C476" t="str">
            <v>1</v>
          </cell>
          <cell r="D476" t="str">
            <v>B</v>
          </cell>
          <cell r="E476">
            <v>1</v>
          </cell>
          <cell r="F476" t="str">
            <v>Külföldi finanszirozás bevételei (65+...+68)</v>
          </cell>
        </row>
        <row r="477">
          <cell r="A477" t="str">
            <v>70</v>
          </cell>
          <cell r="B477" t="str">
            <v>10</v>
          </cell>
          <cell r="C477" t="str">
            <v>1</v>
          </cell>
          <cell r="D477" t="str">
            <v>B</v>
          </cell>
          <cell r="E477">
            <v>1</v>
          </cell>
          <cell r="F477" t="str">
            <v>Elözö évi elöirányzat-maradvány,pénzmaradvány igénybevétele</v>
          </cell>
        </row>
        <row r="478">
          <cell r="A478" t="str">
            <v>71</v>
          </cell>
          <cell r="B478" t="str">
            <v>10</v>
          </cell>
          <cell r="C478" t="str">
            <v>1</v>
          </cell>
          <cell r="D478" t="str">
            <v>B</v>
          </cell>
          <cell r="E478">
            <v>1</v>
          </cell>
          <cell r="F478" t="str">
            <v>Elözö évi vállalkozási eredmény igénybevétele</v>
          </cell>
        </row>
        <row r="479">
          <cell r="A479" t="str">
            <v>72</v>
          </cell>
          <cell r="B479" t="str">
            <v>10</v>
          </cell>
          <cell r="C479" t="str">
            <v>1</v>
          </cell>
          <cell r="D479" t="str">
            <v>B</v>
          </cell>
          <cell r="E479">
            <v>1</v>
          </cell>
          <cell r="F479" t="str">
            <v>Alap-és vállalkozási tevékenység közötti elszámolások</v>
          </cell>
        </row>
        <row r="480">
          <cell r="A480" t="str">
            <v>73</v>
          </cell>
          <cell r="B480" t="str">
            <v>10</v>
          </cell>
          <cell r="C480" t="str">
            <v>1</v>
          </cell>
          <cell r="D480" t="str">
            <v>B</v>
          </cell>
          <cell r="E480">
            <v>1</v>
          </cell>
          <cell r="F480" t="str">
            <v>Pénzforgalom nélküli bevételek (70+71+72)</v>
          </cell>
        </row>
        <row r="481">
          <cell r="A481" t="str">
            <v>74</v>
          </cell>
          <cell r="B481" t="str">
            <v>10</v>
          </cell>
          <cell r="C481" t="str">
            <v>1</v>
          </cell>
          <cell r="D481" t="str">
            <v>B</v>
          </cell>
          <cell r="E481">
            <v>1</v>
          </cell>
          <cell r="F481" t="str">
            <v>Kiegyenlitö bevételek</v>
          </cell>
        </row>
        <row r="482">
          <cell r="A482" t="str">
            <v>75</v>
          </cell>
          <cell r="B482" t="str">
            <v>10</v>
          </cell>
          <cell r="C482" t="str">
            <v>1</v>
          </cell>
          <cell r="D482" t="str">
            <v>B</v>
          </cell>
          <cell r="E482">
            <v>1</v>
          </cell>
          <cell r="F482" t="str">
            <v>Függö bevételek</v>
          </cell>
        </row>
        <row r="483">
          <cell r="A483" t="str">
            <v>76</v>
          </cell>
          <cell r="B483" t="str">
            <v>10</v>
          </cell>
          <cell r="C483" t="str">
            <v>1</v>
          </cell>
          <cell r="D483" t="str">
            <v>B</v>
          </cell>
          <cell r="E483">
            <v>1</v>
          </cell>
          <cell r="F483" t="str">
            <v>Átfuto bevételek</v>
          </cell>
        </row>
        <row r="484">
          <cell r="A484" t="str">
            <v>77</v>
          </cell>
          <cell r="B484" t="str">
            <v>10</v>
          </cell>
          <cell r="C484" t="str">
            <v>1</v>
          </cell>
          <cell r="D484" t="str">
            <v>B</v>
          </cell>
          <cell r="E484">
            <v>1</v>
          </cell>
          <cell r="F484" t="str">
            <v>Kiegyenlitö,függö, átfuto bevételek (74+75+76)</v>
          </cell>
        </row>
        <row r="485">
          <cell r="A485" t="str">
            <v>1</v>
          </cell>
          <cell r="B485" t="str">
            <v>12</v>
          </cell>
          <cell r="C485" t="str">
            <v>1</v>
          </cell>
          <cell r="D485" t="str">
            <v>B</v>
          </cell>
          <cell r="E485">
            <v>1</v>
          </cell>
          <cell r="F485" t="str">
            <v>Munkanélküliek jövedelempotlo támogatása</v>
          </cell>
        </row>
        <row r="486">
          <cell r="A486" t="str">
            <v>2</v>
          </cell>
          <cell r="B486" t="str">
            <v>12</v>
          </cell>
          <cell r="C486" t="str">
            <v>1</v>
          </cell>
          <cell r="D486" t="str">
            <v>B</v>
          </cell>
          <cell r="E486">
            <v>1</v>
          </cell>
          <cell r="F486" t="str">
            <v>Tartosan munkanélküliek rendszeres szociális segélyezése</v>
          </cell>
        </row>
        <row r="487">
          <cell r="A487" t="str">
            <v>3</v>
          </cell>
          <cell r="B487" t="str">
            <v>12</v>
          </cell>
          <cell r="C487" t="str">
            <v>1</v>
          </cell>
          <cell r="D487" t="str">
            <v>B</v>
          </cell>
          <cell r="E487">
            <v>1</v>
          </cell>
          <cell r="F487" t="str">
            <v>Idöskoruak járadéka</v>
          </cell>
        </row>
        <row r="488">
          <cell r="A488" t="str">
            <v>4</v>
          </cell>
          <cell r="B488" t="str">
            <v>12</v>
          </cell>
          <cell r="C488" t="str">
            <v>1</v>
          </cell>
          <cell r="D488" t="str">
            <v>B</v>
          </cell>
          <cell r="E488">
            <v>1</v>
          </cell>
          <cell r="F488" t="str">
            <v>Rendszeres szociális segély egyéb jogcimeken</v>
          </cell>
        </row>
        <row r="489">
          <cell r="A489" t="str">
            <v>5</v>
          </cell>
          <cell r="B489" t="str">
            <v>12</v>
          </cell>
          <cell r="C489" t="str">
            <v>1</v>
          </cell>
          <cell r="D489" t="str">
            <v>B</v>
          </cell>
          <cell r="E489">
            <v>1</v>
          </cell>
          <cell r="F489" t="str">
            <v>Lakásfenntartási támogatás</v>
          </cell>
        </row>
        <row r="490">
          <cell r="A490" t="str">
            <v>6</v>
          </cell>
          <cell r="B490" t="str">
            <v>12</v>
          </cell>
          <cell r="C490" t="str">
            <v>1</v>
          </cell>
          <cell r="D490" t="str">
            <v>B</v>
          </cell>
          <cell r="E490">
            <v>1</v>
          </cell>
          <cell r="F490" t="str">
            <v>Kiegészitö családi potlék</v>
          </cell>
        </row>
        <row r="491">
          <cell r="A491" t="str">
            <v>7</v>
          </cell>
          <cell r="B491" t="str">
            <v>12</v>
          </cell>
          <cell r="C491" t="str">
            <v>1</v>
          </cell>
          <cell r="D491" t="str">
            <v>B</v>
          </cell>
          <cell r="E491">
            <v>1</v>
          </cell>
          <cell r="F491" t="str">
            <v>Egyéb rászorultságtol függö ellátások</v>
          </cell>
        </row>
        <row r="492">
          <cell r="A492" t="str">
            <v>8</v>
          </cell>
          <cell r="B492" t="str">
            <v>12</v>
          </cell>
          <cell r="C492" t="str">
            <v>1</v>
          </cell>
          <cell r="D492" t="str">
            <v>B</v>
          </cell>
          <cell r="E492">
            <v>1</v>
          </cell>
          <cell r="F492" t="str">
            <v>Rászorultságtol függö pénz.szoc.ellátás össz.(01+...+07)</v>
          </cell>
        </row>
        <row r="493">
          <cell r="A493" t="str">
            <v>9</v>
          </cell>
          <cell r="B493" t="str">
            <v>12</v>
          </cell>
          <cell r="C493" t="str">
            <v>1</v>
          </cell>
          <cell r="D493" t="str">
            <v>B</v>
          </cell>
          <cell r="E493">
            <v>1</v>
          </cell>
          <cell r="F493" t="str">
            <v>Köztemetés</v>
          </cell>
        </row>
        <row r="494">
          <cell r="A494" t="str">
            <v>10</v>
          </cell>
          <cell r="B494" t="str">
            <v>12</v>
          </cell>
          <cell r="C494" t="str">
            <v>1</v>
          </cell>
          <cell r="D494" t="str">
            <v>B</v>
          </cell>
          <cell r="E494">
            <v>1</v>
          </cell>
          <cell r="F494" t="str">
            <v>Közgyogyellátás</v>
          </cell>
        </row>
        <row r="495">
          <cell r="A495" t="str">
            <v>11</v>
          </cell>
          <cell r="B495" t="str">
            <v>12</v>
          </cell>
          <cell r="C495" t="str">
            <v>1</v>
          </cell>
          <cell r="D495" t="str">
            <v>B</v>
          </cell>
          <cell r="E495">
            <v>1</v>
          </cell>
          <cell r="F495" t="str">
            <v>Természetben nyujtott egyéb ellátások</v>
          </cell>
        </row>
        <row r="496">
          <cell r="A496" t="str">
            <v>12</v>
          </cell>
          <cell r="B496" t="str">
            <v>12</v>
          </cell>
          <cell r="C496" t="str">
            <v>1</v>
          </cell>
          <cell r="D496" t="str">
            <v>B</v>
          </cell>
          <cell r="E496">
            <v>1</v>
          </cell>
          <cell r="F496" t="str">
            <v>Természetben nyujtott szoc.ellátások összesen (09+...+11)</v>
          </cell>
        </row>
        <row r="497">
          <cell r="A497" t="str">
            <v>13</v>
          </cell>
          <cell r="B497" t="str">
            <v>12</v>
          </cell>
          <cell r="C497" t="str">
            <v>1</v>
          </cell>
          <cell r="D497" t="str">
            <v>B</v>
          </cell>
          <cell r="E497">
            <v>1</v>
          </cell>
          <cell r="F497" t="str">
            <v>Szociálisan rászorultak lakáshitel és kölcsöntartozásai</v>
          </cell>
        </row>
        <row r="498">
          <cell r="A498" t="str">
            <v>14</v>
          </cell>
          <cell r="B498" t="str">
            <v>12</v>
          </cell>
          <cell r="C498" t="str">
            <v>1</v>
          </cell>
          <cell r="D498" t="str">
            <v>B</v>
          </cell>
          <cell r="E498">
            <v>1</v>
          </cell>
          <cell r="F498" t="str">
            <v>Önkormányzatok által foly.ellátások összesen (08+12+13)</v>
          </cell>
        </row>
        <row r="499">
          <cell r="A499" t="str">
            <v>1</v>
          </cell>
          <cell r="B499" t="str">
            <v>13</v>
          </cell>
          <cell r="C499" t="str">
            <v>1</v>
          </cell>
          <cell r="D499" t="str">
            <v>B</v>
          </cell>
          <cell r="E499">
            <v>1</v>
          </cell>
          <cell r="F499" t="str">
            <v>Szoc.Csal.Min. - mozgáskorlátozottak közlekedési támogatása</v>
          </cell>
        </row>
        <row r="500">
          <cell r="A500" t="str">
            <v>2</v>
          </cell>
          <cell r="B500" t="str">
            <v>13</v>
          </cell>
          <cell r="C500" t="str">
            <v>1</v>
          </cell>
          <cell r="D500" t="str">
            <v>B</v>
          </cell>
          <cell r="E500">
            <v>1</v>
          </cell>
          <cell r="F500" t="str">
            <v>Szoc.Csal.Min. - otthonteremtési támogatás</v>
          </cell>
        </row>
        <row r="501">
          <cell r="A501" t="str">
            <v>3</v>
          </cell>
          <cell r="B501" t="str">
            <v>13</v>
          </cell>
          <cell r="C501" t="str">
            <v>1</v>
          </cell>
          <cell r="D501" t="str">
            <v>B</v>
          </cell>
          <cell r="E501">
            <v>1</v>
          </cell>
          <cell r="F501" t="str">
            <v>Szoc.Csal.Min. - megelölegezett gyermektartásidij</v>
          </cell>
        </row>
        <row r="502">
          <cell r="A502" t="str">
            <v>4</v>
          </cell>
          <cell r="B502" t="str">
            <v>13</v>
          </cell>
          <cell r="C502" t="str">
            <v>1</v>
          </cell>
          <cell r="D502" t="str">
            <v>B</v>
          </cell>
          <cell r="E502">
            <v>1</v>
          </cell>
          <cell r="F502" t="str">
            <v>Fejezetek által folyositott egyéb ellátások</v>
          </cell>
        </row>
        <row r="503">
          <cell r="A503" t="str">
            <v>5</v>
          </cell>
          <cell r="B503" t="str">
            <v>13</v>
          </cell>
          <cell r="C503" t="str">
            <v>1</v>
          </cell>
          <cell r="D503" t="str">
            <v>B</v>
          </cell>
          <cell r="E503">
            <v>1</v>
          </cell>
          <cell r="F503" t="str">
            <v>Fejezetek által folyositott ellátások összesen(01+...+04)</v>
          </cell>
        </row>
        <row r="504">
          <cell r="A504" t="str">
            <v>6</v>
          </cell>
          <cell r="B504" t="str">
            <v>13</v>
          </cell>
          <cell r="C504" t="str">
            <v>1</v>
          </cell>
          <cell r="D504" t="str">
            <v>B</v>
          </cell>
          <cell r="E504">
            <v>1</v>
          </cell>
          <cell r="F504" t="str">
            <v>Közp.költségvet.- családi potlék és iskoláztatási támogatás</v>
          </cell>
        </row>
        <row r="505">
          <cell r="A505" t="str">
            <v>7</v>
          </cell>
          <cell r="B505" t="str">
            <v>13</v>
          </cell>
          <cell r="C505" t="str">
            <v>1</v>
          </cell>
          <cell r="D505" t="str">
            <v>B</v>
          </cell>
          <cell r="E505">
            <v>1</v>
          </cell>
          <cell r="F505" t="str">
            <v>Közp.költségvet.- anyasági támogatás</v>
          </cell>
        </row>
        <row r="506">
          <cell r="A506" t="str">
            <v>8</v>
          </cell>
          <cell r="B506" t="str">
            <v>13</v>
          </cell>
          <cell r="C506" t="str">
            <v>1</v>
          </cell>
          <cell r="D506" t="str">
            <v>B</v>
          </cell>
          <cell r="E506">
            <v>1</v>
          </cell>
          <cell r="F506" t="str">
            <v>Közp.költségvet.- gyermekgondozási dij</v>
          </cell>
        </row>
        <row r="507">
          <cell r="A507" t="str">
            <v>9</v>
          </cell>
          <cell r="B507" t="str">
            <v>13</v>
          </cell>
          <cell r="C507" t="str">
            <v>1</v>
          </cell>
          <cell r="D507" t="str">
            <v>B</v>
          </cell>
          <cell r="E507">
            <v>1</v>
          </cell>
          <cell r="F507" t="str">
            <v>Közp.költségvet.- gyermekgondozási segély</v>
          </cell>
        </row>
        <row r="508">
          <cell r="A508" t="str">
            <v>10</v>
          </cell>
          <cell r="B508" t="str">
            <v>13</v>
          </cell>
          <cell r="C508" t="str">
            <v>1</v>
          </cell>
          <cell r="D508" t="str">
            <v>B</v>
          </cell>
          <cell r="E508">
            <v>1</v>
          </cell>
          <cell r="F508" t="str">
            <v>Közp.költségvet.- gyermeknevelési támogatás</v>
          </cell>
        </row>
        <row r="509">
          <cell r="A509" t="str">
            <v>11</v>
          </cell>
          <cell r="B509" t="str">
            <v>13</v>
          </cell>
          <cell r="C509" t="str">
            <v>1</v>
          </cell>
          <cell r="D509" t="str">
            <v>B</v>
          </cell>
          <cell r="E509">
            <v>1</v>
          </cell>
          <cell r="F509" t="str">
            <v>Közp.költségvet.- fogyatékossági támogatás</v>
          </cell>
        </row>
        <row r="510">
          <cell r="A510" t="str">
            <v>12</v>
          </cell>
          <cell r="B510" t="str">
            <v>13</v>
          </cell>
          <cell r="C510" t="str">
            <v>1</v>
          </cell>
          <cell r="D510" t="str">
            <v>B</v>
          </cell>
          <cell r="E510">
            <v>1</v>
          </cell>
          <cell r="F510" t="str">
            <v>Közp.költségvet.- rokkantsági járadék</v>
          </cell>
        </row>
        <row r="511">
          <cell r="A511" t="str">
            <v>13</v>
          </cell>
          <cell r="B511" t="str">
            <v>13</v>
          </cell>
          <cell r="C511" t="str">
            <v>1</v>
          </cell>
          <cell r="D511" t="str">
            <v>B</v>
          </cell>
          <cell r="E511">
            <v>1</v>
          </cell>
          <cell r="F511" t="str">
            <v>Közp.költségvet.- megváltozott munkaképességüek járadékai</v>
          </cell>
        </row>
        <row r="512">
          <cell r="A512" t="str">
            <v>14</v>
          </cell>
          <cell r="B512" t="str">
            <v>13</v>
          </cell>
          <cell r="C512" t="str">
            <v>1</v>
          </cell>
          <cell r="D512" t="str">
            <v>B</v>
          </cell>
          <cell r="E512">
            <v>1</v>
          </cell>
          <cell r="F512" t="str">
            <v>Közp.költségvet.- egészségkárosodási járadék</v>
          </cell>
        </row>
        <row r="513">
          <cell r="A513" t="str">
            <v>15</v>
          </cell>
          <cell r="B513" t="str">
            <v>13</v>
          </cell>
          <cell r="C513" t="str">
            <v>1</v>
          </cell>
          <cell r="D513" t="str">
            <v>B</v>
          </cell>
          <cell r="E513">
            <v>1</v>
          </cell>
          <cell r="F513" t="str">
            <v>Közp.költségvet.- bányászok korengedm. nyugdija,szén.,ker.</v>
          </cell>
        </row>
        <row r="514">
          <cell r="A514" t="str">
            <v>16</v>
          </cell>
          <cell r="B514" t="str">
            <v>13</v>
          </cell>
          <cell r="C514" t="str">
            <v>1</v>
          </cell>
          <cell r="D514" t="str">
            <v>B</v>
          </cell>
          <cell r="E514">
            <v>1</v>
          </cell>
          <cell r="F514" t="str">
            <v>- 15.sorbol szénjárandosági pénzbeli megváltása</v>
          </cell>
        </row>
        <row r="515">
          <cell r="A515" t="str">
            <v>17</v>
          </cell>
          <cell r="B515" t="str">
            <v>13</v>
          </cell>
          <cell r="C515" t="str">
            <v>1</v>
          </cell>
          <cell r="D515" t="str">
            <v>B</v>
          </cell>
          <cell r="E515">
            <v>1</v>
          </cell>
          <cell r="F515" t="str">
            <v>- 15.sorbol mecseki bány.munkát végzök bány.-i keres.kieg.</v>
          </cell>
        </row>
        <row r="516">
          <cell r="A516" t="str">
            <v>18</v>
          </cell>
          <cell r="B516" t="str">
            <v>13</v>
          </cell>
          <cell r="C516" t="str">
            <v>1</v>
          </cell>
          <cell r="D516" t="str">
            <v>B</v>
          </cell>
          <cell r="E516">
            <v>1</v>
          </cell>
          <cell r="F516" t="str">
            <v>Közp.költségvet.- mezögazdasági járadék</v>
          </cell>
        </row>
        <row r="517">
          <cell r="A517" t="str">
            <v>19</v>
          </cell>
          <cell r="B517" t="str">
            <v>13</v>
          </cell>
          <cell r="C517" t="str">
            <v>1</v>
          </cell>
          <cell r="D517" t="str">
            <v>B</v>
          </cell>
          <cell r="E517">
            <v>1</v>
          </cell>
          <cell r="F517" t="str">
            <v>Közp.költségvet.- vakok személyi járadéka</v>
          </cell>
        </row>
        <row r="518">
          <cell r="A518" t="str">
            <v>20</v>
          </cell>
          <cell r="B518" t="str">
            <v>13</v>
          </cell>
          <cell r="C518" t="str">
            <v>1</v>
          </cell>
          <cell r="D518" t="str">
            <v>B</v>
          </cell>
          <cell r="E518">
            <v>1</v>
          </cell>
          <cell r="F518" t="str">
            <v>Közp.költségvet.- megvált.munkaképességüek keresetkieg.</v>
          </cell>
        </row>
        <row r="519">
          <cell r="A519" t="str">
            <v>21</v>
          </cell>
          <cell r="B519" t="str">
            <v>13</v>
          </cell>
          <cell r="C519" t="str">
            <v>1</v>
          </cell>
          <cell r="D519" t="str">
            <v>B</v>
          </cell>
          <cell r="E519">
            <v>1</v>
          </cell>
          <cell r="F519" t="str">
            <v>Közp.költségvet.- politikai rehab.és más nyugdijkieg.</v>
          </cell>
        </row>
        <row r="520">
          <cell r="A520" t="str">
            <v>22</v>
          </cell>
          <cell r="B520" t="str">
            <v>13</v>
          </cell>
          <cell r="C520" t="str">
            <v>1</v>
          </cell>
          <cell r="D520" t="str">
            <v>B</v>
          </cell>
          <cell r="E520">
            <v>1</v>
          </cell>
          <cell r="F520" t="str">
            <v>- 21.sorbol kitüntetésekhez és cimekhez kötött potlékok</v>
          </cell>
        </row>
        <row r="521">
          <cell r="A521" t="str">
            <v>23</v>
          </cell>
          <cell r="B521" t="str">
            <v>13</v>
          </cell>
          <cell r="C521" t="str">
            <v>1</v>
          </cell>
          <cell r="D521" t="str">
            <v>B</v>
          </cell>
          <cell r="E521">
            <v>1</v>
          </cell>
          <cell r="F521" t="str">
            <v>- 21.sorbol tudományos fokozattal rendelkezök nyugdijkieg.</v>
          </cell>
        </row>
        <row r="522">
          <cell r="A522" t="str">
            <v>24</v>
          </cell>
          <cell r="B522" t="str">
            <v>13</v>
          </cell>
          <cell r="C522" t="str">
            <v>1</v>
          </cell>
          <cell r="D522" t="str">
            <v>B</v>
          </cell>
          <cell r="E522">
            <v>1</v>
          </cell>
          <cell r="F522" t="str">
            <v>- 21.sorbol nemzeti gondozotti ellátások</v>
          </cell>
        </row>
        <row r="523">
          <cell r="A523" t="str">
            <v>25</v>
          </cell>
          <cell r="B523" t="str">
            <v>13</v>
          </cell>
          <cell r="C523" t="str">
            <v>1</v>
          </cell>
          <cell r="D523" t="str">
            <v>B</v>
          </cell>
          <cell r="E523">
            <v>1</v>
          </cell>
          <cell r="F523" t="str">
            <v>- 21.sorbol nemzeti helytállásért nevü potlék</v>
          </cell>
        </row>
        <row r="524">
          <cell r="A524" t="str">
            <v>26</v>
          </cell>
          <cell r="B524" t="str">
            <v>13</v>
          </cell>
          <cell r="C524" t="str">
            <v>1</v>
          </cell>
          <cell r="D524" t="str">
            <v>B</v>
          </cell>
          <cell r="E524">
            <v>1</v>
          </cell>
          <cell r="F524" t="str">
            <v>- 21.sorbol egyes nyugdij hátr.enyh.(közszol.idö után járo)</v>
          </cell>
        </row>
        <row r="525">
          <cell r="A525" t="str">
            <v>27</v>
          </cell>
          <cell r="B525" t="str">
            <v>13</v>
          </cell>
          <cell r="C525" t="str">
            <v>1</v>
          </cell>
          <cell r="D525" t="str">
            <v>B</v>
          </cell>
          <cell r="E525">
            <v>1</v>
          </cell>
          <cell r="F525" t="str">
            <v>- 21.sorbol szinmüvészek öregségi korhatár elötti nyugdija</v>
          </cell>
        </row>
        <row r="526">
          <cell r="A526" t="str">
            <v>28</v>
          </cell>
          <cell r="B526" t="str">
            <v>13</v>
          </cell>
          <cell r="C526" t="str">
            <v>1</v>
          </cell>
          <cell r="D526" t="str">
            <v>B</v>
          </cell>
          <cell r="E526">
            <v>1</v>
          </cell>
          <cell r="F526" t="str">
            <v>- 21.sorbol Kiválo és Érdemes müvészek járadéka</v>
          </cell>
        </row>
        <row r="527">
          <cell r="A527" t="str">
            <v>29</v>
          </cell>
          <cell r="B527" t="str">
            <v>13</v>
          </cell>
          <cell r="C527" t="str">
            <v>1</v>
          </cell>
          <cell r="D527" t="str">
            <v>B</v>
          </cell>
          <cell r="E527">
            <v>1</v>
          </cell>
          <cell r="F527" t="str">
            <v>Közp.költségvet.- házastársi potlék,házastárs utáni jöv.pot.</v>
          </cell>
        </row>
        <row r="528">
          <cell r="A528" t="str">
            <v>30</v>
          </cell>
          <cell r="B528" t="str">
            <v>13</v>
          </cell>
          <cell r="C528" t="str">
            <v>1</v>
          </cell>
          <cell r="D528" t="str">
            <v>B</v>
          </cell>
          <cell r="E528">
            <v>1</v>
          </cell>
          <cell r="F528" t="str">
            <v>Közp.költségvet.- cukorbetegek támogatása</v>
          </cell>
        </row>
        <row r="529">
          <cell r="A529" t="str">
            <v>31</v>
          </cell>
          <cell r="B529" t="str">
            <v>13</v>
          </cell>
          <cell r="C529" t="str">
            <v>1</v>
          </cell>
          <cell r="D529" t="str">
            <v>B</v>
          </cell>
          <cell r="E529">
            <v>1</v>
          </cell>
          <cell r="F529" t="str">
            <v>Közp.költségvet.- lakbértámogatás</v>
          </cell>
        </row>
        <row r="530">
          <cell r="A530" t="str">
            <v>32</v>
          </cell>
          <cell r="B530" t="str">
            <v>13</v>
          </cell>
          <cell r="C530" t="str">
            <v>1</v>
          </cell>
          <cell r="D530" t="str">
            <v>B</v>
          </cell>
          <cell r="E530">
            <v>1</v>
          </cell>
          <cell r="F530" t="str">
            <v>Közp.költségvet.- katonai családi segély</v>
          </cell>
        </row>
        <row r="531">
          <cell r="A531" t="str">
            <v>33</v>
          </cell>
          <cell r="B531" t="str">
            <v>13</v>
          </cell>
          <cell r="C531" t="str">
            <v>1</v>
          </cell>
          <cell r="D531" t="str">
            <v>B</v>
          </cell>
          <cell r="E531">
            <v>1</v>
          </cell>
          <cell r="F531" t="str">
            <v>Közp.költségvet.- közgyogyellátás</v>
          </cell>
        </row>
        <row r="532">
          <cell r="A532" t="str">
            <v>34</v>
          </cell>
          <cell r="B532" t="str">
            <v>13</v>
          </cell>
          <cell r="C532" t="str">
            <v>1</v>
          </cell>
          <cell r="D532" t="str">
            <v>B</v>
          </cell>
          <cell r="E532">
            <v>1</v>
          </cell>
          <cell r="F532" t="str">
            <v>Közp.költségvet.- pénzbeli kárpotlás (élet és szabadság)</v>
          </cell>
        </row>
        <row r="533">
          <cell r="A533" t="str">
            <v>35</v>
          </cell>
          <cell r="B533" t="str">
            <v>13</v>
          </cell>
          <cell r="C533" t="str">
            <v>1</v>
          </cell>
          <cell r="D533" t="str">
            <v>B</v>
          </cell>
          <cell r="E533">
            <v>1</v>
          </cell>
          <cell r="F533" t="str">
            <v>Közp.költségvet.- 1947-es párizsi békeszerzödésböl kárpotlás</v>
          </cell>
        </row>
        <row r="534">
          <cell r="A534" t="str">
            <v>36</v>
          </cell>
          <cell r="B534" t="str">
            <v>13</v>
          </cell>
          <cell r="C534" t="str">
            <v>1</v>
          </cell>
          <cell r="D534" t="str">
            <v>B</v>
          </cell>
          <cell r="E534">
            <v>1</v>
          </cell>
          <cell r="F534" t="str">
            <v>Közp.költségvetés ellátása (06+...+15+18+...+21+29+...+35)</v>
          </cell>
        </row>
        <row r="535">
          <cell r="A535" t="str">
            <v>37</v>
          </cell>
          <cell r="B535" t="str">
            <v>13</v>
          </cell>
          <cell r="C535" t="str">
            <v>1</v>
          </cell>
          <cell r="D535" t="str">
            <v>B</v>
          </cell>
          <cell r="E535">
            <v>1</v>
          </cell>
          <cell r="F535" t="str">
            <v>ÁPV Rt-t terhelö kárpotlási életjáradék (vagyoni)</v>
          </cell>
        </row>
        <row r="536">
          <cell r="A536" t="str">
            <v>38</v>
          </cell>
          <cell r="B536" t="str">
            <v>13</v>
          </cell>
          <cell r="C536" t="str">
            <v>1</v>
          </cell>
          <cell r="D536" t="str">
            <v>B</v>
          </cell>
          <cell r="E536">
            <v>1</v>
          </cell>
          <cell r="F536" t="str">
            <v>Munkaeröpiaci Alapot terhelö elönyugdij</v>
          </cell>
        </row>
        <row r="537">
          <cell r="A537" t="str">
            <v>39</v>
          </cell>
          <cell r="B537" t="str">
            <v>13</v>
          </cell>
          <cell r="C537" t="str">
            <v>1</v>
          </cell>
          <cell r="D537" t="str">
            <v>B</v>
          </cell>
          <cell r="E537">
            <v>1</v>
          </cell>
          <cell r="F537" t="str">
            <v>Munkaeröpiaci Alapbol,munkáltato bef.fogl.pol.koreng.nyugdij</v>
          </cell>
        </row>
        <row r="538">
          <cell r="A538" t="str">
            <v>40</v>
          </cell>
          <cell r="B538" t="str">
            <v>13</v>
          </cell>
          <cell r="C538" t="str">
            <v>1</v>
          </cell>
          <cell r="D538" t="str">
            <v>B</v>
          </cell>
          <cell r="E538">
            <v>1</v>
          </cell>
          <cell r="F538" t="str">
            <v>Munkáltatoi befizetésböl finanszirozott koreng. nyugdij</v>
          </cell>
        </row>
        <row r="539">
          <cell r="A539" t="str">
            <v>41</v>
          </cell>
          <cell r="B539" t="str">
            <v>13</v>
          </cell>
          <cell r="C539" t="str">
            <v>1</v>
          </cell>
          <cell r="D539" t="str">
            <v>B</v>
          </cell>
          <cell r="E539">
            <v>1</v>
          </cell>
          <cell r="F539" t="str">
            <v>Hadigondozottak Közalapitványt terh.hadigondozotti ellátás</v>
          </cell>
        </row>
        <row r="540">
          <cell r="A540" t="str">
            <v>42</v>
          </cell>
          <cell r="B540" t="str">
            <v>13</v>
          </cell>
          <cell r="C540" t="str">
            <v>1</v>
          </cell>
          <cell r="D540" t="str">
            <v>B</v>
          </cell>
          <cell r="E540">
            <v>1</v>
          </cell>
          <cell r="F540" t="str">
            <v>TB alapok kezelöi által folyositott ellát.össz.(36+...+41)</v>
          </cell>
        </row>
        <row r="541">
          <cell r="A541" t="str">
            <v>43</v>
          </cell>
          <cell r="B541" t="str">
            <v>13</v>
          </cell>
          <cell r="C541" t="str">
            <v>1</v>
          </cell>
          <cell r="D541" t="str">
            <v>B</v>
          </cell>
          <cell r="E541">
            <v>1</v>
          </cell>
          <cell r="F541" t="str">
            <v>Ellátások összesen (05+42)</v>
          </cell>
        </row>
        <row r="542">
          <cell r="A542" t="str">
            <v>1</v>
          </cell>
          <cell r="B542" t="str">
            <v>16</v>
          </cell>
          <cell r="C542" t="str">
            <v>1</v>
          </cell>
          <cell r="D542" t="str">
            <v>B</v>
          </cell>
          <cell r="E542">
            <v>1</v>
          </cell>
          <cell r="F542" t="str">
            <v>Illetékek</v>
          </cell>
        </row>
        <row r="543">
          <cell r="A543" t="str">
            <v>2</v>
          </cell>
          <cell r="B543" t="str">
            <v>16</v>
          </cell>
          <cell r="C543" t="str">
            <v>1</v>
          </cell>
          <cell r="D543" t="str">
            <v>B</v>
          </cell>
          <cell r="E543">
            <v>1</v>
          </cell>
          <cell r="F543" t="str">
            <v>Épitményado</v>
          </cell>
        </row>
        <row r="544">
          <cell r="A544" t="str">
            <v>3</v>
          </cell>
          <cell r="B544" t="str">
            <v>16</v>
          </cell>
          <cell r="C544" t="str">
            <v>1</v>
          </cell>
          <cell r="D544" t="str">
            <v>B</v>
          </cell>
          <cell r="E544">
            <v>1</v>
          </cell>
          <cell r="F544" t="str">
            <v>Telekado</v>
          </cell>
        </row>
        <row r="545">
          <cell r="A545" t="str">
            <v>4</v>
          </cell>
          <cell r="B545" t="str">
            <v>16</v>
          </cell>
          <cell r="C545" t="str">
            <v>1</v>
          </cell>
          <cell r="D545" t="str">
            <v>B</v>
          </cell>
          <cell r="E545">
            <v>1</v>
          </cell>
          <cell r="F545" t="str">
            <v>Vállakozok kommunális adoja</v>
          </cell>
        </row>
        <row r="546">
          <cell r="A546" t="str">
            <v>5</v>
          </cell>
          <cell r="B546" t="str">
            <v>16</v>
          </cell>
          <cell r="C546" t="str">
            <v>1</v>
          </cell>
          <cell r="D546" t="str">
            <v>B</v>
          </cell>
          <cell r="E546">
            <v>1</v>
          </cell>
          <cell r="F546" t="str">
            <v>Magánszemélyek kommunális adoja</v>
          </cell>
        </row>
        <row r="547">
          <cell r="A547" t="str">
            <v>6</v>
          </cell>
          <cell r="B547" t="str">
            <v>16</v>
          </cell>
          <cell r="C547" t="str">
            <v>1</v>
          </cell>
          <cell r="D547" t="str">
            <v>B</v>
          </cell>
          <cell r="E547">
            <v>1</v>
          </cell>
          <cell r="F547" t="str">
            <v>Idegenforgalmi ado tartozkodás után</v>
          </cell>
        </row>
        <row r="548">
          <cell r="A548" t="str">
            <v>7</v>
          </cell>
          <cell r="B548" t="str">
            <v>16</v>
          </cell>
          <cell r="C548" t="str">
            <v>1</v>
          </cell>
          <cell r="D548" t="str">
            <v>B</v>
          </cell>
          <cell r="E548">
            <v>1</v>
          </cell>
          <cell r="F548" t="str">
            <v>Idegenforgalmi ado épület után</v>
          </cell>
        </row>
        <row r="549">
          <cell r="A549" t="str">
            <v>8</v>
          </cell>
          <cell r="B549" t="str">
            <v>16</v>
          </cell>
          <cell r="C549" t="str">
            <v>1</v>
          </cell>
          <cell r="D549" t="str">
            <v>B</v>
          </cell>
          <cell r="E549">
            <v>1</v>
          </cell>
          <cell r="F549" t="str">
            <v>Iparüzési ado</v>
          </cell>
        </row>
        <row r="550">
          <cell r="A550" t="str">
            <v>9</v>
          </cell>
          <cell r="B550" t="str">
            <v>16</v>
          </cell>
          <cell r="C550" t="str">
            <v>1</v>
          </cell>
          <cell r="D550" t="str">
            <v>B</v>
          </cell>
          <cell r="E550">
            <v>1</v>
          </cell>
          <cell r="F550" t="str">
            <v>Helyi adok összesen (02+...+08)</v>
          </cell>
        </row>
        <row r="551">
          <cell r="A551" t="str">
            <v>10</v>
          </cell>
          <cell r="B551" t="str">
            <v>16</v>
          </cell>
          <cell r="C551" t="str">
            <v>1</v>
          </cell>
          <cell r="D551" t="str">
            <v>B</v>
          </cell>
          <cell r="E551">
            <v>1</v>
          </cell>
          <cell r="F551" t="str">
            <v>Potlékok,birságok</v>
          </cell>
        </row>
        <row r="552">
          <cell r="A552" t="str">
            <v>11</v>
          </cell>
          <cell r="B552" t="str">
            <v>16</v>
          </cell>
          <cell r="C552" t="str">
            <v>1</v>
          </cell>
          <cell r="D552" t="str">
            <v>B</v>
          </cell>
          <cell r="E552">
            <v>1</v>
          </cell>
          <cell r="F552" t="str">
            <v>Személyi jövedelemado helyben marado része</v>
          </cell>
        </row>
        <row r="553">
          <cell r="A553" t="str">
            <v>12</v>
          </cell>
          <cell r="B553" t="str">
            <v>16</v>
          </cell>
          <cell r="C553" t="str">
            <v>1</v>
          </cell>
          <cell r="D553" t="str">
            <v>B</v>
          </cell>
          <cell r="E553">
            <v>1</v>
          </cell>
          <cell r="F553" t="str">
            <v>Jövedelemkülönbség mérséklésére (+,-)</v>
          </cell>
        </row>
        <row r="554">
          <cell r="A554" t="str">
            <v>13</v>
          </cell>
          <cell r="B554" t="str">
            <v>16</v>
          </cell>
          <cell r="C554" t="str">
            <v>1</v>
          </cell>
          <cell r="D554" t="str">
            <v>B</v>
          </cell>
          <cell r="E554">
            <v>1</v>
          </cell>
          <cell r="F554" t="str">
            <v>Személyi jövedelemado normativ modon elosztott része</v>
          </cell>
        </row>
        <row r="555">
          <cell r="A555" t="str">
            <v>14</v>
          </cell>
          <cell r="B555" t="str">
            <v>16</v>
          </cell>
          <cell r="C555" t="str">
            <v>1</v>
          </cell>
          <cell r="D555" t="str">
            <v>B</v>
          </cell>
          <cell r="E555">
            <v>1</v>
          </cell>
          <cell r="F555" t="str">
            <v>Gépjármüado</v>
          </cell>
        </row>
        <row r="556">
          <cell r="A556" t="str">
            <v>15</v>
          </cell>
          <cell r="B556" t="str">
            <v>16</v>
          </cell>
          <cell r="C556" t="str">
            <v>1</v>
          </cell>
          <cell r="D556" t="str">
            <v>B</v>
          </cell>
          <cell r="E556">
            <v>1</v>
          </cell>
          <cell r="F556" t="str">
            <v>Termöföld bérbeadásábol származo jövedelemado</v>
          </cell>
        </row>
        <row r="557">
          <cell r="A557" t="str">
            <v>16</v>
          </cell>
          <cell r="B557" t="str">
            <v>16</v>
          </cell>
          <cell r="C557" t="str">
            <v>1</v>
          </cell>
          <cell r="D557" t="str">
            <v>B</v>
          </cell>
          <cell r="E557">
            <v>1</v>
          </cell>
          <cell r="F557" t="str">
            <v>Átengedett egyéb központi adok</v>
          </cell>
        </row>
        <row r="558">
          <cell r="A558" t="str">
            <v>17</v>
          </cell>
          <cell r="B558" t="str">
            <v>16</v>
          </cell>
          <cell r="C558" t="str">
            <v>1</v>
          </cell>
          <cell r="D558" t="str">
            <v>B</v>
          </cell>
          <cell r="E558">
            <v>1</v>
          </cell>
          <cell r="F558" t="str">
            <v>Átengedett központi adok (11+...+16)</v>
          </cell>
        </row>
        <row r="559">
          <cell r="A559" t="str">
            <v>18</v>
          </cell>
          <cell r="B559" t="str">
            <v>16</v>
          </cell>
          <cell r="C559" t="str">
            <v>1</v>
          </cell>
          <cell r="D559" t="str">
            <v>B</v>
          </cell>
          <cell r="E559">
            <v>1</v>
          </cell>
          <cell r="F559" t="str">
            <v>Környezetvédelmi birság</v>
          </cell>
        </row>
        <row r="560">
          <cell r="A560" t="str">
            <v>19</v>
          </cell>
          <cell r="B560" t="str">
            <v>16</v>
          </cell>
          <cell r="C560" t="str">
            <v>1</v>
          </cell>
          <cell r="D560" t="str">
            <v>B</v>
          </cell>
          <cell r="E560">
            <v>1</v>
          </cell>
          <cell r="F560" t="str">
            <v>Természetvédelmi birság</v>
          </cell>
        </row>
        <row r="561">
          <cell r="A561" t="str">
            <v>20</v>
          </cell>
          <cell r="B561" t="str">
            <v>16</v>
          </cell>
          <cell r="C561" t="str">
            <v>1</v>
          </cell>
          <cell r="D561" t="str">
            <v>B</v>
          </cell>
          <cell r="E561">
            <v>1</v>
          </cell>
          <cell r="F561" t="str">
            <v>Müemlékvédelmi birság</v>
          </cell>
        </row>
        <row r="562">
          <cell r="A562" t="str">
            <v>21</v>
          </cell>
          <cell r="B562" t="str">
            <v>16</v>
          </cell>
          <cell r="C562" t="str">
            <v>1</v>
          </cell>
          <cell r="D562" t="str">
            <v>B</v>
          </cell>
          <cell r="E562">
            <v>1</v>
          </cell>
          <cell r="F562" t="str">
            <v>Épitésügyi birság</v>
          </cell>
        </row>
        <row r="563">
          <cell r="A563" t="str">
            <v>22</v>
          </cell>
          <cell r="B563" t="str">
            <v>16</v>
          </cell>
          <cell r="C563" t="str">
            <v>1</v>
          </cell>
          <cell r="D563" t="str">
            <v>B</v>
          </cell>
          <cell r="E563">
            <v>1</v>
          </cell>
          <cell r="F563" t="str">
            <v>Egyéb sajátos bevételek</v>
          </cell>
        </row>
        <row r="564">
          <cell r="A564" t="str">
            <v>23</v>
          </cell>
          <cell r="B564" t="str">
            <v>16</v>
          </cell>
          <cell r="C564" t="str">
            <v>1</v>
          </cell>
          <cell r="D564" t="str">
            <v>B</v>
          </cell>
          <cell r="E564">
            <v>1</v>
          </cell>
          <cell r="F564" t="str">
            <v>Önkormányzatok sajátos mük.bevételei(01+09+10+17+...+22)</v>
          </cell>
        </row>
        <row r="565">
          <cell r="A565" t="str">
            <v>24</v>
          </cell>
          <cell r="B565" t="str">
            <v>16</v>
          </cell>
          <cell r="C565" t="str">
            <v>1</v>
          </cell>
          <cell r="D565" t="str">
            <v>B</v>
          </cell>
          <cell r="E565">
            <v>1</v>
          </cell>
          <cell r="F565" t="str">
            <v>Önkormányzati lakások értékesitése</v>
          </cell>
        </row>
        <row r="566">
          <cell r="A566" t="str">
            <v>25</v>
          </cell>
          <cell r="B566" t="str">
            <v>16</v>
          </cell>
          <cell r="C566" t="str">
            <v>1</v>
          </cell>
          <cell r="D566" t="str">
            <v>B</v>
          </cell>
          <cell r="E566">
            <v>1</v>
          </cell>
          <cell r="F566" t="str">
            <v>Önkormányzati lakotelek értékesitése</v>
          </cell>
        </row>
        <row r="567">
          <cell r="A567" t="str">
            <v>26</v>
          </cell>
          <cell r="B567" t="str">
            <v>16</v>
          </cell>
          <cell r="C567" t="str">
            <v>1</v>
          </cell>
          <cell r="D567" t="str">
            <v>B</v>
          </cell>
          <cell r="E567">
            <v>1</v>
          </cell>
          <cell r="F567" t="str">
            <v>Privatizáciobol származo bevétel</v>
          </cell>
        </row>
        <row r="568">
          <cell r="A568" t="str">
            <v>27</v>
          </cell>
          <cell r="B568" t="str">
            <v>16</v>
          </cell>
          <cell r="C568" t="str">
            <v>1</v>
          </cell>
          <cell r="D568" t="str">
            <v>B</v>
          </cell>
          <cell r="E568">
            <v>1</v>
          </cell>
          <cell r="F568" t="str">
            <v>Vállalatértékesitésböl származo bevétel</v>
          </cell>
        </row>
        <row r="569">
          <cell r="A569" t="str">
            <v>28</v>
          </cell>
          <cell r="B569" t="str">
            <v>16</v>
          </cell>
          <cell r="C569" t="str">
            <v>1</v>
          </cell>
          <cell r="D569" t="str">
            <v>B</v>
          </cell>
          <cell r="E569">
            <v>1</v>
          </cell>
          <cell r="F569" t="str">
            <v>Vadászati jog értékesitéséböl származo bevétel</v>
          </cell>
        </row>
        <row r="570">
          <cell r="A570" t="str">
            <v>29</v>
          </cell>
          <cell r="B570" t="str">
            <v>16</v>
          </cell>
          <cell r="C570" t="str">
            <v>1</v>
          </cell>
          <cell r="D570" t="str">
            <v>B</v>
          </cell>
          <cell r="E570">
            <v>1</v>
          </cell>
          <cell r="F570" t="str">
            <v>Egyéb vagyoni értékü jog értékesitéséböl származo bevétel</v>
          </cell>
        </row>
        <row r="571">
          <cell r="A571" t="str">
            <v>30</v>
          </cell>
          <cell r="B571" t="str">
            <v>16</v>
          </cell>
          <cell r="C571" t="str">
            <v>1</v>
          </cell>
          <cell r="D571" t="str">
            <v>B</v>
          </cell>
          <cell r="E571">
            <v>1</v>
          </cell>
          <cell r="F571" t="str">
            <v>Egyéb önkormányzati vagyon bérbeadásábol származo bevétel</v>
          </cell>
        </row>
        <row r="572">
          <cell r="A572" t="str">
            <v>31</v>
          </cell>
          <cell r="B572" t="str">
            <v>16</v>
          </cell>
          <cell r="C572" t="str">
            <v>1</v>
          </cell>
          <cell r="D572" t="str">
            <v>B</v>
          </cell>
          <cell r="E572">
            <v>1</v>
          </cell>
          <cell r="F572" t="str">
            <v>Egyéb önkorm.vagyon üzemeltet.,koncessz.származo bevétel</v>
          </cell>
        </row>
        <row r="573">
          <cell r="A573" t="str">
            <v>32</v>
          </cell>
          <cell r="B573" t="str">
            <v>16</v>
          </cell>
          <cell r="C573" t="str">
            <v>1</v>
          </cell>
          <cell r="D573" t="str">
            <v>B</v>
          </cell>
          <cell r="E573">
            <v>1</v>
          </cell>
          <cell r="F573" t="str">
            <v>Önkormányzatok sajátos felh. és töke bevét.(24+...+31)</v>
          </cell>
        </row>
        <row r="574">
          <cell r="A574" t="str">
            <v>33</v>
          </cell>
          <cell r="B574" t="str">
            <v>16</v>
          </cell>
          <cell r="C574" t="str">
            <v>1</v>
          </cell>
          <cell r="D574" t="str">
            <v>B</v>
          </cell>
          <cell r="E574">
            <v>1</v>
          </cell>
          <cell r="F574" t="str">
            <v>Normativ állami hozzájárulás - lakosságszámhoz kötött</v>
          </cell>
        </row>
        <row r="575">
          <cell r="A575" t="str">
            <v>34</v>
          </cell>
          <cell r="B575" t="str">
            <v>16</v>
          </cell>
          <cell r="C575" t="str">
            <v>1</v>
          </cell>
          <cell r="D575" t="str">
            <v>B</v>
          </cell>
          <cell r="E575">
            <v>1</v>
          </cell>
          <cell r="F575" t="str">
            <v>Normativ állami hozzájárulás - feladatmutatohoz kötött</v>
          </cell>
        </row>
        <row r="576">
          <cell r="A576" t="str">
            <v>35</v>
          </cell>
          <cell r="B576" t="str">
            <v>16</v>
          </cell>
          <cell r="C576" t="str">
            <v>1</v>
          </cell>
          <cell r="D576" t="str">
            <v>B</v>
          </cell>
          <cell r="E576">
            <v>1</v>
          </cell>
          <cell r="F576" t="str">
            <v>Normativ állami hozzájárulások (33+34)</v>
          </cell>
        </row>
        <row r="577">
          <cell r="A577" t="str">
            <v>36</v>
          </cell>
          <cell r="B577" t="str">
            <v>16</v>
          </cell>
          <cell r="C577" t="str">
            <v>1</v>
          </cell>
          <cell r="D577" t="str">
            <v>B</v>
          </cell>
          <cell r="E577">
            <v>1</v>
          </cell>
          <cell r="F577" t="str">
            <v>Központositott elöirányzatok</v>
          </cell>
        </row>
        <row r="578">
          <cell r="A578" t="str">
            <v>37</v>
          </cell>
          <cell r="B578" t="str">
            <v>16</v>
          </cell>
          <cell r="C578" t="str">
            <v>1</v>
          </cell>
          <cell r="D578" t="str">
            <v>B</v>
          </cell>
          <cell r="E578">
            <v>1</v>
          </cell>
          <cell r="F578" t="str">
            <v>Önhib.kivül hátr.hely.levö(mük.forráshiány.)helyi önk.tám.</v>
          </cell>
        </row>
        <row r="579">
          <cell r="A579" t="str">
            <v>38</v>
          </cell>
          <cell r="B579" t="str">
            <v>16</v>
          </cell>
          <cell r="C579" t="str">
            <v>1</v>
          </cell>
          <cell r="D579" t="str">
            <v>B</v>
          </cell>
          <cell r="E579">
            <v>1</v>
          </cell>
          <cell r="F579" t="str">
            <v>Áll.támog.tart.fiz.képtelen helyi önk.adosságrendezésére</v>
          </cell>
        </row>
        <row r="580">
          <cell r="A580" t="str">
            <v>39</v>
          </cell>
          <cell r="B580" t="str">
            <v>16</v>
          </cell>
          <cell r="C580" t="str">
            <v>1</v>
          </cell>
          <cell r="D580" t="str">
            <v>B</v>
          </cell>
          <cell r="E580">
            <v>1</v>
          </cell>
          <cell r="F580" t="str">
            <v>Müködésképtelen önkormányzatok egyéb támogatása</v>
          </cell>
        </row>
        <row r="581">
          <cell r="A581" t="str">
            <v>40</v>
          </cell>
          <cell r="B581" t="str">
            <v>16</v>
          </cell>
          <cell r="C581" t="str">
            <v>1</v>
          </cell>
          <cell r="D581" t="str">
            <v>B</v>
          </cell>
          <cell r="E581">
            <v>1</v>
          </cell>
          <cell r="F581" t="str">
            <v>Müködésképtelenné vált helyi önk.kieg.támog.(37+..+39)</v>
          </cell>
        </row>
        <row r="582">
          <cell r="A582" t="str">
            <v>41</v>
          </cell>
          <cell r="B582" t="str">
            <v>16</v>
          </cell>
          <cell r="C582" t="str">
            <v>1</v>
          </cell>
          <cell r="D582" t="str">
            <v>B</v>
          </cell>
          <cell r="E582">
            <v>1</v>
          </cell>
          <cell r="F582" t="str">
            <v>Helyi önkormányzatok szinházi támogatása</v>
          </cell>
        </row>
        <row r="583">
          <cell r="A583" t="str">
            <v>42</v>
          </cell>
          <cell r="B583" t="str">
            <v>16</v>
          </cell>
          <cell r="C583" t="str">
            <v>1</v>
          </cell>
          <cell r="D583" t="str">
            <v>B</v>
          </cell>
          <cell r="E583">
            <v>1</v>
          </cell>
          <cell r="F583" t="str">
            <v>Kiegészitö támogatás egyes közoktatási feladatok ellát.</v>
          </cell>
        </row>
        <row r="584">
          <cell r="A584" t="str">
            <v>43</v>
          </cell>
          <cell r="B584" t="str">
            <v>16</v>
          </cell>
          <cell r="C584" t="str">
            <v>1</v>
          </cell>
          <cell r="D584" t="str">
            <v>B</v>
          </cell>
          <cell r="E584">
            <v>1</v>
          </cell>
          <cell r="F584" t="str">
            <v>Egyes jövedelempotlo tám.kiegészitése és közcélu fogl.tám.</v>
          </cell>
        </row>
        <row r="585">
          <cell r="A585" t="str">
            <v>44</v>
          </cell>
          <cell r="B585" t="str">
            <v>16</v>
          </cell>
          <cell r="C585" t="str">
            <v>1</v>
          </cell>
          <cell r="D585" t="str">
            <v>B</v>
          </cell>
          <cell r="E585">
            <v>1</v>
          </cell>
          <cell r="F585" t="str">
            <v>Helyi önkormányzatok hivatásos tüzoltoságok támogatása</v>
          </cell>
        </row>
        <row r="586">
          <cell r="A586" t="str">
            <v>45</v>
          </cell>
          <cell r="B586" t="str">
            <v>16</v>
          </cell>
          <cell r="C586" t="str">
            <v>1</v>
          </cell>
          <cell r="D586" t="str">
            <v>B</v>
          </cell>
          <cell r="E586">
            <v>1</v>
          </cell>
          <cell r="F586" t="str">
            <v>Lakossági települési folyékony hulladék ártalmatlanit.támog.</v>
          </cell>
        </row>
        <row r="587">
          <cell r="A587" t="str">
            <v>46</v>
          </cell>
          <cell r="B587" t="str">
            <v>16</v>
          </cell>
          <cell r="C587" t="str">
            <v>1</v>
          </cell>
          <cell r="D587" t="str">
            <v>B</v>
          </cell>
          <cell r="E587">
            <v>1</v>
          </cell>
          <cell r="F587" t="str">
            <v>Normativ,kötött felhasználásu támogatások (42+...+45)</v>
          </cell>
        </row>
        <row r="588">
          <cell r="A588" t="str">
            <v>47</v>
          </cell>
          <cell r="B588" t="str">
            <v>16</v>
          </cell>
          <cell r="C588" t="str">
            <v>1</v>
          </cell>
          <cell r="D588" t="str">
            <v>B</v>
          </cell>
          <cell r="E588">
            <v>1</v>
          </cell>
          <cell r="F588" t="str">
            <v>Cimzett támogatás</v>
          </cell>
        </row>
        <row r="589">
          <cell r="A589" t="str">
            <v>48</v>
          </cell>
          <cell r="B589" t="str">
            <v>16</v>
          </cell>
          <cell r="C589" t="str">
            <v>1</v>
          </cell>
          <cell r="D589" t="str">
            <v>B</v>
          </cell>
          <cell r="E589">
            <v>1</v>
          </cell>
          <cell r="F589" t="str">
            <v>Céltámogatás</v>
          </cell>
        </row>
        <row r="590">
          <cell r="A590" t="str">
            <v>49</v>
          </cell>
          <cell r="B590" t="str">
            <v>16</v>
          </cell>
          <cell r="C590" t="str">
            <v>1</v>
          </cell>
          <cell r="D590" t="str">
            <v>B</v>
          </cell>
          <cell r="E590">
            <v>1</v>
          </cell>
          <cell r="F590" t="str">
            <v>Területi kiegyenlitést szolgálo fejlesztési célu támogatás</v>
          </cell>
        </row>
        <row r="591">
          <cell r="A591" t="str">
            <v>50</v>
          </cell>
          <cell r="B591" t="str">
            <v>16</v>
          </cell>
          <cell r="C591" t="str">
            <v>1</v>
          </cell>
          <cell r="D591" t="str">
            <v>B</v>
          </cell>
          <cell r="E591">
            <v>1</v>
          </cell>
          <cell r="F591" t="str">
            <v>Céljellegü decentralizált támogatás</v>
          </cell>
        </row>
        <row r="592">
          <cell r="A592" t="str">
            <v>51</v>
          </cell>
          <cell r="B592" t="str">
            <v>16</v>
          </cell>
          <cell r="C592" t="str">
            <v>1</v>
          </cell>
          <cell r="D592" t="str">
            <v>B</v>
          </cell>
          <cell r="E592">
            <v>1</v>
          </cell>
          <cell r="F592" t="str">
            <v>Egyéb központi támogatás</v>
          </cell>
        </row>
        <row r="593">
          <cell r="A593" t="str">
            <v>52</v>
          </cell>
          <cell r="B593" t="str">
            <v>16</v>
          </cell>
          <cell r="C593" t="str">
            <v>1</v>
          </cell>
          <cell r="D593" t="str">
            <v>B</v>
          </cell>
          <cell r="E593">
            <v>1</v>
          </cell>
          <cell r="F593" t="str">
            <v>Önkormányzat költségvetési támog. (35+36+40+41+46+..+51)</v>
          </cell>
        </row>
        <row r="594">
          <cell r="A594" t="str">
            <v>1</v>
          </cell>
          <cell r="B594" t="str">
            <v>17</v>
          </cell>
          <cell r="C594" t="str">
            <v>1</v>
          </cell>
          <cell r="D594" t="str">
            <v>B</v>
          </cell>
          <cell r="E594">
            <v>1</v>
          </cell>
          <cell r="F594" t="str">
            <v>Rendszeres személyi juttatások</v>
          </cell>
        </row>
        <row r="595">
          <cell r="A595" t="str">
            <v>2</v>
          </cell>
          <cell r="B595" t="str">
            <v>17</v>
          </cell>
          <cell r="C595" t="str">
            <v>1</v>
          </cell>
          <cell r="D595" t="str">
            <v>B</v>
          </cell>
          <cell r="E595">
            <v>1</v>
          </cell>
          <cell r="F595" t="str">
            <v>Nem rendszeres személyi juttatások</v>
          </cell>
        </row>
        <row r="596">
          <cell r="A596" t="str">
            <v>3</v>
          </cell>
          <cell r="B596" t="str">
            <v>17</v>
          </cell>
          <cell r="C596" t="str">
            <v>1</v>
          </cell>
          <cell r="D596" t="str">
            <v>B</v>
          </cell>
          <cell r="E596">
            <v>1</v>
          </cell>
          <cell r="F596" t="str">
            <v>Külsö személyi juttatások</v>
          </cell>
        </row>
        <row r="597">
          <cell r="A597" t="str">
            <v>4</v>
          </cell>
          <cell r="B597" t="str">
            <v>17</v>
          </cell>
          <cell r="C597" t="str">
            <v>1</v>
          </cell>
          <cell r="D597" t="str">
            <v>B</v>
          </cell>
          <cell r="E597">
            <v>1</v>
          </cell>
          <cell r="F597" t="str">
            <v>Személyi juttatások (01+02+03)</v>
          </cell>
        </row>
        <row r="598">
          <cell r="A598" t="str">
            <v>5</v>
          </cell>
          <cell r="B598" t="str">
            <v>17</v>
          </cell>
          <cell r="C598" t="str">
            <v>1</v>
          </cell>
          <cell r="D598" t="str">
            <v>B</v>
          </cell>
          <cell r="E598">
            <v>1</v>
          </cell>
          <cell r="F598" t="str">
            <v>Munkaadokat terhelö járulékok</v>
          </cell>
        </row>
        <row r="599">
          <cell r="A599" t="str">
            <v>6</v>
          </cell>
          <cell r="B599" t="str">
            <v>17</v>
          </cell>
          <cell r="C599" t="str">
            <v>1</v>
          </cell>
          <cell r="D599" t="str">
            <v>B</v>
          </cell>
          <cell r="E599">
            <v>1</v>
          </cell>
          <cell r="F599" t="str">
            <v>Anyag és kisértékü tárgyi eszköz beszerzése</v>
          </cell>
        </row>
        <row r="600">
          <cell r="A600" t="str">
            <v>7</v>
          </cell>
          <cell r="B600" t="str">
            <v>17</v>
          </cell>
          <cell r="C600" t="str">
            <v>1</v>
          </cell>
          <cell r="D600" t="str">
            <v>B</v>
          </cell>
          <cell r="E600">
            <v>1</v>
          </cell>
          <cell r="F600" t="str">
            <v>Egyéb dologi kiadások</v>
          </cell>
        </row>
        <row r="601">
          <cell r="A601" t="str">
            <v>8</v>
          </cell>
          <cell r="B601" t="str">
            <v>17</v>
          </cell>
          <cell r="C601" t="str">
            <v>1</v>
          </cell>
          <cell r="D601" t="str">
            <v>B</v>
          </cell>
          <cell r="E601">
            <v>1</v>
          </cell>
          <cell r="F601" t="str">
            <v>Egyéb folyo kiadások</v>
          </cell>
        </row>
        <row r="602">
          <cell r="A602" t="str">
            <v>9</v>
          </cell>
          <cell r="B602" t="str">
            <v>17</v>
          </cell>
          <cell r="C602" t="str">
            <v>1</v>
          </cell>
          <cell r="D602" t="str">
            <v>B</v>
          </cell>
          <cell r="E602">
            <v>1</v>
          </cell>
          <cell r="F602" t="str">
            <v>Dologi kiadások és egyéb folyo kiadások (06+07+08)</v>
          </cell>
        </row>
        <row r="603">
          <cell r="A603" t="str">
            <v>10</v>
          </cell>
          <cell r="B603" t="str">
            <v>17</v>
          </cell>
          <cell r="C603" t="str">
            <v>1</v>
          </cell>
          <cell r="D603" t="str">
            <v>B</v>
          </cell>
          <cell r="E603">
            <v>1</v>
          </cell>
          <cell r="F603" t="str">
            <v>Müködési célu pénzeszközátadás államháztartáson belül</v>
          </cell>
        </row>
        <row r="604">
          <cell r="A604" t="str">
            <v>11</v>
          </cell>
          <cell r="B604" t="str">
            <v>17</v>
          </cell>
          <cell r="C604" t="str">
            <v>1</v>
          </cell>
          <cell r="D604" t="str">
            <v>B</v>
          </cell>
          <cell r="E604">
            <v>1</v>
          </cell>
          <cell r="F604" t="str">
            <v>Müködési célu pénzeszközátadás államháztartáson kivül</v>
          </cell>
        </row>
        <row r="605">
          <cell r="A605" t="str">
            <v>12</v>
          </cell>
          <cell r="B605" t="str">
            <v>17</v>
          </cell>
          <cell r="C605" t="str">
            <v>1</v>
          </cell>
          <cell r="D605" t="str">
            <v>B</v>
          </cell>
          <cell r="E605">
            <v>1</v>
          </cell>
          <cell r="F605" t="str">
            <v>Felhalmozási célu pénzeszközátadás államháztartáson belül</v>
          </cell>
        </row>
        <row r="606">
          <cell r="A606" t="str">
            <v>13</v>
          </cell>
          <cell r="B606" t="str">
            <v>17</v>
          </cell>
          <cell r="C606" t="str">
            <v>1</v>
          </cell>
          <cell r="D606" t="str">
            <v>B</v>
          </cell>
          <cell r="E606">
            <v>1</v>
          </cell>
          <cell r="F606" t="str">
            <v>Felhalmozási célu pénzeszközátadás államháztartáson kivül</v>
          </cell>
        </row>
        <row r="607">
          <cell r="A607" t="str">
            <v>14</v>
          </cell>
          <cell r="B607" t="str">
            <v>17</v>
          </cell>
          <cell r="C607" t="str">
            <v>1</v>
          </cell>
          <cell r="D607" t="str">
            <v>B</v>
          </cell>
          <cell r="E607">
            <v>1</v>
          </cell>
          <cell r="F607" t="str">
            <v>Társadalom- és szociálpolitikai juttatások</v>
          </cell>
        </row>
        <row r="608">
          <cell r="A608" t="str">
            <v>15</v>
          </cell>
          <cell r="B608" t="str">
            <v>17</v>
          </cell>
          <cell r="C608" t="str">
            <v>1</v>
          </cell>
          <cell r="D608" t="str">
            <v>B</v>
          </cell>
          <cell r="E608">
            <v>1</v>
          </cell>
          <cell r="F608" t="str">
            <v>Végleges pénzeszközátadás, egyéb támogatás (10+...+14)</v>
          </cell>
        </row>
        <row r="609">
          <cell r="A609" t="str">
            <v>16</v>
          </cell>
          <cell r="B609" t="str">
            <v>17</v>
          </cell>
          <cell r="C609" t="str">
            <v>1</v>
          </cell>
          <cell r="D609" t="str">
            <v>B</v>
          </cell>
          <cell r="E609">
            <v>1</v>
          </cell>
          <cell r="F609" t="str">
            <v>Ellátottak pénzbeli juttatásai</v>
          </cell>
        </row>
        <row r="610">
          <cell r="A610" t="str">
            <v>17</v>
          </cell>
          <cell r="B610" t="str">
            <v>17</v>
          </cell>
          <cell r="C610" t="str">
            <v>1</v>
          </cell>
          <cell r="D610" t="str">
            <v>B</v>
          </cell>
          <cell r="E610">
            <v>1</v>
          </cell>
          <cell r="F610" t="str">
            <v>Müködési költségvetés kiadásai (04+05+09+15+16)</v>
          </cell>
        </row>
        <row r="611">
          <cell r="A611" t="str">
            <v>18</v>
          </cell>
          <cell r="B611" t="str">
            <v>17</v>
          </cell>
          <cell r="C611" t="str">
            <v>1</v>
          </cell>
          <cell r="D611" t="str">
            <v>B</v>
          </cell>
          <cell r="E611">
            <v>1</v>
          </cell>
          <cell r="F611" t="str">
            <v>Felujitás</v>
          </cell>
        </row>
        <row r="612">
          <cell r="A612" t="str">
            <v>19</v>
          </cell>
          <cell r="B612" t="str">
            <v>17</v>
          </cell>
          <cell r="C612" t="str">
            <v>1</v>
          </cell>
          <cell r="D612" t="str">
            <v>B</v>
          </cell>
          <cell r="E612">
            <v>1</v>
          </cell>
          <cell r="F612" t="str">
            <v>Beruházási kiadások</v>
          </cell>
        </row>
        <row r="613">
          <cell r="A613" t="str">
            <v>20</v>
          </cell>
          <cell r="B613" t="str">
            <v>17</v>
          </cell>
          <cell r="C613" t="str">
            <v>1</v>
          </cell>
          <cell r="D613" t="str">
            <v>B</v>
          </cell>
          <cell r="E613">
            <v>1</v>
          </cell>
          <cell r="F613" t="str">
            <v>Hitelek,értékpapirok,kölcsönök,pénzforgalom nélküli kiad.</v>
          </cell>
        </row>
        <row r="614">
          <cell r="A614" t="str">
            <v>21</v>
          </cell>
          <cell r="B614" t="str">
            <v>17</v>
          </cell>
          <cell r="C614" t="str">
            <v>1</v>
          </cell>
          <cell r="D614" t="str">
            <v>B</v>
          </cell>
          <cell r="E614">
            <v>1</v>
          </cell>
          <cell r="F614" t="str">
            <v>Helyi kisebbségi önkormányzat.kiadásai össz.(17+...+20)</v>
          </cell>
        </row>
        <row r="615">
          <cell r="A615" t="str">
            <v>22</v>
          </cell>
          <cell r="B615" t="str">
            <v>17</v>
          </cell>
          <cell r="C615" t="str">
            <v>1</v>
          </cell>
          <cell r="D615" t="str">
            <v>B</v>
          </cell>
          <cell r="E615">
            <v>1</v>
          </cell>
          <cell r="F615" t="str">
            <v>Helyi kisebbségi önkormányzatok intézményeinek mük. bevét.</v>
          </cell>
        </row>
        <row r="616">
          <cell r="A616" t="str">
            <v>23</v>
          </cell>
          <cell r="B616" t="str">
            <v>17</v>
          </cell>
          <cell r="C616" t="str">
            <v>1</v>
          </cell>
          <cell r="D616" t="str">
            <v>B</v>
          </cell>
          <cell r="E616">
            <v>1</v>
          </cell>
          <cell r="F616" t="str">
            <v>Helyi kisebbségi önkormányzatok sajátos müködési bevételei</v>
          </cell>
        </row>
        <row r="617">
          <cell r="A617" t="str">
            <v>24</v>
          </cell>
          <cell r="B617" t="str">
            <v>17</v>
          </cell>
          <cell r="C617" t="str">
            <v>1</v>
          </cell>
          <cell r="D617" t="str">
            <v>B</v>
          </cell>
          <cell r="E617">
            <v>1</v>
          </cell>
          <cell r="F617" t="str">
            <v>Helyi kisebbségi önkormányzatok felhalm. és töke jell. bev.</v>
          </cell>
        </row>
        <row r="618">
          <cell r="A618" t="str">
            <v>25</v>
          </cell>
          <cell r="B618" t="str">
            <v>17</v>
          </cell>
          <cell r="C618" t="str">
            <v>1</v>
          </cell>
          <cell r="D618" t="str">
            <v>B</v>
          </cell>
          <cell r="E618">
            <v>1</v>
          </cell>
          <cell r="F618" t="str">
            <v>Normativ állami hozzájárulás</v>
          </cell>
        </row>
        <row r="619">
          <cell r="A619" t="str">
            <v>26</v>
          </cell>
          <cell r="B619" t="str">
            <v>17</v>
          </cell>
          <cell r="C619" t="str">
            <v>1</v>
          </cell>
          <cell r="D619" t="str">
            <v>B</v>
          </cell>
          <cell r="E619">
            <v>1</v>
          </cell>
          <cell r="F619" t="str">
            <v>Egyéb állami támogatás, hozzájárulás</v>
          </cell>
        </row>
        <row r="620">
          <cell r="A620" t="str">
            <v>27</v>
          </cell>
          <cell r="B620" t="str">
            <v>17</v>
          </cell>
          <cell r="C620" t="str">
            <v>1</v>
          </cell>
          <cell r="D620" t="str">
            <v>B</v>
          </cell>
          <cell r="E620">
            <v>1</v>
          </cell>
          <cell r="F620" t="str">
            <v>Helyi kisebbségi önkorm.-tol átvett pénzeszk.,egyéb kieg.</v>
          </cell>
        </row>
        <row r="621">
          <cell r="A621" t="str">
            <v>28</v>
          </cell>
          <cell r="B621" t="str">
            <v>17</v>
          </cell>
          <cell r="C621" t="str">
            <v>1</v>
          </cell>
          <cell r="D621" t="str">
            <v>B</v>
          </cell>
          <cell r="E621">
            <v>1</v>
          </cell>
          <cell r="F621" t="str">
            <v>Egyéb támogatások,kiegészitések és átvett pénzeszközök</v>
          </cell>
        </row>
        <row r="622">
          <cell r="A622" t="str">
            <v>29</v>
          </cell>
          <cell r="B622" t="str">
            <v>17</v>
          </cell>
          <cell r="C622" t="str">
            <v>1</v>
          </cell>
          <cell r="D622" t="str">
            <v>B</v>
          </cell>
          <cell r="E622">
            <v>1</v>
          </cell>
          <cell r="F622" t="str">
            <v>Hitelek,értékpapirok,kölcsönök,pénzforgalom nélküli bev.</v>
          </cell>
        </row>
        <row r="623">
          <cell r="A623" t="str">
            <v>30</v>
          </cell>
          <cell r="B623" t="str">
            <v>17</v>
          </cell>
          <cell r="C623" t="str">
            <v>1</v>
          </cell>
          <cell r="D623" t="str">
            <v>B</v>
          </cell>
          <cell r="E623">
            <v>1</v>
          </cell>
          <cell r="F623" t="str">
            <v>Helyi kisebbségi önkormányzat.bevételei össz.(22+...+29)</v>
          </cell>
        </row>
        <row r="624">
          <cell r="A624" t="str">
            <v>1</v>
          </cell>
          <cell r="B624" t="str">
            <v>21</v>
          </cell>
          <cell r="C624" t="str">
            <v>1</v>
          </cell>
          <cell r="D624" t="str">
            <v>B</v>
          </cell>
          <cell r="E624">
            <v>1</v>
          </cell>
          <cell r="F624" t="str">
            <v>Rendszeres személyi juttatások</v>
          </cell>
        </row>
        <row r="625">
          <cell r="A625" t="str">
            <v>2</v>
          </cell>
          <cell r="B625" t="str">
            <v>21</v>
          </cell>
          <cell r="C625" t="str">
            <v>1</v>
          </cell>
          <cell r="D625" t="str">
            <v>B</v>
          </cell>
          <cell r="E625">
            <v>1</v>
          </cell>
          <cell r="F625" t="str">
            <v>Nem rendszeres személyi juttatások</v>
          </cell>
        </row>
        <row r="626">
          <cell r="A626" t="str">
            <v>3</v>
          </cell>
          <cell r="B626" t="str">
            <v>21</v>
          </cell>
          <cell r="C626" t="str">
            <v>1</v>
          </cell>
          <cell r="D626" t="str">
            <v>B</v>
          </cell>
          <cell r="E626">
            <v>1</v>
          </cell>
          <cell r="F626" t="str">
            <v>Külsö személyi juttatások</v>
          </cell>
        </row>
        <row r="627">
          <cell r="A627" t="str">
            <v>4</v>
          </cell>
          <cell r="B627" t="str">
            <v>21</v>
          </cell>
          <cell r="C627" t="str">
            <v>1</v>
          </cell>
          <cell r="D627" t="str">
            <v>B</v>
          </cell>
          <cell r="E627">
            <v>1</v>
          </cell>
          <cell r="F627" t="str">
            <v>Munkaadokat terhelö járulékok</v>
          </cell>
        </row>
        <row r="628">
          <cell r="A628" t="str">
            <v>5</v>
          </cell>
          <cell r="B628" t="str">
            <v>21</v>
          </cell>
          <cell r="C628" t="str">
            <v>1</v>
          </cell>
          <cell r="D628" t="str">
            <v>B</v>
          </cell>
          <cell r="E628">
            <v>1</v>
          </cell>
          <cell r="F628" t="str">
            <v>Anyag és kis ért.t.eszk.szellemi term. besz.</v>
          </cell>
        </row>
        <row r="629">
          <cell r="A629" t="str">
            <v>6</v>
          </cell>
          <cell r="B629" t="str">
            <v>21</v>
          </cell>
          <cell r="C629" t="str">
            <v>1</v>
          </cell>
          <cell r="D629" t="str">
            <v>B</v>
          </cell>
          <cell r="E629">
            <v>1</v>
          </cell>
          <cell r="F629" t="str">
            <v>Dologi kiadások (05 sor nélkül)</v>
          </cell>
        </row>
        <row r="630">
          <cell r="A630" t="str">
            <v>7</v>
          </cell>
          <cell r="B630" t="str">
            <v>21</v>
          </cell>
          <cell r="C630" t="str">
            <v>1</v>
          </cell>
          <cell r="D630" t="str">
            <v>B</v>
          </cell>
          <cell r="E630">
            <v>1</v>
          </cell>
          <cell r="F630" t="str">
            <v>Egyéb folyo kiadások</v>
          </cell>
        </row>
        <row r="631">
          <cell r="A631" t="str">
            <v>8</v>
          </cell>
          <cell r="B631" t="str">
            <v>21</v>
          </cell>
          <cell r="C631" t="str">
            <v>1</v>
          </cell>
          <cell r="D631" t="str">
            <v>B</v>
          </cell>
          <cell r="E631">
            <v>1</v>
          </cell>
          <cell r="F631" t="str">
            <v>Mük.célu pénzeszközátadás non-profit szerv.</v>
          </cell>
        </row>
        <row r="632">
          <cell r="A632" t="str">
            <v>9</v>
          </cell>
          <cell r="B632" t="str">
            <v>21</v>
          </cell>
          <cell r="C632" t="str">
            <v>1</v>
          </cell>
          <cell r="D632" t="str">
            <v>B</v>
          </cell>
          <cell r="E632">
            <v>1</v>
          </cell>
          <cell r="F632" t="str">
            <v>Mük.célu pénzeszközátadás háztartásoknak</v>
          </cell>
        </row>
        <row r="633">
          <cell r="A633" t="str">
            <v>10</v>
          </cell>
          <cell r="B633" t="str">
            <v>21</v>
          </cell>
          <cell r="C633" t="str">
            <v>1</v>
          </cell>
          <cell r="D633" t="str">
            <v>B</v>
          </cell>
          <cell r="E633">
            <v>1</v>
          </cell>
          <cell r="F633" t="str">
            <v>Mük.célu p.e.átadás (önk.)nem pü-i vállalk.</v>
          </cell>
        </row>
        <row r="634">
          <cell r="A634" t="str">
            <v>11</v>
          </cell>
          <cell r="B634" t="str">
            <v>21</v>
          </cell>
          <cell r="C634" t="str">
            <v>1</v>
          </cell>
          <cell r="D634" t="str">
            <v>B</v>
          </cell>
          <cell r="E634">
            <v>1</v>
          </cell>
          <cell r="F634" t="str">
            <v>Mük.célu pénzeszközátadás pü-i vállalkozásnak</v>
          </cell>
        </row>
        <row r="635">
          <cell r="A635" t="str">
            <v>12</v>
          </cell>
          <cell r="B635" t="str">
            <v>21</v>
          </cell>
          <cell r="C635" t="str">
            <v>1</v>
          </cell>
          <cell r="D635" t="str">
            <v>B</v>
          </cell>
          <cell r="E635">
            <v>1</v>
          </cell>
          <cell r="F635" t="str">
            <v>Mük.célu pe.EM 62.cikkely.önk.többs.tul.vál.</v>
          </cell>
        </row>
        <row r="636">
          <cell r="A636" t="str">
            <v>13</v>
          </cell>
          <cell r="B636" t="str">
            <v>21</v>
          </cell>
          <cell r="C636" t="str">
            <v>1</v>
          </cell>
          <cell r="D636" t="str">
            <v>B</v>
          </cell>
          <cell r="E636">
            <v>1</v>
          </cell>
          <cell r="F636" t="str">
            <v>Mük.célu pe.EM 62.cikkely.nem önk.többs.t.vál.</v>
          </cell>
        </row>
        <row r="637">
          <cell r="A637" t="str">
            <v>14</v>
          </cell>
          <cell r="B637" t="str">
            <v>21</v>
          </cell>
          <cell r="C637" t="str">
            <v>1</v>
          </cell>
          <cell r="D637" t="str">
            <v>B</v>
          </cell>
          <cell r="E637">
            <v>1</v>
          </cell>
          <cell r="F637" t="str">
            <v>Mük.célu pe.EM 62.cikkely vállalk.(12+13)</v>
          </cell>
        </row>
        <row r="638">
          <cell r="A638" t="str">
            <v>15</v>
          </cell>
          <cell r="B638" t="str">
            <v>21</v>
          </cell>
          <cell r="C638" t="str">
            <v>1</v>
          </cell>
          <cell r="D638" t="str">
            <v>B</v>
          </cell>
          <cell r="E638">
            <v>1</v>
          </cell>
          <cell r="F638" t="str">
            <v>Mük.célu pe.nem 62.cikkely.önk.többs.tul.vál.</v>
          </cell>
        </row>
        <row r="639">
          <cell r="A639" t="str">
            <v>16</v>
          </cell>
          <cell r="B639" t="str">
            <v>21</v>
          </cell>
          <cell r="C639" t="str">
            <v>1</v>
          </cell>
          <cell r="D639" t="str">
            <v>B</v>
          </cell>
          <cell r="E639">
            <v>1</v>
          </cell>
          <cell r="F639" t="str">
            <v>Mük.célu pe.nem 62.cikkely.nem önk.több.t.vál.</v>
          </cell>
        </row>
        <row r="640">
          <cell r="A640" t="str">
            <v>17</v>
          </cell>
          <cell r="B640" t="str">
            <v>21</v>
          </cell>
          <cell r="C640" t="str">
            <v>1</v>
          </cell>
          <cell r="D640" t="str">
            <v>B</v>
          </cell>
          <cell r="E640">
            <v>1</v>
          </cell>
          <cell r="F640" t="str">
            <v>Mük.célu pénzeszközát.egyéb váll.(14+15+16)</v>
          </cell>
        </row>
        <row r="641">
          <cell r="A641" t="str">
            <v>18</v>
          </cell>
          <cell r="B641" t="str">
            <v>21</v>
          </cell>
          <cell r="C641" t="str">
            <v>1</v>
          </cell>
          <cell r="D641" t="str">
            <v>B</v>
          </cell>
          <cell r="E641">
            <v>1</v>
          </cell>
          <cell r="F641" t="str">
            <v>Mük.célu pénzeszközátadás EU-nak</v>
          </cell>
        </row>
        <row r="642">
          <cell r="A642" t="str">
            <v>19</v>
          </cell>
          <cell r="B642" t="str">
            <v>21</v>
          </cell>
          <cell r="C642" t="str">
            <v>1</v>
          </cell>
          <cell r="D642" t="str">
            <v>B</v>
          </cell>
          <cell r="E642">
            <v>1</v>
          </cell>
          <cell r="F642" t="str">
            <v>Mük.célu pe.átad.korm.és nemzetközi szerv.-nek</v>
          </cell>
        </row>
        <row r="643">
          <cell r="A643" t="str">
            <v>20</v>
          </cell>
          <cell r="B643" t="str">
            <v>21</v>
          </cell>
          <cell r="C643" t="str">
            <v>1</v>
          </cell>
          <cell r="D643" t="str">
            <v>B</v>
          </cell>
          <cell r="E643">
            <v>1</v>
          </cell>
          <cell r="F643" t="str">
            <v>Mük.célu pénzeszközátadás egyéb külföldinek</v>
          </cell>
        </row>
        <row r="644">
          <cell r="A644" t="str">
            <v>21</v>
          </cell>
          <cell r="B644" t="str">
            <v>21</v>
          </cell>
          <cell r="C644" t="str">
            <v>1</v>
          </cell>
          <cell r="D644" t="str">
            <v>B</v>
          </cell>
          <cell r="E644">
            <v>1</v>
          </cell>
          <cell r="F644" t="str">
            <v>Mük.célu pénzeszközátadás külföldinek(19+20)</v>
          </cell>
        </row>
        <row r="645">
          <cell r="A645" t="str">
            <v>22</v>
          </cell>
          <cell r="B645" t="str">
            <v>21</v>
          </cell>
          <cell r="C645" t="str">
            <v>1</v>
          </cell>
          <cell r="D645" t="str">
            <v>B</v>
          </cell>
          <cell r="E645">
            <v>1</v>
          </cell>
          <cell r="F645" t="str">
            <v>Mük.célu pe.átad.áht.kiv.(08+..+11+17+18+21)</v>
          </cell>
        </row>
        <row r="646">
          <cell r="A646" t="str">
            <v>23</v>
          </cell>
          <cell r="B646" t="str">
            <v>21</v>
          </cell>
          <cell r="C646" t="str">
            <v>1</v>
          </cell>
          <cell r="D646" t="str">
            <v>B</v>
          </cell>
          <cell r="E646">
            <v>1</v>
          </cell>
          <cell r="F646" t="str">
            <v>Mük.célu pénzeszközátad.fejezeten (önk.)belül</v>
          </cell>
        </row>
        <row r="647">
          <cell r="A647" t="str">
            <v>24</v>
          </cell>
          <cell r="B647" t="str">
            <v>21</v>
          </cell>
          <cell r="C647" t="str">
            <v>1</v>
          </cell>
          <cell r="D647" t="str">
            <v>B</v>
          </cell>
          <cell r="E647">
            <v>1</v>
          </cell>
          <cell r="F647" t="str">
            <v>Mük.célu pénzeszközátad.központi kgtv-i szerv.</v>
          </cell>
        </row>
        <row r="648">
          <cell r="A648" t="str">
            <v>25</v>
          </cell>
          <cell r="B648" t="str">
            <v>21</v>
          </cell>
          <cell r="C648" t="str">
            <v>1</v>
          </cell>
          <cell r="D648" t="str">
            <v>B</v>
          </cell>
          <cell r="E648">
            <v>1</v>
          </cell>
          <cell r="F648" t="str">
            <v>Mük.célu pénzeszközátad.önkorm-i kgtv-i szerv.</v>
          </cell>
        </row>
        <row r="649">
          <cell r="A649" t="str">
            <v>26</v>
          </cell>
          <cell r="B649" t="str">
            <v>21</v>
          </cell>
          <cell r="C649" t="str">
            <v>1</v>
          </cell>
          <cell r="D649" t="str">
            <v>B</v>
          </cell>
          <cell r="E649">
            <v>1</v>
          </cell>
          <cell r="F649" t="str">
            <v>Mük.célu pénzeszközátad.TB alapoknak és kezel.</v>
          </cell>
        </row>
        <row r="650">
          <cell r="A650" t="str">
            <v>27</v>
          </cell>
          <cell r="B650" t="str">
            <v>21</v>
          </cell>
          <cell r="C650" t="str">
            <v>1</v>
          </cell>
          <cell r="D650" t="str">
            <v>B</v>
          </cell>
          <cell r="E650">
            <v>1</v>
          </cell>
          <cell r="F650" t="str">
            <v>Mük.célu pénzeszközátad.elkül.állami pénzalap.</v>
          </cell>
        </row>
        <row r="651">
          <cell r="A651" t="str">
            <v>28</v>
          </cell>
          <cell r="B651" t="str">
            <v>21</v>
          </cell>
          <cell r="C651" t="str">
            <v>1</v>
          </cell>
          <cell r="D651" t="str">
            <v>B</v>
          </cell>
          <cell r="E651">
            <v>1</v>
          </cell>
          <cell r="F651" t="str">
            <v>Mük.célu pénzeszközátad.fejezeti kez.elöirány.</v>
          </cell>
        </row>
        <row r="652">
          <cell r="A652" t="str">
            <v>29</v>
          </cell>
          <cell r="B652" t="str">
            <v>21</v>
          </cell>
          <cell r="C652" t="str">
            <v>1</v>
          </cell>
          <cell r="D652" t="str">
            <v>B</v>
          </cell>
          <cell r="E652">
            <v>1</v>
          </cell>
          <cell r="F652" t="str">
            <v>Mük.célu pe.átad.államházt.bel. (23+...+28)</v>
          </cell>
        </row>
        <row r="653">
          <cell r="A653" t="str">
            <v>30</v>
          </cell>
          <cell r="B653" t="str">
            <v>21</v>
          </cell>
          <cell r="C653" t="str">
            <v>1</v>
          </cell>
          <cell r="D653" t="str">
            <v>B</v>
          </cell>
          <cell r="E653">
            <v>1</v>
          </cell>
          <cell r="F653" t="str">
            <v>Felh.célu pénzeszközátad.non-profit szerv-nek</v>
          </cell>
        </row>
        <row r="654">
          <cell r="A654" t="str">
            <v>31</v>
          </cell>
          <cell r="B654" t="str">
            <v>21</v>
          </cell>
          <cell r="C654" t="str">
            <v>1</v>
          </cell>
          <cell r="D654" t="str">
            <v>B</v>
          </cell>
          <cell r="E654">
            <v>1</v>
          </cell>
          <cell r="F654" t="str">
            <v>Lakásért fizetett pénzbeli térités</v>
          </cell>
        </row>
        <row r="655">
          <cell r="A655" t="str">
            <v>32</v>
          </cell>
          <cell r="B655" t="str">
            <v>21</v>
          </cell>
          <cell r="C655" t="str">
            <v>1</v>
          </cell>
          <cell r="D655" t="str">
            <v>B</v>
          </cell>
          <cell r="E655">
            <v>1</v>
          </cell>
          <cell r="F655" t="str">
            <v>Lakáshoz jutás pénzbeli tám.végleges jelleggel</v>
          </cell>
        </row>
        <row r="656">
          <cell r="A656" t="str">
            <v>33</v>
          </cell>
          <cell r="B656" t="str">
            <v>21</v>
          </cell>
          <cell r="C656" t="str">
            <v>1</v>
          </cell>
          <cell r="D656" t="str">
            <v>B</v>
          </cell>
          <cell r="E656">
            <v>1</v>
          </cell>
          <cell r="F656" t="str">
            <v>Egyéb pénzeszközátadás háztartásoknak</v>
          </cell>
        </row>
        <row r="657">
          <cell r="A657" t="str">
            <v>34</v>
          </cell>
          <cell r="B657" t="str">
            <v>21</v>
          </cell>
          <cell r="C657" t="str">
            <v>1</v>
          </cell>
          <cell r="D657" t="str">
            <v>B</v>
          </cell>
          <cell r="E657">
            <v>1</v>
          </cell>
          <cell r="F657" t="str">
            <v>Felh.célu pénzeszközátad.háztart.(31+32+33)</v>
          </cell>
        </row>
        <row r="658">
          <cell r="A658" t="str">
            <v>35</v>
          </cell>
          <cell r="B658" t="str">
            <v>21</v>
          </cell>
          <cell r="C658" t="str">
            <v>1</v>
          </cell>
          <cell r="D658" t="str">
            <v>B</v>
          </cell>
          <cell r="E658">
            <v>1</v>
          </cell>
          <cell r="F658" t="str">
            <v>Felh.célu p.e.átad.áll.(önk.)nem pü-i vállalk.</v>
          </cell>
        </row>
        <row r="659">
          <cell r="A659" t="str">
            <v>36</v>
          </cell>
          <cell r="B659" t="str">
            <v>21</v>
          </cell>
          <cell r="C659" t="str">
            <v>1</v>
          </cell>
          <cell r="D659" t="str">
            <v>B</v>
          </cell>
          <cell r="E659">
            <v>1</v>
          </cell>
          <cell r="F659" t="str">
            <v>Felh.célu pénzeszközátadás pü-i vállalkozásnak</v>
          </cell>
        </row>
        <row r="660">
          <cell r="A660" t="str">
            <v>37</v>
          </cell>
          <cell r="B660" t="str">
            <v>21</v>
          </cell>
          <cell r="C660" t="str">
            <v>1</v>
          </cell>
          <cell r="D660" t="str">
            <v>B</v>
          </cell>
          <cell r="E660">
            <v>1</v>
          </cell>
          <cell r="F660" t="str">
            <v>Felh.célu pe.EM 62.cikkely.önk.többs.tul.vál.</v>
          </cell>
        </row>
        <row r="661">
          <cell r="A661" t="str">
            <v>38</v>
          </cell>
          <cell r="B661" t="str">
            <v>21</v>
          </cell>
          <cell r="C661" t="str">
            <v>1</v>
          </cell>
          <cell r="D661" t="str">
            <v>B</v>
          </cell>
          <cell r="E661">
            <v>1</v>
          </cell>
          <cell r="F661" t="str">
            <v>Felh.célu pe.EM 62.cikkely.nem önk.többs.vál.</v>
          </cell>
        </row>
        <row r="662">
          <cell r="A662" t="str">
            <v>39</v>
          </cell>
          <cell r="B662" t="str">
            <v>21</v>
          </cell>
          <cell r="C662" t="str">
            <v>1</v>
          </cell>
          <cell r="D662" t="str">
            <v>B</v>
          </cell>
          <cell r="E662">
            <v>1</v>
          </cell>
          <cell r="F662" t="str">
            <v>Felh.célu pe.EM 62.cikkely vállalk.(37+38)</v>
          </cell>
        </row>
        <row r="663">
          <cell r="A663" t="str">
            <v>40</v>
          </cell>
          <cell r="B663" t="str">
            <v>21</v>
          </cell>
          <cell r="C663" t="str">
            <v>1</v>
          </cell>
          <cell r="D663" t="str">
            <v>B</v>
          </cell>
          <cell r="E663">
            <v>1</v>
          </cell>
          <cell r="F663" t="str">
            <v>Felh.célu pe.nem 62.cikkely.önk.többs.tul.vál.</v>
          </cell>
        </row>
        <row r="664">
          <cell r="A664" t="str">
            <v>41</v>
          </cell>
          <cell r="B664" t="str">
            <v>21</v>
          </cell>
          <cell r="C664" t="str">
            <v>1</v>
          </cell>
          <cell r="D664" t="str">
            <v>B</v>
          </cell>
          <cell r="E664">
            <v>1</v>
          </cell>
          <cell r="F664" t="str">
            <v>Felh.célu pe.nem 62.cikkely.nem önk.többs.vál.</v>
          </cell>
        </row>
        <row r="665">
          <cell r="A665" t="str">
            <v>42</v>
          </cell>
          <cell r="B665" t="str">
            <v>21</v>
          </cell>
          <cell r="C665" t="str">
            <v>1</v>
          </cell>
          <cell r="D665" t="str">
            <v>B</v>
          </cell>
          <cell r="E665">
            <v>1</v>
          </cell>
          <cell r="F665" t="str">
            <v>Felh.célu pénzeszközátad.egyéb váll.(39+40+41)</v>
          </cell>
        </row>
        <row r="666">
          <cell r="A666" t="str">
            <v>43</v>
          </cell>
          <cell r="B666" t="str">
            <v>21</v>
          </cell>
          <cell r="C666" t="str">
            <v>1</v>
          </cell>
          <cell r="D666" t="str">
            <v>B</v>
          </cell>
          <cell r="E666">
            <v>1</v>
          </cell>
          <cell r="F666" t="str">
            <v>Felh.célu pénzeszközátadás EU-nak</v>
          </cell>
        </row>
        <row r="667">
          <cell r="A667" t="str">
            <v>44</v>
          </cell>
          <cell r="B667" t="str">
            <v>21</v>
          </cell>
          <cell r="C667" t="str">
            <v>1</v>
          </cell>
          <cell r="D667" t="str">
            <v>B</v>
          </cell>
          <cell r="E667">
            <v>1</v>
          </cell>
          <cell r="F667" t="str">
            <v>Felh.célu pénzeszközátadás egyéb külföldinek</v>
          </cell>
        </row>
        <row r="668">
          <cell r="A668" t="str">
            <v>45</v>
          </cell>
          <cell r="B668" t="str">
            <v>21</v>
          </cell>
          <cell r="C668" t="str">
            <v>1</v>
          </cell>
          <cell r="D668" t="str">
            <v>B</v>
          </cell>
          <cell r="E668">
            <v>1</v>
          </cell>
          <cell r="F668" t="str">
            <v>Felh.célu pe.átad.korm.és nemzetközi szerv.-n</v>
          </cell>
        </row>
        <row r="669">
          <cell r="A669" t="str">
            <v>46</v>
          </cell>
          <cell r="B669" t="str">
            <v>21</v>
          </cell>
          <cell r="C669" t="str">
            <v>1</v>
          </cell>
          <cell r="D669" t="str">
            <v>B</v>
          </cell>
          <cell r="E669">
            <v>1</v>
          </cell>
          <cell r="F669" t="str">
            <v>Felh.célu pénzeszközátad.külföldiek.(44+45)</v>
          </cell>
        </row>
        <row r="670">
          <cell r="A670" t="str">
            <v>47</v>
          </cell>
          <cell r="B670" t="str">
            <v>21</v>
          </cell>
          <cell r="C670" t="str">
            <v>1</v>
          </cell>
          <cell r="D670" t="str">
            <v>B</v>
          </cell>
          <cell r="E670">
            <v>1</v>
          </cell>
          <cell r="F670" t="str">
            <v>Felh.c.pe.átad.áht.kiv.(30+34+..+36+42+43+46)</v>
          </cell>
        </row>
        <row r="671">
          <cell r="A671" t="str">
            <v>48</v>
          </cell>
          <cell r="B671" t="str">
            <v>21</v>
          </cell>
          <cell r="C671" t="str">
            <v>1</v>
          </cell>
          <cell r="D671" t="str">
            <v>B</v>
          </cell>
          <cell r="E671">
            <v>1</v>
          </cell>
          <cell r="F671" t="str">
            <v>Felh.célu pénzeszközátad.fejezeten(önk.)belül</v>
          </cell>
        </row>
        <row r="672">
          <cell r="A672" t="str">
            <v>49</v>
          </cell>
          <cell r="B672" t="str">
            <v>21</v>
          </cell>
          <cell r="C672" t="str">
            <v>1</v>
          </cell>
          <cell r="D672" t="str">
            <v>B</v>
          </cell>
          <cell r="E672">
            <v>1</v>
          </cell>
          <cell r="F672" t="str">
            <v>Felh.célu pénzeszközátad.közp. kgtv-i szervnek</v>
          </cell>
        </row>
        <row r="673">
          <cell r="A673" t="str">
            <v>50</v>
          </cell>
          <cell r="B673" t="str">
            <v>21</v>
          </cell>
          <cell r="C673" t="str">
            <v>1</v>
          </cell>
          <cell r="D673" t="str">
            <v>B</v>
          </cell>
          <cell r="E673">
            <v>1</v>
          </cell>
          <cell r="F673" t="str">
            <v>Felh.célu pénzeszközátad.önkorm-i kgtv-i szer.</v>
          </cell>
        </row>
        <row r="674">
          <cell r="A674" t="str">
            <v>51</v>
          </cell>
          <cell r="B674" t="str">
            <v>21</v>
          </cell>
          <cell r="C674" t="str">
            <v>1</v>
          </cell>
          <cell r="D674" t="str">
            <v>B</v>
          </cell>
          <cell r="E674">
            <v>1</v>
          </cell>
          <cell r="F674" t="str">
            <v>Felh.célu pénzeszközátad.TB alapnak és kezel.</v>
          </cell>
        </row>
        <row r="675">
          <cell r="A675" t="str">
            <v>52</v>
          </cell>
          <cell r="B675" t="str">
            <v>21</v>
          </cell>
          <cell r="C675" t="str">
            <v>1</v>
          </cell>
          <cell r="D675" t="str">
            <v>B</v>
          </cell>
          <cell r="E675">
            <v>1</v>
          </cell>
          <cell r="F675" t="str">
            <v>Felh.célu pénzeszközátad.elkül.áll. pénzalap.</v>
          </cell>
        </row>
        <row r="676">
          <cell r="A676" t="str">
            <v>53</v>
          </cell>
          <cell r="B676" t="str">
            <v>21</v>
          </cell>
          <cell r="C676" t="str">
            <v>1</v>
          </cell>
          <cell r="D676" t="str">
            <v>B</v>
          </cell>
          <cell r="E676">
            <v>1</v>
          </cell>
          <cell r="F676" t="str">
            <v>Felh.célu pénzeszközátad.fejezeti kez.elöirány</v>
          </cell>
        </row>
        <row r="677">
          <cell r="A677" t="str">
            <v>54</v>
          </cell>
          <cell r="B677" t="str">
            <v>21</v>
          </cell>
          <cell r="C677" t="str">
            <v>1</v>
          </cell>
          <cell r="D677" t="str">
            <v>B</v>
          </cell>
          <cell r="E677">
            <v>1</v>
          </cell>
          <cell r="F677" t="str">
            <v>Felh.célu pe.átad.államházt.bel. (48+..+53)</v>
          </cell>
        </row>
        <row r="678">
          <cell r="A678" t="str">
            <v>55</v>
          </cell>
          <cell r="B678" t="str">
            <v>21</v>
          </cell>
          <cell r="C678" t="str">
            <v>1</v>
          </cell>
          <cell r="D678" t="str">
            <v>B</v>
          </cell>
          <cell r="E678">
            <v>1</v>
          </cell>
          <cell r="F678" t="str">
            <v>Ellátottak pénzbeli juttatásai</v>
          </cell>
        </row>
        <row r="679">
          <cell r="A679" t="str">
            <v>56</v>
          </cell>
          <cell r="B679" t="str">
            <v>21</v>
          </cell>
          <cell r="C679" t="str">
            <v>1</v>
          </cell>
          <cell r="D679" t="str">
            <v>B</v>
          </cell>
          <cell r="E679">
            <v>1</v>
          </cell>
          <cell r="F679" t="str">
            <v>Támogatás és egyéb juttatás</v>
          </cell>
        </row>
        <row r="680">
          <cell r="A680" t="str">
            <v>57</v>
          </cell>
          <cell r="B680" t="str">
            <v>21</v>
          </cell>
          <cell r="C680" t="str">
            <v>1</v>
          </cell>
          <cell r="D680" t="str">
            <v>B</v>
          </cell>
          <cell r="E680">
            <v>1</v>
          </cell>
          <cell r="F680" t="str">
            <v>Felujitás</v>
          </cell>
        </row>
        <row r="681">
          <cell r="A681" t="str">
            <v>58</v>
          </cell>
          <cell r="B681" t="str">
            <v>21</v>
          </cell>
          <cell r="C681" t="str">
            <v>1</v>
          </cell>
          <cell r="D681" t="str">
            <v>B</v>
          </cell>
          <cell r="E681">
            <v>1</v>
          </cell>
          <cell r="F681" t="str">
            <v>Immateriális javak,t.eszk.vásárlása,létesit.</v>
          </cell>
        </row>
        <row r="682">
          <cell r="A682" t="str">
            <v>59</v>
          </cell>
          <cell r="B682" t="str">
            <v>21</v>
          </cell>
          <cell r="C682" t="str">
            <v>1</v>
          </cell>
          <cell r="D682" t="str">
            <v>B</v>
          </cell>
          <cell r="E682">
            <v>1</v>
          </cell>
          <cell r="F682" t="str">
            <v>Központi beruh.felhalm.célu pénzeszk.átadása</v>
          </cell>
        </row>
        <row r="683">
          <cell r="A683" t="str">
            <v>60</v>
          </cell>
          <cell r="B683" t="str">
            <v>21</v>
          </cell>
          <cell r="C683" t="str">
            <v>1</v>
          </cell>
          <cell r="D683" t="str">
            <v>B</v>
          </cell>
          <cell r="E683">
            <v>1</v>
          </cell>
          <cell r="F683" t="str">
            <v>Pénzügyi befektetések</v>
          </cell>
        </row>
        <row r="684">
          <cell r="A684" t="str">
            <v>61</v>
          </cell>
          <cell r="B684" t="str">
            <v>21</v>
          </cell>
          <cell r="C684" t="str">
            <v>1</v>
          </cell>
          <cell r="D684" t="str">
            <v>B</v>
          </cell>
          <cell r="E684">
            <v>1</v>
          </cell>
          <cell r="F684" t="str">
            <v>Kölcsönök nyujtása és törlesztése</v>
          </cell>
        </row>
        <row r="685">
          <cell r="A685" t="str">
            <v>62</v>
          </cell>
          <cell r="B685" t="str">
            <v>21</v>
          </cell>
          <cell r="C685" t="str">
            <v>1</v>
          </cell>
          <cell r="D685" t="str">
            <v>B</v>
          </cell>
          <cell r="E685">
            <v>1</v>
          </cell>
          <cell r="F685" t="str">
            <v>Pénzforg. kiad.(01+..+07+22+29+47+54+..+61)</v>
          </cell>
        </row>
        <row r="686">
          <cell r="A686" t="str">
            <v>63</v>
          </cell>
          <cell r="B686" t="str">
            <v>21</v>
          </cell>
          <cell r="C686" t="str">
            <v>1</v>
          </cell>
          <cell r="D686" t="str">
            <v>B</v>
          </cell>
          <cell r="E686">
            <v>1</v>
          </cell>
          <cell r="F686" t="str">
            <v>Pénzforgalom nélküli kiadások</v>
          </cell>
        </row>
        <row r="687">
          <cell r="A687" t="str">
            <v>64</v>
          </cell>
          <cell r="B687" t="str">
            <v>21</v>
          </cell>
          <cell r="C687" t="str">
            <v>1</v>
          </cell>
          <cell r="D687" t="str">
            <v>B</v>
          </cell>
          <cell r="E687">
            <v>1</v>
          </cell>
          <cell r="F687" t="str">
            <v>Költségvetési kiadások (62+63)</v>
          </cell>
        </row>
        <row r="688">
          <cell r="A688" t="str">
            <v>65</v>
          </cell>
          <cell r="B688" t="str">
            <v>21</v>
          </cell>
          <cell r="C688" t="str">
            <v>1</v>
          </cell>
          <cell r="D688" t="str">
            <v>B</v>
          </cell>
          <cell r="E688">
            <v>1</v>
          </cell>
          <cell r="F688" t="str">
            <v>Finanszirozás kiadásai</v>
          </cell>
        </row>
        <row r="689">
          <cell r="A689" t="str">
            <v>66</v>
          </cell>
          <cell r="B689" t="str">
            <v>21</v>
          </cell>
          <cell r="C689" t="str">
            <v>1</v>
          </cell>
          <cell r="D689" t="str">
            <v>B</v>
          </cell>
          <cell r="E689">
            <v>1</v>
          </cell>
          <cell r="F689" t="str">
            <v>Kiadások összesen (64+65)</v>
          </cell>
        </row>
        <row r="690">
          <cell r="A690" t="str">
            <v>67</v>
          </cell>
          <cell r="B690" t="str">
            <v>21</v>
          </cell>
          <cell r="C690" t="str">
            <v>1</v>
          </cell>
          <cell r="D690" t="str">
            <v>B</v>
          </cell>
          <cell r="E690">
            <v>1</v>
          </cell>
          <cell r="F690" t="str">
            <v>Int.üzemelt.kapcs.létszám(fö)-költ.eng.létszám</v>
          </cell>
        </row>
        <row r="691">
          <cell r="A691" t="str">
            <v>68</v>
          </cell>
          <cell r="B691" t="str">
            <v>21</v>
          </cell>
          <cell r="C691" t="str">
            <v>1</v>
          </cell>
          <cell r="D691" t="str">
            <v>B</v>
          </cell>
          <cell r="E691">
            <v>1</v>
          </cell>
          <cell r="F691" t="str">
            <v>Int.üzemelt.kapcs.létszám(fö)-stat.áll.létszám</v>
          </cell>
        </row>
        <row r="692">
          <cell r="A692" t="str">
            <v>69</v>
          </cell>
          <cell r="B692" t="str">
            <v>21</v>
          </cell>
          <cell r="C692" t="str">
            <v>1</v>
          </cell>
          <cell r="D692" t="str">
            <v>B</v>
          </cell>
          <cell r="E692">
            <v>1</v>
          </cell>
          <cell r="F692" t="str">
            <v>Szakmai tev.ellát.létszám(fö)-költ.eng.létszám</v>
          </cell>
        </row>
        <row r="693">
          <cell r="A693" t="str">
            <v>70</v>
          </cell>
          <cell r="B693" t="str">
            <v>21</v>
          </cell>
          <cell r="C693" t="str">
            <v>1</v>
          </cell>
          <cell r="D693" t="str">
            <v>B</v>
          </cell>
          <cell r="E693">
            <v>1</v>
          </cell>
          <cell r="F693" t="str">
            <v>Szakmai tev.ellát.létszám(fö)-stat.áll.létszám</v>
          </cell>
        </row>
        <row r="694">
          <cell r="A694" t="str">
            <v>1</v>
          </cell>
          <cell r="B694" t="str">
            <v>22</v>
          </cell>
          <cell r="C694" t="str">
            <v>1</v>
          </cell>
          <cell r="D694" t="str">
            <v>B</v>
          </cell>
          <cell r="E694">
            <v>1</v>
          </cell>
          <cell r="F694" t="str">
            <v>Intézményi müködési bevételek</v>
          </cell>
        </row>
        <row r="695">
          <cell r="A695" t="str">
            <v>2</v>
          </cell>
          <cell r="B695" t="str">
            <v>22</v>
          </cell>
          <cell r="C695" t="str">
            <v>1</v>
          </cell>
          <cell r="D695" t="str">
            <v>B</v>
          </cell>
          <cell r="E695">
            <v>1</v>
          </cell>
          <cell r="F695" t="str">
            <v>01-böl alaptevékenység bevételei</v>
          </cell>
        </row>
        <row r="696">
          <cell r="A696" t="str">
            <v>3</v>
          </cell>
          <cell r="B696" t="str">
            <v>22</v>
          </cell>
          <cell r="C696" t="str">
            <v>1</v>
          </cell>
          <cell r="D696" t="str">
            <v>B</v>
          </cell>
          <cell r="E696">
            <v>1</v>
          </cell>
          <cell r="F696" t="str">
            <v>01-böl alaptevékenységgel összef.egyéb bev.</v>
          </cell>
        </row>
        <row r="697">
          <cell r="A697" t="str">
            <v>4</v>
          </cell>
          <cell r="B697" t="str">
            <v>22</v>
          </cell>
          <cell r="C697" t="str">
            <v>1</v>
          </cell>
          <cell r="D697" t="str">
            <v>B</v>
          </cell>
          <cell r="E697">
            <v>1</v>
          </cell>
          <cell r="F697" t="str">
            <v>01-böl intézmények egyéb sajátos bevételei</v>
          </cell>
        </row>
        <row r="698">
          <cell r="A698" t="str">
            <v>5</v>
          </cell>
          <cell r="B698" t="str">
            <v>22</v>
          </cell>
          <cell r="C698" t="str">
            <v>1</v>
          </cell>
          <cell r="D698" t="str">
            <v>B</v>
          </cell>
          <cell r="E698">
            <v>1</v>
          </cell>
          <cell r="F698" t="str">
            <v>Önkormányzatok sajátos müködési bevételei</v>
          </cell>
        </row>
        <row r="699">
          <cell r="A699" t="str">
            <v>6</v>
          </cell>
          <cell r="B699" t="str">
            <v>22</v>
          </cell>
          <cell r="C699" t="str">
            <v>1</v>
          </cell>
          <cell r="D699" t="str">
            <v>B</v>
          </cell>
          <cell r="E699">
            <v>1</v>
          </cell>
          <cell r="F699" t="str">
            <v>Intézmények és önkorm. müködési bev.(01+05)</v>
          </cell>
        </row>
        <row r="700">
          <cell r="A700" t="str">
            <v>7</v>
          </cell>
          <cell r="B700" t="str">
            <v>22</v>
          </cell>
          <cell r="C700" t="str">
            <v>1</v>
          </cell>
          <cell r="D700" t="str">
            <v>B</v>
          </cell>
          <cell r="E700">
            <v>1</v>
          </cell>
          <cell r="F700" t="str">
            <v>Felhalmozási és töke jellegü bevételek</v>
          </cell>
        </row>
        <row r="701">
          <cell r="A701" t="str">
            <v>8</v>
          </cell>
          <cell r="B701" t="str">
            <v>22</v>
          </cell>
          <cell r="C701" t="str">
            <v>1</v>
          </cell>
          <cell r="D701" t="str">
            <v>B</v>
          </cell>
          <cell r="E701">
            <v>1</v>
          </cell>
          <cell r="F701" t="str">
            <v>Támogatások, kiegészitések és átvett pénze-ök</v>
          </cell>
        </row>
        <row r="702">
          <cell r="A702" t="str">
            <v>9</v>
          </cell>
          <cell r="B702" t="str">
            <v>22</v>
          </cell>
          <cell r="C702" t="str">
            <v>1</v>
          </cell>
          <cell r="D702" t="str">
            <v>B</v>
          </cell>
          <cell r="E702">
            <v>1</v>
          </cell>
          <cell r="F702" t="str">
            <v>08-bol felügyeleti szervtöl kapott támogat.</v>
          </cell>
        </row>
        <row r="703">
          <cell r="A703" t="str">
            <v>10</v>
          </cell>
          <cell r="B703" t="str">
            <v>22</v>
          </cell>
          <cell r="C703" t="str">
            <v>1</v>
          </cell>
          <cell r="D703" t="str">
            <v>B</v>
          </cell>
          <cell r="E703">
            <v>1</v>
          </cell>
          <cell r="F703" t="str">
            <v>08-bol önkormányzatok költségvetési támog.</v>
          </cell>
        </row>
        <row r="704">
          <cell r="A704" t="str">
            <v>11</v>
          </cell>
          <cell r="B704" t="str">
            <v>22</v>
          </cell>
          <cell r="C704" t="str">
            <v>1</v>
          </cell>
          <cell r="D704" t="str">
            <v>B</v>
          </cell>
          <cell r="E704">
            <v>1</v>
          </cell>
          <cell r="F704" t="str">
            <v>08-bol mük.c.p.eszközátvét. vállalkozástol</v>
          </cell>
        </row>
        <row r="705">
          <cell r="A705" t="str">
            <v>12</v>
          </cell>
          <cell r="B705" t="str">
            <v>22</v>
          </cell>
          <cell r="C705" t="str">
            <v>1</v>
          </cell>
          <cell r="D705" t="str">
            <v>B</v>
          </cell>
          <cell r="E705">
            <v>1</v>
          </cell>
          <cell r="F705" t="str">
            <v>08-bol mük.c.p.eszközátvét.háztartásoktol</v>
          </cell>
        </row>
        <row r="706">
          <cell r="A706" t="str">
            <v>13</v>
          </cell>
          <cell r="B706" t="str">
            <v>22</v>
          </cell>
          <cell r="C706" t="str">
            <v>1</v>
          </cell>
          <cell r="D706" t="str">
            <v>B</v>
          </cell>
          <cell r="E706">
            <v>1</v>
          </cell>
          <cell r="F706" t="str">
            <v>08-bol mük.c.p.eszközátvét.non-profit szerv.</v>
          </cell>
        </row>
        <row r="707">
          <cell r="A707" t="str">
            <v>14</v>
          </cell>
          <cell r="B707" t="str">
            <v>22</v>
          </cell>
          <cell r="C707" t="str">
            <v>1</v>
          </cell>
          <cell r="D707" t="str">
            <v>B</v>
          </cell>
          <cell r="E707">
            <v>1</v>
          </cell>
          <cell r="F707" t="str">
            <v>08-bol mük.c.p.eszközátvét.egyéb belf. forr.</v>
          </cell>
        </row>
        <row r="708">
          <cell r="A708" t="str">
            <v>15</v>
          </cell>
          <cell r="B708" t="str">
            <v>22</v>
          </cell>
          <cell r="C708" t="str">
            <v>1</v>
          </cell>
          <cell r="D708" t="str">
            <v>B</v>
          </cell>
          <cell r="E708">
            <v>1</v>
          </cell>
          <cell r="F708" t="str">
            <v>08-bol mük.c.pe.átvét.áht.kiv.belf(11+.+14)</v>
          </cell>
        </row>
        <row r="709">
          <cell r="A709" t="str">
            <v>16</v>
          </cell>
          <cell r="B709" t="str">
            <v>22</v>
          </cell>
          <cell r="C709" t="str">
            <v>1</v>
          </cell>
          <cell r="D709" t="str">
            <v>B</v>
          </cell>
          <cell r="E709">
            <v>1</v>
          </cell>
          <cell r="F709" t="str">
            <v>08-bol mük.c.kapott juttatások EU-tol</v>
          </cell>
        </row>
        <row r="710">
          <cell r="A710" t="str">
            <v>17</v>
          </cell>
          <cell r="B710" t="str">
            <v>22</v>
          </cell>
          <cell r="C710" t="str">
            <v>1</v>
          </cell>
          <cell r="D710" t="str">
            <v>B</v>
          </cell>
          <cell r="E710">
            <v>1</v>
          </cell>
          <cell r="F710" t="str">
            <v>08-bol mük.c.kapott jut.nemzetközi szerv-töl</v>
          </cell>
        </row>
        <row r="711">
          <cell r="A711" t="str">
            <v>18</v>
          </cell>
          <cell r="B711" t="str">
            <v>22</v>
          </cell>
          <cell r="C711" t="str">
            <v>1</v>
          </cell>
          <cell r="D711" t="str">
            <v>B</v>
          </cell>
          <cell r="E711">
            <v>1</v>
          </cell>
          <cell r="F711" t="str">
            <v>08-bol mük.c.kapott juttatások kormányoktol</v>
          </cell>
        </row>
        <row r="712">
          <cell r="A712" t="str">
            <v>19</v>
          </cell>
          <cell r="B712" t="str">
            <v>22</v>
          </cell>
          <cell r="C712" t="str">
            <v>1</v>
          </cell>
          <cell r="D712" t="str">
            <v>B</v>
          </cell>
          <cell r="E712">
            <v>1</v>
          </cell>
          <cell r="F712" t="str">
            <v>08-bol mük.c.kapott jut.külföldi magánforg.</v>
          </cell>
        </row>
        <row r="713">
          <cell r="A713" t="str">
            <v>20</v>
          </cell>
          <cell r="B713" t="str">
            <v>22</v>
          </cell>
          <cell r="C713" t="str">
            <v>1</v>
          </cell>
          <cell r="D713" t="str">
            <v>B</v>
          </cell>
          <cell r="E713">
            <v>1</v>
          </cell>
          <cell r="F713" t="str">
            <v>08-bol mük.c.pe.atvét.más külf.f.(17+18+19)</v>
          </cell>
        </row>
        <row r="714">
          <cell r="A714" t="str">
            <v>21</v>
          </cell>
          <cell r="B714" t="str">
            <v>22</v>
          </cell>
          <cell r="C714" t="str">
            <v>1</v>
          </cell>
          <cell r="D714" t="str">
            <v>B</v>
          </cell>
          <cell r="E714">
            <v>1</v>
          </cell>
          <cell r="F714" t="str">
            <v>08-bol mük.c.pe.átvét.államh.kiv.(15+16+20)</v>
          </cell>
        </row>
        <row r="715">
          <cell r="A715" t="str">
            <v>22</v>
          </cell>
          <cell r="B715" t="str">
            <v>22</v>
          </cell>
          <cell r="C715" t="str">
            <v>1</v>
          </cell>
          <cell r="D715" t="str">
            <v>B</v>
          </cell>
          <cell r="E715">
            <v>1</v>
          </cell>
          <cell r="F715" t="str">
            <v>08-bol mük.c.pe.átvét.fejezeten (önk.)belül</v>
          </cell>
        </row>
        <row r="716">
          <cell r="A716" t="str">
            <v>23</v>
          </cell>
          <cell r="B716" t="str">
            <v>22</v>
          </cell>
          <cell r="C716" t="str">
            <v>1</v>
          </cell>
          <cell r="D716" t="str">
            <v>B</v>
          </cell>
          <cell r="E716">
            <v>1</v>
          </cell>
          <cell r="F716" t="str">
            <v>08-bol mük.c.pe.átvét.központi kgtv-i szerv.</v>
          </cell>
        </row>
        <row r="717">
          <cell r="A717" t="str">
            <v>24</v>
          </cell>
          <cell r="B717" t="str">
            <v>22</v>
          </cell>
          <cell r="C717" t="str">
            <v>1</v>
          </cell>
          <cell r="D717" t="str">
            <v>B</v>
          </cell>
          <cell r="E717">
            <v>1</v>
          </cell>
          <cell r="F717" t="str">
            <v>08-bol mük.c.pe.átvét.önk.kgtv-i szervtöl</v>
          </cell>
        </row>
        <row r="718">
          <cell r="A718" t="str">
            <v>25</v>
          </cell>
          <cell r="B718" t="str">
            <v>22</v>
          </cell>
          <cell r="C718" t="str">
            <v>1</v>
          </cell>
          <cell r="D718" t="str">
            <v>B</v>
          </cell>
          <cell r="E718">
            <v>1</v>
          </cell>
          <cell r="F718" t="str">
            <v>08-bol mük.c.pe.átvét.tb alapoktol és kez.</v>
          </cell>
        </row>
        <row r="719">
          <cell r="A719" t="str">
            <v>26</v>
          </cell>
          <cell r="B719" t="str">
            <v>22</v>
          </cell>
          <cell r="C719" t="str">
            <v>1</v>
          </cell>
          <cell r="D719" t="str">
            <v>B</v>
          </cell>
          <cell r="E719">
            <v>1</v>
          </cell>
          <cell r="F719" t="str">
            <v>08-bol mük.c.pe.átvét.elkül.állami pénzalap.</v>
          </cell>
        </row>
        <row r="720">
          <cell r="A720" t="str">
            <v>27</v>
          </cell>
          <cell r="B720" t="str">
            <v>22</v>
          </cell>
          <cell r="C720" t="str">
            <v>1</v>
          </cell>
          <cell r="D720" t="str">
            <v>B</v>
          </cell>
          <cell r="E720">
            <v>1</v>
          </cell>
          <cell r="F720" t="str">
            <v>08-bol mük.c.pe.átvét.fejezeti kez.elöirány.</v>
          </cell>
        </row>
        <row r="721">
          <cell r="A721" t="str">
            <v>28</v>
          </cell>
          <cell r="B721" t="str">
            <v>22</v>
          </cell>
          <cell r="C721" t="str">
            <v>1</v>
          </cell>
          <cell r="D721" t="str">
            <v>B</v>
          </cell>
          <cell r="E721">
            <v>1</v>
          </cell>
          <cell r="F721" t="str">
            <v>08-bol mük.c.pe.átvét.államh.bel.(22+..+27)</v>
          </cell>
        </row>
        <row r="722">
          <cell r="A722" t="str">
            <v>29</v>
          </cell>
          <cell r="B722" t="str">
            <v>22</v>
          </cell>
          <cell r="C722" t="str">
            <v>1</v>
          </cell>
          <cell r="D722" t="str">
            <v>B</v>
          </cell>
          <cell r="E722">
            <v>1</v>
          </cell>
          <cell r="F722" t="str">
            <v>08-bol mük.célra kapott juttatások (21+28)</v>
          </cell>
        </row>
        <row r="723">
          <cell r="A723" t="str">
            <v>30</v>
          </cell>
          <cell r="B723" t="str">
            <v>22</v>
          </cell>
          <cell r="C723" t="str">
            <v>1</v>
          </cell>
          <cell r="D723" t="str">
            <v>B</v>
          </cell>
          <cell r="E723">
            <v>1</v>
          </cell>
          <cell r="F723" t="str">
            <v>08-bol felh.c.p.eszközátvét.háztartásoktol</v>
          </cell>
        </row>
        <row r="724">
          <cell r="A724" t="str">
            <v>31</v>
          </cell>
          <cell r="B724" t="str">
            <v>22</v>
          </cell>
          <cell r="C724" t="str">
            <v>1</v>
          </cell>
          <cell r="D724" t="str">
            <v>B</v>
          </cell>
          <cell r="E724">
            <v>1</v>
          </cell>
          <cell r="F724" t="str">
            <v>08-bol felh.c.p.eszközátvét.non-profit szer.</v>
          </cell>
        </row>
        <row r="725">
          <cell r="A725" t="str">
            <v>32</v>
          </cell>
          <cell r="B725" t="str">
            <v>22</v>
          </cell>
          <cell r="C725" t="str">
            <v>1</v>
          </cell>
          <cell r="D725" t="str">
            <v>B</v>
          </cell>
          <cell r="E725">
            <v>1</v>
          </cell>
          <cell r="F725" t="str">
            <v>08-bol felh.c.p.eszközátvét. vállalkozástol</v>
          </cell>
        </row>
        <row r="726">
          <cell r="A726" t="str">
            <v>33</v>
          </cell>
          <cell r="B726" t="str">
            <v>22</v>
          </cell>
          <cell r="C726" t="str">
            <v>1</v>
          </cell>
          <cell r="D726" t="str">
            <v>B</v>
          </cell>
          <cell r="E726">
            <v>1</v>
          </cell>
          <cell r="F726" t="str">
            <v>08-bol felh.c.p.eszközátvét.pü-i vállalkoz.</v>
          </cell>
        </row>
        <row r="727">
          <cell r="A727" t="str">
            <v>34</v>
          </cell>
          <cell r="B727" t="str">
            <v>22</v>
          </cell>
          <cell r="C727" t="str">
            <v>1</v>
          </cell>
          <cell r="D727" t="str">
            <v>B</v>
          </cell>
          <cell r="E727">
            <v>1</v>
          </cell>
          <cell r="F727" t="str">
            <v>08-bol felh.c.pe.átvét.állh.kiv.(30+.+33)</v>
          </cell>
        </row>
        <row r="728">
          <cell r="A728" t="str">
            <v>35</v>
          </cell>
          <cell r="B728" t="str">
            <v>22</v>
          </cell>
          <cell r="C728" t="str">
            <v>1</v>
          </cell>
          <cell r="D728" t="str">
            <v>B</v>
          </cell>
          <cell r="E728">
            <v>1</v>
          </cell>
          <cell r="F728" t="str">
            <v>08-bol felh.c.kapott juttatások EU-tol</v>
          </cell>
        </row>
        <row r="729">
          <cell r="A729" t="str">
            <v>36</v>
          </cell>
          <cell r="B729" t="str">
            <v>22</v>
          </cell>
          <cell r="C729" t="str">
            <v>1</v>
          </cell>
          <cell r="D729" t="str">
            <v>B</v>
          </cell>
          <cell r="E729">
            <v>1</v>
          </cell>
          <cell r="F729" t="str">
            <v>08-bol felh.c.kapott jut.nemzetközi szerv-t.</v>
          </cell>
        </row>
        <row r="730">
          <cell r="A730" t="str">
            <v>37</v>
          </cell>
          <cell r="B730" t="str">
            <v>22</v>
          </cell>
          <cell r="C730" t="str">
            <v>1</v>
          </cell>
          <cell r="D730" t="str">
            <v>B</v>
          </cell>
          <cell r="E730">
            <v>1</v>
          </cell>
          <cell r="F730" t="str">
            <v>08-bol felh.c.kapott juttatások kormányoktol</v>
          </cell>
        </row>
        <row r="731">
          <cell r="A731" t="str">
            <v>38</v>
          </cell>
          <cell r="B731" t="str">
            <v>22</v>
          </cell>
          <cell r="C731" t="str">
            <v>1</v>
          </cell>
          <cell r="D731" t="str">
            <v>B</v>
          </cell>
          <cell r="E731">
            <v>1</v>
          </cell>
          <cell r="F731" t="str">
            <v>08-bol felh.c.kapott jut.külföldi magánforr.</v>
          </cell>
        </row>
        <row r="732">
          <cell r="A732" t="str">
            <v>39</v>
          </cell>
          <cell r="B732" t="str">
            <v>22</v>
          </cell>
          <cell r="C732" t="str">
            <v>1</v>
          </cell>
          <cell r="D732" t="str">
            <v>B</v>
          </cell>
          <cell r="E732">
            <v>1</v>
          </cell>
          <cell r="F732" t="str">
            <v>08-bol felh.c.pe.kapott más külf.(36+37+38)</v>
          </cell>
        </row>
        <row r="733">
          <cell r="A733" t="str">
            <v>40</v>
          </cell>
          <cell r="B733" t="str">
            <v>22</v>
          </cell>
          <cell r="C733" t="str">
            <v>1</v>
          </cell>
          <cell r="D733" t="str">
            <v>B</v>
          </cell>
          <cell r="E733">
            <v>1</v>
          </cell>
          <cell r="F733" t="str">
            <v>08-bol felh.c.pe.átvét.államh.kiv(34+35+39)</v>
          </cell>
        </row>
        <row r="734">
          <cell r="A734" t="str">
            <v>41</v>
          </cell>
          <cell r="B734" t="str">
            <v>22</v>
          </cell>
          <cell r="C734" t="str">
            <v>1</v>
          </cell>
          <cell r="D734" t="str">
            <v>B</v>
          </cell>
          <cell r="E734">
            <v>1</v>
          </cell>
          <cell r="F734" t="str">
            <v>08-bol felh.c.pe.átvét.fejezeten (önk.)belül</v>
          </cell>
        </row>
        <row r="735">
          <cell r="A735" t="str">
            <v>42</v>
          </cell>
          <cell r="B735" t="str">
            <v>22</v>
          </cell>
          <cell r="C735" t="str">
            <v>1</v>
          </cell>
          <cell r="D735" t="str">
            <v>B</v>
          </cell>
          <cell r="E735">
            <v>1</v>
          </cell>
          <cell r="F735" t="str">
            <v>08-bol felh.c.pe.átvét.központi kgtv-i szer.</v>
          </cell>
        </row>
        <row r="736">
          <cell r="A736" t="str">
            <v>43</v>
          </cell>
          <cell r="B736" t="str">
            <v>22</v>
          </cell>
          <cell r="C736" t="str">
            <v>1</v>
          </cell>
          <cell r="D736" t="str">
            <v>B</v>
          </cell>
          <cell r="E736">
            <v>1</v>
          </cell>
          <cell r="F736" t="str">
            <v>08-bol felh.c.pe.átvét.önk.kgtv-i szervtöl</v>
          </cell>
        </row>
        <row r="737">
          <cell r="A737" t="str">
            <v>44</v>
          </cell>
          <cell r="B737" t="str">
            <v>22</v>
          </cell>
          <cell r="C737" t="str">
            <v>1</v>
          </cell>
          <cell r="D737" t="str">
            <v>B</v>
          </cell>
          <cell r="E737">
            <v>1</v>
          </cell>
          <cell r="F737" t="str">
            <v>08-bol felh.c.pe.átvét.tb alapoktol és kez.</v>
          </cell>
        </row>
        <row r="738">
          <cell r="A738" t="str">
            <v>45</v>
          </cell>
          <cell r="B738" t="str">
            <v>22</v>
          </cell>
          <cell r="C738" t="str">
            <v>1</v>
          </cell>
          <cell r="D738" t="str">
            <v>B</v>
          </cell>
          <cell r="E738">
            <v>1</v>
          </cell>
          <cell r="F738" t="str">
            <v>08-bol felh.c.pe.átvét.elkül.állami pénzalap</v>
          </cell>
        </row>
        <row r="739">
          <cell r="A739" t="str">
            <v>46</v>
          </cell>
          <cell r="B739" t="str">
            <v>22</v>
          </cell>
          <cell r="C739" t="str">
            <v>1</v>
          </cell>
          <cell r="D739" t="str">
            <v>B</v>
          </cell>
          <cell r="E739">
            <v>1</v>
          </cell>
          <cell r="F739" t="str">
            <v>08-bol felh.c.pe.átvét.fejezeti kez.elöir.</v>
          </cell>
        </row>
        <row r="740">
          <cell r="A740" t="str">
            <v>47</v>
          </cell>
          <cell r="B740" t="str">
            <v>22</v>
          </cell>
          <cell r="C740" t="str">
            <v>1</v>
          </cell>
          <cell r="D740" t="str">
            <v>B</v>
          </cell>
          <cell r="E740">
            <v>1</v>
          </cell>
          <cell r="F740" t="str">
            <v>08-bol felh.c.pe.átvét.államh.bel(41+..+46)</v>
          </cell>
        </row>
        <row r="741">
          <cell r="A741" t="str">
            <v>48</v>
          </cell>
          <cell r="B741" t="str">
            <v>22</v>
          </cell>
          <cell r="C741" t="str">
            <v>1</v>
          </cell>
          <cell r="D741" t="str">
            <v>B</v>
          </cell>
          <cell r="E741">
            <v>1</v>
          </cell>
          <cell r="F741" t="str">
            <v>08-bol felh.célu p.eszközátvételek (40+47)</v>
          </cell>
        </row>
        <row r="742">
          <cell r="A742" t="str">
            <v>49</v>
          </cell>
          <cell r="B742" t="str">
            <v>22</v>
          </cell>
          <cell r="C742" t="str">
            <v>1</v>
          </cell>
          <cell r="D742" t="str">
            <v>B</v>
          </cell>
          <cell r="E742">
            <v>1</v>
          </cell>
          <cell r="F742" t="str">
            <v>Támogat.kölcsönök igénybevétele és visszatér.</v>
          </cell>
        </row>
        <row r="743">
          <cell r="A743" t="str">
            <v>50</v>
          </cell>
          <cell r="B743" t="str">
            <v>22</v>
          </cell>
          <cell r="C743" t="str">
            <v>1</v>
          </cell>
          <cell r="D743" t="str">
            <v>B</v>
          </cell>
          <cell r="E743">
            <v>1</v>
          </cell>
          <cell r="F743" t="str">
            <v>Pénzforgalmi bevételek (06+07+08+49)</v>
          </cell>
        </row>
        <row r="744">
          <cell r="A744" t="str">
            <v>51</v>
          </cell>
          <cell r="B744" t="str">
            <v>22</v>
          </cell>
          <cell r="C744" t="str">
            <v>1</v>
          </cell>
          <cell r="D744" t="str">
            <v>B</v>
          </cell>
          <cell r="E744">
            <v>1</v>
          </cell>
          <cell r="F744" t="str">
            <v>Pénzforgalom nélküli bevételek</v>
          </cell>
        </row>
        <row r="745">
          <cell r="A745" t="str">
            <v>52</v>
          </cell>
          <cell r="B745" t="str">
            <v>22</v>
          </cell>
          <cell r="C745" t="str">
            <v>1</v>
          </cell>
          <cell r="D745" t="str">
            <v>B</v>
          </cell>
          <cell r="E745">
            <v>1</v>
          </cell>
          <cell r="F745" t="str">
            <v>Költségvetési bevételek (50+51)</v>
          </cell>
        </row>
        <row r="746">
          <cell r="A746" t="str">
            <v>53</v>
          </cell>
          <cell r="B746" t="str">
            <v>22</v>
          </cell>
          <cell r="C746" t="str">
            <v>1</v>
          </cell>
          <cell r="D746" t="str">
            <v>B</v>
          </cell>
          <cell r="E746">
            <v>1</v>
          </cell>
          <cell r="F746" t="str">
            <v>Finanszirozás bevételei</v>
          </cell>
        </row>
        <row r="747">
          <cell r="A747" t="str">
            <v>54</v>
          </cell>
          <cell r="B747" t="str">
            <v>22</v>
          </cell>
          <cell r="C747" t="str">
            <v>1</v>
          </cell>
          <cell r="D747" t="str">
            <v>B</v>
          </cell>
          <cell r="E747">
            <v>1</v>
          </cell>
          <cell r="F747" t="str">
            <v>Bevételek összesen (52+53)</v>
          </cell>
        </row>
        <row r="748">
          <cell r="A748" t="str">
            <v>1</v>
          </cell>
          <cell r="B748" t="str">
            <v>23</v>
          </cell>
          <cell r="C748" t="str">
            <v>1</v>
          </cell>
          <cell r="D748" t="str">
            <v>B</v>
          </cell>
          <cell r="E748">
            <v>1</v>
          </cell>
          <cell r="F748" t="str">
            <v>Személyi juttatások (02/49)</v>
          </cell>
        </row>
        <row r="749">
          <cell r="A749" t="str">
            <v>2</v>
          </cell>
          <cell r="B749" t="str">
            <v>23</v>
          </cell>
          <cell r="C749" t="str">
            <v>1</v>
          </cell>
          <cell r="D749" t="str">
            <v>B</v>
          </cell>
          <cell r="E749">
            <v>1</v>
          </cell>
          <cell r="F749" t="str">
            <v>Munkaadokat terhelö járulék (02/56)</v>
          </cell>
        </row>
        <row r="750">
          <cell r="A750" t="str">
            <v>3</v>
          </cell>
          <cell r="B750" t="str">
            <v>23</v>
          </cell>
          <cell r="C750" t="str">
            <v>1</v>
          </cell>
          <cell r="D750" t="str">
            <v>B</v>
          </cell>
          <cell r="E750">
            <v>1</v>
          </cell>
          <cell r="F750" t="str">
            <v>Dologi kiadások (03/53-03/51)</v>
          </cell>
        </row>
        <row r="751">
          <cell r="A751" t="str">
            <v>4</v>
          </cell>
          <cell r="B751" t="str">
            <v>23</v>
          </cell>
          <cell r="C751" t="str">
            <v>1</v>
          </cell>
          <cell r="D751" t="str">
            <v>B</v>
          </cell>
          <cell r="E751">
            <v>1</v>
          </cell>
          <cell r="F751" t="str">
            <v>Ellátottak pénzbeli juttatásai (04/17)</v>
          </cell>
        </row>
        <row r="752">
          <cell r="A752" t="str">
            <v>5</v>
          </cell>
          <cell r="B752" t="str">
            <v>23</v>
          </cell>
          <cell r="C752" t="str">
            <v>1</v>
          </cell>
          <cell r="D752" t="str">
            <v>B</v>
          </cell>
          <cell r="E752">
            <v>1</v>
          </cell>
          <cell r="F752" t="str">
            <v>Egyéb mük.célu támog.,folyo kiad.(04/01+02+03+10+18+...+21)</v>
          </cell>
        </row>
        <row r="753">
          <cell r="A753" t="str">
            <v>6</v>
          </cell>
          <cell r="B753" t="str">
            <v>23</v>
          </cell>
          <cell r="C753" t="str">
            <v>1</v>
          </cell>
          <cell r="D753" t="str">
            <v>B</v>
          </cell>
          <cell r="E753">
            <v>1</v>
          </cell>
          <cell r="F753" t="str">
            <v>Kamatkiadások (03/51)</v>
          </cell>
        </row>
        <row r="754">
          <cell r="A754" t="str">
            <v>7</v>
          </cell>
          <cell r="B754" t="str">
            <v>23</v>
          </cell>
          <cell r="C754" t="str">
            <v>1</v>
          </cell>
          <cell r="D754" t="str">
            <v>B</v>
          </cell>
          <cell r="E754">
            <v>1</v>
          </cell>
          <cell r="F754" t="str">
            <v>Müködési költségvetés (01+...+06)</v>
          </cell>
        </row>
        <row r="755">
          <cell r="A755" t="str">
            <v>8</v>
          </cell>
          <cell r="B755" t="str">
            <v>23</v>
          </cell>
          <cell r="C755" t="str">
            <v>1</v>
          </cell>
          <cell r="D755" t="str">
            <v>B</v>
          </cell>
          <cell r="E755">
            <v>1</v>
          </cell>
          <cell r="F755" t="str">
            <v>Intézményi beruházási kiadások (05/12+05/26)</v>
          </cell>
        </row>
        <row r="756">
          <cell r="A756" t="str">
            <v>9</v>
          </cell>
          <cell r="B756" t="str">
            <v>23</v>
          </cell>
          <cell r="C756" t="str">
            <v>1</v>
          </cell>
          <cell r="D756" t="str">
            <v>B</v>
          </cell>
          <cell r="E756">
            <v>1</v>
          </cell>
          <cell r="F756" t="str">
            <v>Felujitás (05/05)</v>
          </cell>
        </row>
        <row r="757">
          <cell r="A757" t="str">
            <v>10</v>
          </cell>
          <cell r="B757" t="str">
            <v>23</v>
          </cell>
          <cell r="C757" t="str">
            <v>1</v>
          </cell>
          <cell r="D757" t="str">
            <v>B</v>
          </cell>
          <cell r="E757">
            <v>1</v>
          </cell>
          <cell r="F757" t="str">
            <v>Egyéb intézményi felhalm.kiad.(04/04+05+ 05/25+29+30+37)</v>
          </cell>
        </row>
        <row r="758">
          <cell r="A758" t="str">
            <v>11</v>
          </cell>
          <cell r="B758" t="str">
            <v>23</v>
          </cell>
          <cell r="C758" t="str">
            <v>1</v>
          </cell>
          <cell r="D758" t="str">
            <v>B</v>
          </cell>
          <cell r="E758">
            <v>1</v>
          </cell>
          <cell r="F758" t="str">
            <v>Központi beruházási kiadások (05/20+05/27)</v>
          </cell>
        </row>
        <row r="759">
          <cell r="A759" t="str">
            <v>12</v>
          </cell>
          <cell r="B759" t="str">
            <v>23</v>
          </cell>
          <cell r="C759" t="str">
            <v>1</v>
          </cell>
          <cell r="D759" t="str">
            <v>B</v>
          </cell>
          <cell r="E759">
            <v>1</v>
          </cell>
          <cell r="F759" t="str">
            <v>Lakástámogatás (05/22)</v>
          </cell>
        </row>
        <row r="760">
          <cell r="A760" t="str">
            <v>13</v>
          </cell>
          <cell r="B760" t="str">
            <v>23</v>
          </cell>
          <cell r="C760" t="str">
            <v>1</v>
          </cell>
          <cell r="D760" t="str">
            <v>B</v>
          </cell>
          <cell r="E760">
            <v>1</v>
          </cell>
          <cell r="F760" t="str">
            <v>Lakásépités (05/24+05/28)</v>
          </cell>
        </row>
        <row r="761">
          <cell r="A761" t="str">
            <v>14</v>
          </cell>
          <cell r="B761" t="str">
            <v>23</v>
          </cell>
          <cell r="C761" t="str">
            <v>1</v>
          </cell>
          <cell r="D761" t="str">
            <v>B</v>
          </cell>
          <cell r="E761">
            <v>1</v>
          </cell>
          <cell r="F761" t="str">
            <v>Felhalmozási kiadások (08+...+13)</v>
          </cell>
        </row>
        <row r="762">
          <cell r="A762" t="str">
            <v>15</v>
          </cell>
          <cell r="B762" t="str">
            <v>23</v>
          </cell>
          <cell r="C762" t="str">
            <v>1</v>
          </cell>
          <cell r="D762" t="str">
            <v>B</v>
          </cell>
          <cell r="E762">
            <v>1</v>
          </cell>
          <cell r="F762" t="str">
            <v>Kölcsön nyujtása,törlesztése (06/53)</v>
          </cell>
        </row>
        <row r="763">
          <cell r="A763" t="str">
            <v>16</v>
          </cell>
          <cell r="B763" t="str">
            <v>23</v>
          </cell>
          <cell r="C763" t="str">
            <v>1</v>
          </cell>
          <cell r="D763" t="str">
            <v>B</v>
          </cell>
          <cell r="E763">
            <v>1</v>
          </cell>
          <cell r="F763" t="str">
            <v>Pénzforgalom nélküli kiadások (06/69+06/70)</v>
          </cell>
        </row>
        <row r="764">
          <cell r="A764" t="str">
            <v>17</v>
          </cell>
          <cell r="B764" t="str">
            <v>23</v>
          </cell>
          <cell r="C764" t="str">
            <v>1</v>
          </cell>
          <cell r="D764" t="str">
            <v>B</v>
          </cell>
          <cell r="E764">
            <v>1</v>
          </cell>
          <cell r="F764" t="str">
            <v>Költségvetési kiadások összesen  (07+14+15+16)</v>
          </cell>
        </row>
        <row r="765">
          <cell r="A765" t="str">
            <v>18</v>
          </cell>
          <cell r="B765" t="str">
            <v>23</v>
          </cell>
          <cell r="C765" t="str">
            <v>1</v>
          </cell>
          <cell r="D765" t="str">
            <v>B</v>
          </cell>
          <cell r="E765">
            <v>1</v>
          </cell>
          <cell r="F765" t="str">
            <v>Alap- és vállalkozási tev.közötti elszámolások (06/71)</v>
          </cell>
        </row>
        <row r="766">
          <cell r="A766" t="str">
            <v>19</v>
          </cell>
          <cell r="B766" t="str">
            <v>23</v>
          </cell>
          <cell r="C766" t="str">
            <v>1</v>
          </cell>
          <cell r="D766" t="str">
            <v>B</v>
          </cell>
          <cell r="E766">
            <v>1</v>
          </cell>
          <cell r="F766" t="str">
            <v>Finanszirozás kiadásai (06/ 63+68+76)</v>
          </cell>
        </row>
        <row r="767">
          <cell r="A767" t="str">
            <v>20</v>
          </cell>
          <cell r="B767" t="str">
            <v>23</v>
          </cell>
          <cell r="C767" t="str">
            <v>1</v>
          </cell>
          <cell r="D767" t="str">
            <v>B</v>
          </cell>
          <cell r="E767">
            <v>1</v>
          </cell>
          <cell r="F767" t="str">
            <v>K i a d á s o k  ö s s z e s e n  (17+18+19)</v>
          </cell>
        </row>
        <row r="768">
          <cell r="A768" t="str">
            <v>21</v>
          </cell>
          <cell r="B768" t="str">
            <v>23</v>
          </cell>
          <cell r="C768" t="str">
            <v>1</v>
          </cell>
          <cell r="D768" t="str">
            <v>B</v>
          </cell>
          <cell r="E768">
            <v>1</v>
          </cell>
          <cell r="F768" t="str">
            <v>Müködési költségvetés bevételei (07/30+35 +09/11+12+13)</v>
          </cell>
        </row>
        <row r="769">
          <cell r="A769" t="str">
            <v>22</v>
          </cell>
          <cell r="B769" t="str">
            <v>23</v>
          </cell>
          <cell r="C769" t="str">
            <v>1</v>
          </cell>
          <cell r="D769" t="str">
            <v>B</v>
          </cell>
          <cell r="E769">
            <v>1</v>
          </cell>
          <cell r="F769" t="str">
            <v>Felhalmozási bevételek (08/15+09/14+09/15)</v>
          </cell>
        </row>
        <row r="770">
          <cell r="A770" t="str">
            <v>23</v>
          </cell>
          <cell r="B770" t="str">
            <v>23</v>
          </cell>
          <cell r="C770" t="str">
            <v>1</v>
          </cell>
          <cell r="D770" t="str">
            <v>B</v>
          </cell>
          <cell r="E770">
            <v>1</v>
          </cell>
          <cell r="F770" t="str">
            <v>Támogatási kölcsönök igénybevétele,visszatér.(10/25+10/50)</v>
          </cell>
        </row>
        <row r="771">
          <cell r="A771" t="str">
            <v>24</v>
          </cell>
          <cell r="B771" t="str">
            <v>23</v>
          </cell>
          <cell r="C771" t="str">
            <v>1</v>
          </cell>
          <cell r="D771" t="str">
            <v>B</v>
          </cell>
          <cell r="E771">
            <v>1</v>
          </cell>
          <cell r="F771" t="str">
            <v>Költségvetési támogatás ( 09/04 vagy 09/05)</v>
          </cell>
        </row>
        <row r="772">
          <cell r="A772" t="str">
            <v>25</v>
          </cell>
          <cell r="B772" t="str">
            <v>23</v>
          </cell>
          <cell r="C772" t="str">
            <v>1</v>
          </cell>
          <cell r="D772" t="str">
            <v>B</v>
          </cell>
          <cell r="E772">
            <v>1</v>
          </cell>
          <cell r="F772" t="str">
            <v>Pénzforgalom nélküli bevételek (10/70+10/71)</v>
          </cell>
        </row>
        <row r="773">
          <cell r="A773" t="str">
            <v>26</v>
          </cell>
          <cell r="B773" t="str">
            <v>23</v>
          </cell>
          <cell r="C773" t="str">
            <v>1</v>
          </cell>
          <cell r="D773" t="str">
            <v>B</v>
          </cell>
          <cell r="E773">
            <v>1</v>
          </cell>
          <cell r="F773" t="str">
            <v>Költségvetési bevételek összesen  (21+..+25)</v>
          </cell>
        </row>
        <row r="774">
          <cell r="A774" t="str">
            <v>27</v>
          </cell>
          <cell r="B774" t="str">
            <v>23</v>
          </cell>
          <cell r="C774" t="str">
            <v>1</v>
          </cell>
          <cell r="D774" t="str">
            <v>B</v>
          </cell>
          <cell r="E774">
            <v>1</v>
          </cell>
          <cell r="F774" t="str">
            <v>Alap- és vállalkozási tev.közötti elszámolások (10/72)</v>
          </cell>
        </row>
        <row r="775">
          <cell r="A775" t="str">
            <v>28</v>
          </cell>
          <cell r="B775" t="str">
            <v>23</v>
          </cell>
          <cell r="C775" t="str">
            <v>1</v>
          </cell>
          <cell r="D775" t="str">
            <v>B</v>
          </cell>
          <cell r="E775">
            <v>1</v>
          </cell>
          <cell r="F775" t="str">
            <v>Finanszirozás bevételei (10/64+69+77)</v>
          </cell>
        </row>
        <row r="776">
          <cell r="A776" t="str">
            <v>29</v>
          </cell>
          <cell r="B776" t="str">
            <v>23</v>
          </cell>
          <cell r="C776" t="str">
            <v>1</v>
          </cell>
          <cell r="D776" t="str">
            <v>B</v>
          </cell>
          <cell r="E776">
            <v>1</v>
          </cell>
          <cell r="F776" t="str">
            <v>B e v é t e l e k  ö s s z e s e n  (26+27+28)</v>
          </cell>
        </row>
        <row r="777">
          <cell r="A777" t="str">
            <v>1</v>
          </cell>
          <cell r="B777" t="str">
            <v>24</v>
          </cell>
          <cell r="C777" t="str">
            <v>1</v>
          </cell>
          <cell r="D777" t="str">
            <v>B</v>
          </cell>
          <cell r="E777">
            <v>1</v>
          </cell>
          <cell r="F777" t="str">
            <v>Pénzkészlet tárgyidö.elején-Költs.bankszámlák egyenlege</v>
          </cell>
        </row>
        <row r="778">
          <cell r="A778" t="str">
            <v>2</v>
          </cell>
          <cell r="B778" t="str">
            <v>24</v>
          </cell>
          <cell r="C778" t="str">
            <v>1</v>
          </cell>
          <cell r="D778" t="str">
            <v>B</v>
          </cell>
          <cell r="E778">
            <v>1</v>
          </cell>
          <cell r="F778" t="str">
            <v>Pénzkészlet tárgyidö.elején-Pénztár,betétkönyv.egyenlege</v>
          </cell>
        </row>
        <row r="779">
          <cell r="A779" t="str">
            <v>3</v>
          </cell>
          <cell r="B779" t="str">
            <v>24</v>
          </cell>
          <cell r="C779" t="str">
            <v>1</v>
          </cell>
          <cell r="D779" t="str">
            <v>B</v>
          </cell>
          <cell r="E779">
            <v>1</v>
          </cell>
          <cell r="F779" t="str">
            <v>Pénzkészlet   Ö S S Z E S E N       (01+02)</v>
          </cell>
        </row>
        <row r="780">
          <cell r="A780" t="str">
            <v>4</v>
          </cell>
          <cell r="B780" t="str">
            <v>24</v>
          </cell>
          <cell r="C780" t="str">
            <v>1</v>
          </cell>
          <cell r="D780" t="str">
            <v>B</v>
          </cell>
          <cell r="E780">
            <v>1</v>
          </cell>
          <cell r="F780" t="str">
            <v>Bevételek                                           (+)</v>
          </cell>
        </row>
        <row r="781">
          <cell r="A781" t="str">
            <v>5</v>
          </cell>
          <cell r="B781" t="str">
            <v>24</v>
          </cell>
          <cell r="C781" t="str">
            <v>1</v>
          </cell>
          <cell r="D781" t="str">
            <v>B</v>
          </cell>
          <cell r="E781">
            <v>1</v>
          </cell>
          <cell r="F781" t="str">
            <v>Kiadások                                            (-)</v>
          </cell>
        </row>
        <row r="782">
          <cell r="A782" t="str">
            <v>6</v>
          </cell>
          <cell r="B782" t="str">
            <v>24</v>
          </cell>
          <cell r="C782" t="str">
            <v>1</v>
          </cell>
          <cell r="D782" t="str">
            <v>B</v>
          </cell>
          <cell r="E782">
            <v>1</v>
          </cell>
          <cell r="F782" t="str">
            <v>Pénzkészlet tárgyidö.végén- Költs.bankszámlák egyenlege</v>
          </cell>
        </row>
        <row r="783">
          <cell r="A783" t="str">
            <v>7</v>
          </cell>
          <cell r="B783" t="str">
            <v>24</v>
          </cell>
          <cell r="C783" t="str">
            <v>1</v>
          </cell>
          <cell r="D783" t="str">
            <v>B</v>
          </cell>
          <cell r="E783">
            <v>1</v>
          </cell>
          <cell r="F783" t="str">
            <v>Pénzkészlet tárgyidö.végén- Pénztár,betétkönyv.egyenlege</v>
          </cell>
        </row>
        <row r="784">
          <cell r="A784" t="str">
            <v>8</v>
          </cell>
          <cell r="B784" t="str">
            <v>24</v>
          </cell>
          <cell r="C784" t="str">
            <v>1</v>
          </cell>
          <cell r="D784" t="str">
            <v>B</v>
          </cell>
          <cell r="E784">
            <v>1</v>
          </cell>
          <cell r="F784" t="str">
            <v>Pénzkészlet   Ö S S Z E S E N    (06+07) (03+04-05)</v>
          </cell>
        </row>
        <row r="785">
          <cell r="A785" t="str">
            <v>1</v>
          </cell>
          <cell r="B785" t="str">
            <v>26</v>
          </cell>
          <cell r="C785" t="str">
            <v>1</v>
          </cell>
          <cell r="D785" t="str">
            <v>B</v>
          </cell>
          <cell r="E785">
            <v>1</v>
          </cell>
          <cell r="F785" t="str">
            <v>Személyi juttatások</v>
          </cell>
        </row>
        <row r="786">
          <cell r="A786" t="str">
            <v>2</v>
          </cell>
          <cell r="B786" t="str">
            <v>26</v>
          </cell>
          <cell r="C786" t="str">
            <v>1</v>
          </cell>
          <cell r="D786" t="str">
            <v>B</v>
          </cell>
          <cell r="E786">
            <v>1</v>
          </cell>
          <cell r="F786" t="str">
            <v>Munkaadokat terhelö járulékok</v>
          </cell>
        </row>
        <row r="787">
          <cell r="A787" t="str">
            <v>3</v>
          </cell>
          <cell r="B787" t="str">
            <v>26</v>
          </cell>
          <cell r="C787" t="str">
            <v>1</v>
          </cell>
          <cell r="D787" t="str">
            <v>B</v>
          </cell>
          <cell r="E787">
            <v>1</v>
          </cell>
          <cell r="F787" t="str">
            <v>Dologi kiadások és egyéb folyo kiadások</v>
          </cell>
        </row>
        <row r="788">
          <cell r="A788" t="str">
            <v>4</v>
          </cell>
          <cell r="B788" t="str">
            <v>26</v>
          </cell>
          <cell r="C788" t="str">
            <v>1</v>
          </cell>
          <cell r="D788" t="str">
            <v>B</v>
          </cell>
          <cell r="E788">
            <v>1</v>
          </cell>
          <cell r="F788" t="str">
            <v>Végleges pénzeszközátadás, egyéb támogatás</v>
          </cell>
        </row>
        <row r="789">
          <cell r="A789" t="str">
            <v>5</v>
          </cell>
          <cell r="B789" t="str">
            <v>26</v>
          </cell>
          <cell r="C789" t="str">
            <v>1</v>
          </cell>
          <cell r="D789" t="str">
            <v>B</v>
          </cell>
          <cell r="E789">
            <v>1</v>
          </cell>
          <cell r="F789" t="str">
            <v>Ellátottak pénzbeli juttatásai</v>
          </cell>
        </row>
        <row r="790">
          <cell r="A790" t="str">
            <v>6</v>
          </cell>
          <cell r="B790" t="str">
            <v>26</v>
          </cell>
          <cell r="C790" t="str">
            <v>1</v>
          </cell>
          <cell r="D790" t="str">
            <v>B</v>
          </cell>
          <cell r="E790">
            <v>1</v>
          </cell>
          <cell r="F790" t="str">
            <v>Felujitás</v>
          </cell>
        </row>
        <row r="791">
          <cell r="A791" t="str">
            <v>7</v>
          </cell>
          <cell r="B791" t="str">
            <v>26</v>
          </cell>
          <cell r="C791" t="str">
            <v>1</v>
          </cell>
          <cell r="D791" t="str">
            <v>B</v>
          </cell>
          <cell r="E791">
            <v>1</v>
          </cell>
          <cell r="F791" t="str">
            <v>Felhalmozási kiadások és pénzügyi befektetések</v>
          </cell>
        </row>
        <row r="792">
          <cell r="A792" t="str">
            <v>8</v>
          </cell>
          <cell r="B792" t="str">
            <v>26</v>
          </cell>
          <cell r="C792" t="str">
            <v>1</v>
          </cell>
          <cell r="D792" t="str">
            <v>B</v>
          </cell>
          <cell r="E792">
            <v>1</v>
          </cell>
          <cell r="F792" t="str">
            <v>Hitelek,értékpap.,kölcsönök,pénzforg.nélk.kiad.</v>
          </cell>
        </row>
        <row r="793">
          <cell r="A793" t="str">
            <v>9</v>
          </cell>
          <cell r="B793" t="str">
            <v>26</v>
          </cell>
          <cell r="C793" t="str">
            <v>1</v>
          </cell>
          <cell r="D793" t="str">
            <v>B</v>
          </cell>
          <cell r="E793">
            <v>1</v>
          </cell>
          <cell r="F793" t="str">
            <v>Kiadások összesen (01+...+08)</v>
          </cell>
        </row>
        <row r="794">
          <cell r="A794" t="str">
            <v>10</v>
          </cell>
          <cell r="B794" t="str">
            <v>26</v>
          </cell>
          <cell r="C794" t="str">
            <v>1</v>
          </cell>
          <cell r="D794" t="str">
            <v>B</v>
          </cell>
          <cell r="E794">
            <v>1</v>
          </cell>
          <cell r="F794" t="str">
            <v>Intézményi müködési bevételek</v>
          </cell>
        </row>
        <row r="795">
          <cell r="A795" t="str">
            <v>11</v>
          </cell>
          <cell r="B795" t="str">
            <v>26</v>
          </cell>
          <cell r="C795" t="str">
            <v>1</v>
          </cell>
          <cell r="D795" t="str">
            <v>B</v>
          </cell>
          <cell r="E795">
            <v>1</v>
          </cell>
          <cell r="F795" t="str">
            <v>Önkormányzatok sajátos müködési bevételei</v>
          </cell>
        </row>
        <row r="796">
          <cell r="A796" t="str">
            <v>12</v>
          </cell>
          <cell r="B796" t="str">
            <v>26</v>
          </cell>
          <cell r="C796" t="str">
            <v>1</v>
          </cell>
          <cell r="D796" t="str">
            <v>B</v>
          </cell>
          <cell r="E796">
            <v>1</v>
          </cell>
          <cell r="F796" t="str">
            <v>Intézmények és önkorm. mük.bev.(10+11)</v>
          </cell>
        </row>
        <row r="797">
          <cell r="A797" t="str">
            <v>13</v>
          </cell>
          <cell r="B797" t="str">
            <v>26</v>
          </cell>
          <cell r="C797" t="str">
            <v>1</v>
          </cell>
          <cell r="D797" t="str">
            <v>B</v>
          </cell>
          <cell r="E797">
            <v>1</v>
          </cell>
          <cell r="F797" t="str">
            <v>Felhalmozási és töke jellegü bevételek</v>
          </cell>
        </row>
        <row r="798">
          <cell r="A798" t="str">
            <v>14</v>
          </cell>
          <cell r="B798" t="str">
            <v>26</v>
          </cell>
          <cell r="C798" t="str">
            <v>1</v>
          </cell>
          <cell r="D798" t="str">
            <v>B</v>
          </cell>
          <cell r="E798">
            <v>1</v>
          </cell>
          <cell r="F798" t="str">
            <v>Támogatások, kiegészitések és átv. pénzeszk.</v>
          </cell>
        </row>
        <row r="799">
          <cell r="A799" t="str">
            <v>15</v>
          </cell>
          <cell r="B799" t="str">
            <v>26</v>
          </cell>
          <cell r="C799" t="str">
            <v>1</v>
          </cell>
          <cell r="D799" t="str">
            <v>B</v>
          </cell>
          <cell r="E799">
            <v>1</v>
          </cell>
          <cell r="F799" t="str">
            <v>Hitelek, értékp.,kölcs., pénzf. nélküli bevét.</v>
          </cell>
        </row>
        <row r="800">
          <cell r="A800" t="str">
            <v>16</v>
          </cell>
          <cell r="B800" t="str">
            <v>26</v>
          </cell>
          <cell r="C800" t="str">
            <v>1</v>
          </cell>
          <cell r="D800" t="str">
            <v>B</v>
          </cell>
          <cell r="E800">
            <v>1</v>
          </cell>
          <cell r="F800" t="str">
            <v>Bevételek összesen (12+...+15)</v>
          </cell>
        </row>
        <row r="801">
          <cell r="A801" t="str">
            <v>1</v>
          </cell>
          <cell r="B801" t="str">
            <v>27</v>
          </cell>
          <cell r="C801" t="str">
            <v>1</v>
          </cell>
          <cell r="D801" t="str">
            <v>B</v>
          </cell>
          <cell r="E801">
            <v>1</v>
          </cell>
          <cell r="F801" t="str">
            <v>Bankszámlaegyenleg a tárgyidöszak elején</v>
          </cell>
        </row>
        <row r="802">
          <cell r="A802" t="str">
            <v>2</v>
          </cell>
          <cell r="B802" t="str">
            <v>27</v>
          </cell>
          <cell r="C802" t="str">
            <v>1</v>
          </cell>
          <cell r="D802" t="str">
            <v>B</v>
          </cell>
          <cell r="E802">
            <v>1</v>
          </cell>
          <cell r="F802" t="str">
            <v>Biroi letétek bevétele</v>
          </cell>
        </row>
        <row r="803">
          <cell r="A803" t="str">
            <v>3</v>
          </cell>
          <cell r="B803" t="str">
            <v>27</v>
          </cell>
          <cell r="C803" t="str">
            <v>1</v>
          </cell>
          <cell r="D803" t="str">
            <v>B</v>
          </cell>
          <cell r="E803">
            <v>1</v>
          </cell>
          <cell r="F803" t="str">
            <v>Más jogszabályban foglalt letétek bevétele</v>
          </cell>
        </row>
        <row r="804">
          <cell r="A804" t="str">
            <v>4</v>
          </cell>
          <cell r="B804" t="str">
            <v>27</v>
          </cell>
          <cell r="C804" t="str">
            <v>1</v>
          </cell>
          <cell r="D804" t="str">
            <v>B</v>
          </cell>
          <cell r="E804">
            <v>1</v>
          </cell>
          <cell r="F804" t="str">
            <v>Letéti pénzeszköz hozambevétele</v>
          </cell>
        </row>
        <row r="805">
          <cell r="A805" t="str">
            <v>5</v>
          </cell>
          <cell r="B805" t="str">
            <v>27</v>
          </cell>
          <cell r="C805" t="str">
            <v>1</v>
          </cell>
          <cell r="D805" t="str">
            <v>B</v>
          </cell>
          <cell r="E805">
            <v>1</v>
          </cell>
          <cell r="F805" t="str">
            <v>Egyéb letéti bevételek</v>
          </cell>
        </row>
        <row r="806">
          <cell r="A806" t="str">
            <v>6</v>
          </cell>
          <cell r="B806" t="str">
            <v>27</v>
          </cell>
          <cell r="C806" t="str">
            <v>1</v>
          </cell>
          <cell r="D806" t="str">
            <v>B</v>
          </cell>
          <cell r="E806">
            <v>1</v>
          </cell>
          <cell r="F806" t="str">
            <v>Letéti bevételek összesen (02+...+05)</v>
          </cell>
        </row>
        <row r="807">
          <cell r="A807" t="str">
            <v>7</v>
          </cell>
          <cell r="B807" t="str">
            <v>27</v>
          </cell>
          <cell r="C807" t="str">
            <v>1</v>
          </cell>
          <cell r="D807" t="str">
            <v>B</v>
          </cell>
          <cell r="E807">
            <v>1</v>
          </cell>
          <cell r="F807" t="str">
            <v>Biroi letétek kiadásai</v>
          </cell>
        </row>
        <row r="808">
          <cell r="A808" t="str">
            <v>8</v>
          </cell>
          <cell r="B808" t="str">
            <v>27</v>
          </cell>
          <cell r="C808" t="str">
            <v>1</v>
          </cell>
          <cell r="D808" t="str">
            <v>B</v>
          </cell>
          <cell r="E808">
            <v>1</v>
          </cell>
          <cell r="F808" t="str">
            <v>Más jogszabályban foglalt letétek kiadásai</v>
          </cell>
        </row>
        <row r="809">
          <cell r="A809" t="str">
            <v>9</v>
          </cell>
          <cell r="B809" t="str">
            <v>27</v>
          </cell>
          <cell r="C809" t="str">
            <v>1</v>
          </cell>
          <cell r="D809" t="str">
            <v>B</v>
          </cell>
          <cell r="E809">
            <v>1</v>
          </cell>
          <cell r="F809" t="str">
            <v>Hozambevétel átutalása a ktgs-i elszámolási számlára</v>
          </cell>
        </row>
        <row r="810">
          <cell r="A810" t="str">
            <v>10</v>
          </cell>
          <cell r="B810" t="str">
            <v>27</v>
          </cell>
          <cell r="C810" t="str">
            <v>1</v>
          </cell>
          <cell r="D810" t="str">
            <v>B</v>
          </cell>
          <cell r="E810">
            <v>1</v>
          </cell>
          <cell r="F810" t="str">
            <v>Egyéb letétek kiadásai</v>
          </cell>
        </row>
        <row r="811">
          <cell r="A811" t="str">
            <v>11</v>
          </cell>
          <cell r="B811" t="str">
            <v>27</v>
          </cell>
          <cell r="C811" t="str">
            <v>1</v>
          </cell>
          <cell r="D811" t="str">
            <v>B</v>
          </cell>
          <cell r="E811">
            <v>1</v>
          </cell>
          <cell r="F811" t="str">
            <v>Letéti kiadások összesen (07+...+10)</v>
          </cell>
        </row>
        <row r="812">
          <cell r="A812" t="str">
            <v>12</v>
          </cell>
          <cell r="B812" t="str">
            <v>27</v>
          </cell>
          <cell r="C812" t="str">
            <v>1</v>
          </cell>
          <cell r="D812" t="str">
            <v>B</v>
          </cell>
          <cell r="E812">
            <v>1</v>
          </cell>
          <cell r="F812" t="str">
            <v>Bankszámla egyenleg a tárgyidöszak végén (01+06-11)</v>
          </cell>
        </row>
        <row r="813">
          <cell r="A813" t="str">
            <v>1</v>
          </cell>
          <cell r="B813" t="str">
            <v>29</v>
          </cell>
          <cell r="C813" t="str">
            <v>1</v>
          </cell>
          <cell r="D813" t="str">
            <v>B</v>
          </cell>
          <cell r="E813">
            <v>1</v>
          </cell>
          <cell r="F813" t="str">
            <v>Költségvetési bankszámlák zároegyenlegei</v>
          </cell>
        </row>
        <row r="814">
          <cell r="A814" t="str">
            <v>2</v>
          </cell>
          <cell r="B814" t="str">
            <v>29</v>
          </cell>
          <cell r="C814" t="str">
            <v>1</v>
          </cell>
          <cell r="D814" t="str">
            <v>B</v>
          </cell>
          <cell r="E814">
            <v>1</v>
          </cell>
          <cell r="F814" t="str">
            <v>Pénztárak és betétkönyvek zároegyenlegei</v>
          </cell>
        </row>
        <row r="815">
          <cell r="A815" t="str">
            <v>3</v>
          </cell>
          <cell r="B815" t="str">
            <v>29</v>
          </cell>
          <cell r="C815" t="str">
            <v>1</v>
          </cell>
          <cell r="D815" t="str">
            <v>B</v>
          </cell>
          <cell r="E815">
            <v>1</v>
          </cell>
          <cell r="F815" t="str">
            <v>Záro pénzkészlet (01+02)</v>
          </cell>
        </row>
        <row r="816">
          <cell r="A816" t="str">
            <v>4</v>
          </cell>
          <cell r="B816" t="str">
            <v>29</v>
          </cell>
          <cell r="C816" t="str">
            <v>1</v>
          </cell>
          <cell r="D816" t="str">
            <v>B</v>
          </cell>
          <cell r="E816">
            <v>1</v>
          </cell>
          <cell r="F816" t="str">
            <v>Költségvetési aktiv kiegyenlitö elszámolások zároegyenl.</v>
          </cell>
        </row>
        <row r="817">
          <cell r="A817" t="str">
            <v>5</v>
          </cell>
          <cell r="B817" t="str">
            <v>29</v>
          </cell>
          <cell r="C817" t="str">
            <v>1</v>
          </cell>
          <cell r="D817" t="str">
            <v>B</v>
          </cell>
          <cell r="E817">
            <v>1</v>
          </cell>
          <cell r="F817" t="str">
            <v>Passziv kiegyenlitö elszámolások zároegyenlegei         (-)</v>
          </cell>
        </row>
        <row r="818">
          <cell r="A818" t="str">
            <v>6</v>
          </cell>
          <cell r="B818" t="str">
            <v>29</v>
          </cell>
          <cell r="C818" t="str">
            <v>1</v>
          </cell>
          <cell r="D818" t="str">
            <v>B</v>
          </cell>
          <cell r="E818">
            <v>1</v>
          </cell>
          <cell r="F818" t="str">
            <v>Költségvetési aktiv átfuto elszámolások zároegyenlege</v>
          </cell>
        </row>
        <row r="819">
          <cell r="A819" t="str">
            <v>7</v>
          </cell>
          <cell r="B819" t="str">
            <v>29</v>
          </cell>
          <cell r="C819" t="str">
            <v>1</v>
          </cell>
          <cell r="D819" t="str">
            <v>B</v>
          </cell>
          <cell r="E819">
            <v>1</v>
          </cell>
          <cell r="F819" t="str">
            <v>Passziv átfuto elszámolások zároegyenlege               (-)</v>
          </cell>
        </row>
        <row r="820">
          <cell r="A820" t="str">
            <v>8</v>
          </cell>
          <cell r="B820" t="str">
            <v>29</v>
          </cell>
          <cell r="C820" t="str">
            <v>1</v>
          </cell>
          <cell r="D820" t="str">
            <v>B</v>
          </cell>
          <cell r="E820">
            <v>1</v>
          </cell>
          <cell r="F820" t="str">
            <v>Aktiv függö elszámolások zároegyenlege</v>
          </cell>
        </row>
        <row r="821">
          <cell r="A821" t="str">
            <v>9</v>
          </cell>
          <cell r="B821" t="str">
            <v>29</v>
          </cell>
          <cell r="C821" t="str">
            <v>1</v>
          </cell>
          <cell r="D821" t="str">
            <v>B</v>
          </cell>
          <cell r="E821">
            <v>1</v>
          </cell>
          <cell r="F821" t="str">
            <v>Passziv függö elszámolások zároegyenlege                (-)</v>
          </cell>
        </row>
        <row r="822">
          <cell r="A822" t="str">
            <v>10</v>
          </cell>
          <cell r="B822" t="str">
            <v>29</v>
          </cell>
          <cell r="C822" t="str">
            <v>1</v>
          </cell>
          <cell r="D822" t="str">
            <v>B</v>
          </cell>
          <cell r="E822">
            <v>1</v>
          </cell>
          <cell r="F822" t="str">
            <v>Egyéb aktiv és passziv pü.elsz.össz.(04-05+06-07+08-09)</v>
          </cell>
        </row>
        <row r="823">
          <cell r="A823" t="str">
            <v>11</v>
          </cell>
          <cell r="B823" t="str">
            <v>29</v>
          </cell>
          <cell r="C823" t="str">
            <v>1</v>
          </cell>
          <cell r="D823" t="str">
            <v>B</v>
          </cell>
          <cell r="E823">
            <v>1</v>
          </cell>
          <cell r="F823" t="str">
            <v>Elözö év(ek)ben képzett tartalékok maradványa           (-)</v>
          </cell>
        </row>
        <row r="824">
          <cell r="A824" t="str">
            <v>12</v>
          </cell>
          <cell r="B824" t="str">
            <v>29</v>
          </cell>
          <cell r="C824" t="str">
            <v>1</v>
          </cell>
          <cell r="D824" t="str">
            <v>B</v>
          </cell>
          <cell r="E824">
            <v>1</v>
          </cell>
          <cell r="F824" t="str">
            <v>Vállalkozási tevékenység pénzforgalmi eredménye         (-)</v>
          </cell>
        </row>
        <row r="825">
          <cell r="A825" t="str">
            <v>13</v>
          </cell>
          <cell r="B825" t="str">
            <v>29</v>
          </cell>
          <cell r="C825" t="str">
            <v>1</v>
          </cell>
          <cell r="D825" t="str">
            <v>B</v>
          </cell>
          <cell r="E825">
            <v>1</v>
          </cell>
          <cell r="F825" t="str">
            <v>Tárgyévi helyesbitett pénzmaradvány (03+-10-11-12)</v>
          </cell>
        </row>
        <row r="826">
          <cell r="A826" t="str">
            <v>14</v>
          </cell>
          <cell r="B826" t="str">
            <v>29</v>
          </cell>
          <cell r="C826" t="str">
            <v>1</v>
          </cell>
          <cell r="D826" t="str">
            <v>B</v>
          </cell>
          <cell r="E826">
            <v>1</v>
          </cell>
          <cell r="F826" t="str">
            <v>Intézményi költségvetési befiz.többlettámogatás miatt (+ -)</v>
          </cell>
        </row>
        <row r="827">
          <cell r="A827" t="str">
            <v>15</v>
          </cell>
          <cell r="B827" t="str">
            <v>29</v>
          </cell>
          <cell r="C827" t="str">
            <v>1</v>
          </cell>
          <cell r="D827" t="str">
            <v>B</v>
          </cell>
          <cell r="E827">
            <v>1</v>
          </cell>
          <cell r="F827" t="str">
            <v>Költségvetési befizetés többlettámogatás miatt        (+ -)</v>
          </cell>
        </row>
        <row r="828">
          <cell r="A828" t="str">
            <v>16</v>
          </cell>
          <cell r="B828" t="str">
            <v>29</v>
          </cell>
          <cell r="C828" t="str">
            <v>1</v>
          </cell>
          <cell r="D828" t="str">
            <v>B</v>
          </cell>
          <cell r="E828">
            <v>1</v>
          </cell>
          <cell r="F828" t="str">
            <v>Költségvetési kiutalás kiutalatlan intézm.támog.miatt (+ -)</v>
          </cell>
        </row>
        <row r="829">
          <cell r="A829" t="str">
            <v>17</v>
          </cell>
          <cell r="B829" t="str">
            <v>29</v>
          </cell>
          <cell r="C829" t="str">
            <v>1</v>
          </cell>
          <cell r="D829" t="str">
            <v>B</v>
          </cell>
          <cell r="E829">
            <v>1</v>
          </cell>
          <cell r="F829" t="str">
            <v>Költségvetési kiutalás kiutalatlan támogatás miatt    (+ -)</v>
          </cell>
        </row>
        <row r="830">
          <cell r="A830" t="str">
            <v>18</v>
          </cell>
          <cell r="B830" t="str">
            <v>29</v>
          </cell>
          <cell r="C830" t="str">
            <v>1</v>
          </cell>
          <cell r="D830" t="str">
            <v>B</v>
          </cell>
          <cell r="E830">
            <v>1</v>
          </cell>
          <cell r="F830" t="str">
            <v>Pénzmaradványt terhelö elvonások                      (+ -)</v>
          </cell>
        </row>
        <row r="831">
          <cell r="A831" t="str">
            <v>19</v>
          </cell>
          <cell r="B831" t="str">
            <v>29</v>
          </cell>
          <cell r="C831" t="str">
            <v>1</v>
          </cell>
          <cell r="D831" t="str">
            <v>B</v>
          </cell>
          <cell r="E831">
            <v>1</v>
          </cell>
          <cell r="F831" t="str">
            <v>Költségvetési pénzmaradvány(13+...+18)</v>
          </cell>
        </row>
        <row r="832">
          <cell r="A832" t="str">
            <v>20</v>
          </cell>
          <cell r="B832" t="str">
            <v>29</v>
          </cell>
          <cell r="C832" t="str">
            <v>1</v>
          </cell>
          <cell r="D832" t="str">
            <v>B</v>
          </cell>
          <cell r="E832">
            <v>1</v>
          </cell>
          <cell r="F832" t="str">
            <v>Vállalk. tev. eredményéböl alaptev. ellát-ra felhaszn. össz.</v>
          </cell>
        </row>
        <row r="833">
          <cell r="A833" t="str">
            <v>21</v>
          </cell>
          <cell r="B833" t="str">
            <v>29</v>
          </cell>
          <cell r="C833" t="str">
            <v>1</v>
          </cell>
          <cell r="D833" t="str">
            <v>B</v>
          </cell>
          <cell r="E833">
            <v>1</v>
          </cell>
          <cell r="F833" t="str">
            <v>Ktgv-i pénzmaradv.külön jogszabály alapján mod. tétel (+ -)</v>
          </cell>
        </row>
        <row r="834">
          <cell r="A834" t="str">
            <v>22</v>
          </cell>
          <cell r="B834" t="str">
            <v>29</v>
          </cell>
          <cell r="C834" t="str">
            <v>1</v>
          </cell>
          <cell r="D834" t="str">
            <v>B</v>
          </cell>
          <cell r="E834">
            <v>1</v>
          </cell>
          <cell r="F834" t="str">
            <v>Modositott pénzmaradvány (19+20+21)</v>
          </cell>
        </row>
        <row r="835">
          <cell r="A835" t="str">
            <v>23</v>
          </cell>
          <cell r="B835" t="str">
            <v>29</v>
          </cell>
          <cell r="C835" t="str">
            <v>1</v>
          </cell>
          <cell r="D835" t="str">
            <v>B</v>
          </cell>
          <cell r="E835">
            <v>1</v>
          </cell>
          <cell r="F835" t="str">
            <v>A 19.sorbol a TB alapbol folyositott pénzeszk. maradványa</v>
          </cell>
        </row>
        <row r="836">
          <cell r="A836" t="str">
            <v>24</v>
          </cell>
          <cell r="B836" t="str">
            <v>29</v>
          </cell>
          <cell r="C836" t="str">
            <v>1</v>
          </cell>
          <cell r="D836" t="str">
            <v>B</v>
          </cell>
          <cell r="E836">
            <v>1</v>
          </cell>
          <cell r="F836" t="str">
            <v>Technikai összesen (22+23)</v>
          </cell>
        </row>
        <row r="837">
          <cell r="A837" t="str">
            <v>1</v>
          </cell>
          <cell r="B837" t="str">
            <v>30</v>
          </cell>
          <cell r="C837" t="str">
            <v>1</v>
          </cell>
          <cell r="D837" t="str">
            <v>B</v>
          </cell>
          <cell r="E837">
            <v>1</v>
          </cell>
          <cell r="F837" t="str">
            <v>Vállalkozási tevékenység bevételi elöirányzata</v>
          </cell>
        </row>
        <row r="838">
          <cell r="A838" t="str">
            <v>2</v>
          </cell>
          <cell r="B838" t="str">
            <v>30</v>
          </cell>
          <cell r="C838" t="str">
            <v>1</v>
          </cell>
          <cell r="D838" t="str">
            <v>B</v>
          </cell>
          <cell r="E838">
            <v>1</v>
          </cell>
          <cell r="F838" t="str">
            <v>Váll.tev.szakfeladaton - folyo bevételei</v>
          </cell>
        </row>
        <row r="839">
          <cell r="A839" t="str">
            <v>3</v>
          </cell>
          <cell r="B839" t="str">
            <v>30</v>
          </cell>
          <cell r="C839" t="str">
            <v>1</v>
          </cell>
          <cell r="D839" t="str">
            <v>B</v>
          </cell>
          <cell r="E839">
            <v>1</v>
          </cell>
          <cell r="F839" t="str">
            <v>Váll.tev.szakfeladaton - kamatbevétele</v>
          </cell>
        </row>
        <row r="840">
          <cell r="A840" t="str">
            <v>4</v>
          </cell>
          <cell r="B840" t="str">
            <v>30</v>
          </cell>
          <cell r="C840" t="str">
            <v>1</v>
          </cell>
          <cell r="D840" t="str">
            <v>B</v>
          </cell>
          <cell r="E840">
            <v>1</v>
          </cell>
          <cell r="F840" t="str">
            <v>Váll.tev.szakfeladaton - felhalmozási, tökejellegü bevétele</v>
          </cell>
        </row>
        <row r="841">
          <cell r="A841" t="str">
            <v>5</v>
          </cell>
          <cell r="B841" t="str">
            <v>30</v>
          </cell>
          <cell r="C841" t="str">
            <v>1</v>
          </cell>
          <cell r="D841" t="str">
            <v>B</v>
          </cell>
          <cell r="E841">
            <v>1</v>
          </cell>
          <cell r="F841" t="str">
            <v>Váll.tev.szakfeladaton - osztalék és hozambevétele</v>
          </cell>
        </row>
        <row r="842">
          <cell r="A842" t="str">
            <v>6</v>
          </cell>
          <cell r="B842" t="str">
            <v>30</v>
          </cell>
          <cell r="C842" t="str">
            <v>1</v>
          </cell>
          <cell r="D842" t="str">
            <v>B</v>
          </cell>
          <cell r="E842">
            <v>1</v>
          </cell>
          <cell r="F842" t="str">
            <v>Váll.tev.szakfeladaton - pénzforgalom nélküli bevétele</v>
          </cell>
        </row>
        <row r="843">
          <cell r="A843" t="str">
            <v>7</v>
          </cell>
          <cell r="B843" t="str">
            <v>30</v>
          </cell>
          <cell r="C843" t="str">
            <v>1</v>
          </cell>
          <cell r="D843" t="str">
            <v>B</v>
          </cell>
          <cell r="E843">
            <v>1</v>
          </cell>
          <cell r="F843" t="str">
            <v>Váll.tev.szakfeladaton - felhalm.folyo támog.,visszatérülés</v>
          </cell>
        </row>
        <row r="844">
          <cell r="A844" t="str">
            <v>8</v>
          </cell>
          <cell r="B844" t="str">
            <v>30</v>
          </cell>
          <cell r="C844" t="str">
            <v>1</v>
          </cell>
          <cell r="D844" t="str">
            <v>B</v>
          </cell>
          <cell r="E844">
            <v>1</v>
          </cell>
          <cell r="F844" t="str">
            <v>Váll.tev.szakfeladaton - hitel,rövid lejár.értékparir bevét</v>
          </cell>
        </row>
        <row r="845">
          <cell r="A845" t="str">
            <v>9</v>
          </cell>
          <cell r="B845" t="str">
            <v>30</v>
          </cell>
          <cell r="C845" t="str">
            <v>1</v>
          </cell>
          <cell r="D845" t="str">
            <v>B</v>
          </cell>
          <cell r="E845">
            <v>1</v>
          </cell>
          <cell r="F845" t="str">
            <v>Váll.tev.szakfeladaton - bevételei összesen (02+...+08)</v>
          </cell>
        </row>
        <row r="846">
          <cell r="A846" t="str">
            <v>10</v>
          </cell>
          <cell r="B846" t="str">
            <v>30</v>
          </cell>
          <cell r="C846" t="str">
            <v>1</v>
          </cell>
          <cell r="D846" t="str">
            <v>B</v>
          </cell>
          <cell r="E846">
            <v>1</v>
          </cell>
          <cell r="F846" t="str">
            <v>Vállalkozási tevékenység kiadási elöirányzata</v>
          </cell>
        </row>
        <row r="847">
          <cell r="A847" t="str">
            <v>11</v>
          </cell>
          <cell r="B847" t="str">
            <v>30</v>
          </cell>
          <cell r="C847" t="str">
            <v>1</v>
          </cell>
          <cell r="D847" t="str">
            <v>B</v>
          </cell>
          <cell r="E847">
            <v>1</v>
          </cell>
          <cell r="F847" t="str">
            <v>Váll.tev.szakfeladaton - folyo(és pénzforg.nélküli)kiadásai</v>
          </cell>
        </row>
        <row r="848">
          <cell r="A848" t="str">
            <v>12</v>
          </cell>
          <cell r="B848" t="str">
            <v>30</v>
          </cell>
          <cell r="C848" t="str">
            <v>1</v>
          </cell>
          <cell r="D848" t="str">
            <v>B</v>
          </cell>
          <cell r="E848">
            <v>1</v>
          </cell>
          <cell r="F848" t="str">
            <v>Váll.tev.szakfeladaton - felhalmozási és tökekiadásai</v>
          </cell>
        </row>
        <row r="849">
          <cell r="A849" t="str">
            <v>13</v>
          </cell>
          <cell r="B849" t="str">
            <v>30</v>
          </cell>
          <cell r="C849" t="str">
            <v>1</v>
          </cell>
          <cell r="D849" t="str">
            <v>B</v>
          </cell>
          <cell r="E849">
            <v>1</v>
          </cell>
          <cell r="F849" t="str">
            <v>Váll.tev.szakfeladaton - pe.átadásai,elvonásai,egyéb átut.</v>
          </cell>
        </row>
        <row r="850">
          <cell r="A850" t="str">
            <v>14</v>
          </cell>
          <cell r="B850" t="str">
            <v>30</v>
          </cell>
          <cell r="C850" t="str">
            <v>1</v>
          </cell>
          <cell r="D850" t="str">
            <v>B</v>
          </cell>
          <cell r="E850">
            <v>1</v>
          </cell>
          <cell r="F850" t="str">
            <v>Váll.tev.szakfeladaton - hitel,rövid lejár.értékpapir kiad.</v>
          </cell>
        </row>
        <row r="851">
          <cell r="A851" t="str">
            <v>15</v>
          </cell>
          <cell r="B851" t="str">
            <v>30</v>
          </cell>
          <cell r="C851" t="str">
            <v>1</v>
          </cell>
          <cell r="D851" t="str">
            <v>B</v>
          </cell>
          <cell r="E851">
            <v>1</v>
          </cell>
          <cell r="F851" t="str">
            <v>Váll.tev.szakfeladaton - kiadásai összesen (11 +...+ 14)</v>
          </cell>
        </row>
        <row r="852">
          <cell r="A852" t="str">
            <v>16</v>
          </cell>
          <cell r="B852" t="str">
            <v>30</v>
          </cell>
          <cell r="C852" t="str">
            <v>1</v>
          </cell>
          <cell r="D852" t="str">
            <v>B</v>
          </cell>
          <cell r="E852">
            <v>1</v>
          </cell>
          <cell r="F852" t="str">
            <v>Vállalkozási tevékdenység pénzforgalmi eredménye (09-15)</v>
          </cell>
        </row>
        <row r="853">
          <cell r="A853" t="str">
            <v>17</v>
          </cell>
          <cell r="B853" t="str">
            <v>30</v>
          </cell>
          <cell r="C853" t="str">
            <v>1</v>
          </cell>
          <cell r="D853" t="str">
            <v>B</v>
          </cell>
          <cell r="E853">
            <v>1</v>
          </cell>
          <cell r="F853" t="str">
            <v>Vállakozási tevékenységet terhelö értékcsökkenési leirás(-)</v>
          </cell>
        </row>
        <row r="854">
          <cell r="A854" t="str">
            <v>18</v>
          </cell>
          <cell r="B854" t="str">
            <v>30</v>
          </cell>
          <cell r="C854" t="str">
            <v>1</v>
          </cell>
          <cell r="D854" t="str">
            <v>B</v>
          </cell>
          <cell r="E854">
            <v>1</v>
          </cell>
          <cell r="F854" t="str">
            <v>Alaptevékenység ellátására felhaszn. tárgyévi eredmény  (-)</v>
          </cell>
        </row>
        <row r="855">
          <cell r="A855" t="str">
            <v>19</v>
          </cell>
          <cell r="B855" t="str">
            <v>30</v>
          </cell>
          <cell r="C855" t="str">
            <v>1</v>
          </cell>
          <cell r="D855" t="str">
            <v>B</v>
          </cell>
          <cell r="E855">
            <v>1</v>
          </cell>
          <cell r="F855" t="str">
            <v>Alaptevékenység ellátására felhaszn.elözö év(ek) eredm. (-)</v>
          </cell>
        </row>
        <row r="856">
          <cell r="A856" t="str">
            <v>20</v>
          </cell>
          <cell r="B856" t="str">
            <v>30</v>
          </cell>
          <cell r="C856" t="str">
            <v>1</v>
          </cell>
          <cell r="D856" t="str">
            <v>B</v>
          </cell>
          <cell r="E856">
            <v>1</v>
          </cell>
          <cell r="F856" t="str">
            <v>A tárgyévet köv. évben alaptev.ellát.felhasz.terv.eredm.(-)</v>
          </cell>
        </row>
        <row r="857">
          <cell r="A857" t="str">
            <v>21</v>
          </cell>
          <cell r="B857" t="str">
            <v>30</v>
          </cell>
          <cell r="C857" t="str">
            <v>1</v>
          </cell>
          <cell r="D857" t="str">
            <v>B</v>
          </cell>
          <cell r="E857">
            <v>1</v>
          </cell>
          <cell r="F857" t="str">
            <v>Pénzforg.eredm.külön jogszabály alapján modosito tétel(+ -)</v>
          </cell>
        </row>
        <row r="858">
          <cell r="A858" t="str">
            <v>22</v>
          </cell>
          <cell r="B858" t="str">
            <v>30</v>
          </cell>
          <cell r="C858" t="str">
            <v>1</v>
          </cell>
          <cell r="D858" t="str">
            <v>B</v>
          </cell>
          <cell r="E858">
            <v>1</v>
          </cell>
          <cell r="F858" t="str">
            <v>Vállalk.tev.mod.pénzforgalmi eredménye (16-17-18-19-20+21)</v>
          </cell>
        </row>
        <row r="859">
          <cell r="A859" t="str">
            <v>23</v>
          </cell>
          <cell r="B859" t="str">
            <v>30</v>
          </cell>
          <cell r="C859" t="str">
            <v>1</v>
          </cell>
          <cell r="D859" t="str">
            <v>B</v>
          </cell>
          <cell r="E859">
            <v>1</v>
          </cell>
          <cell r="F859" t="str">
            <v>Tárgyévröl átvitt veszteség</v>
          </cell>
        </row>
        <row r="860">
          <cell r="A860" t="str">
            <v>24</v>
          </cell>
          <cell r="B860" t="str">
            <v>30</v>
          </cell>
          <cell r="C860" t="str">
            <v>1</v>
          </cell>
          <cell r="D860" t="str">
            <v>B</v>
          </cell>
          <cell r="E860">
            <v>1</v>
          </cell>
          <cell r="F860" t="str">
            <v>Megelözö év(ek) el nem számolt veszteség. t.évre esö r. (-)</v>
          </cell>
        </row>
        <row r="861">
          <cell r="A861" t="str">
            <v>25</v>
          </cell>
          <cell r="B861" t="str">
            <v>30</v>
          </cell>
          <cell r="C861" t="str">
            <v>1</v>
          </cell>
          <cell r="D861" t="str">
            <v>B</v>
          </cell>
          <cell r="E861">
            <v>1</v>
          </cell>
          <cell r="F861" t="str">
            <v>Vállalkozási tevékenység helyesbitett eredm.  (22+23-24)</v>
          </cell>
        </row>
        <row r="862">
          <cell r="A862" t="str">
            <v>26</v>
          </cell>
          <cell r="B862" t="str">
            <v>30</v>
          </cell>
          <cell r="C862" t="str">
            <v>1</v>
          </cell>
          <cell r="D862" t="str">
            <v>B</v>
          </cell>
          <cell r="E862">
            <v>1</v>
          </cell>
          <cell r="F862" t="str">
            <v>Vállalkozási tevékenységet terhelö befizetés            (-)</v>
          </cell>
        </row>
        <row r="863">
          <cell r="A863" t="str">
            <v>27</v>
          </cell>
          <cell r="B863" t="str">
            <v>30</v>
          </cell>
          <cell r="C863" t="str">
            <v>1</v>
          </cell>
          <cell r="D863" t="str">
            <v>B</v>
          </cell>
          <cell r="E863">
            <v>1</v>
          </cell>
          <cell r="F863" t="str">
            <v>T a r t a l é k b a    helyezhetö összeg (16-18-19-26)</v>
          </cell>
        </row>
        <row r="864">
          <cell r="A864" t="str">
            <v>1</v>
          </cell>
          <cell r="B864" t="str">
            <v>32</v>
          </cell>
          <cell r="C864" t="str">
            <v>1</v>
          </cell>
          <cell r="D864" t="str">
            <v>B</v>
          </cell>
          <cell r="E864">
            <v>1</v>
          </cell>
          <cell r="F864" t="str">
            <v>Beruházás tervezett összes költsége</v>
          </cell>
        </row>
        <row r="865">
          <cell r="A865" t="str">
            <v>2</v>
          </cell>
          <cell r="B865" t="str">
            <v>32</v>
          </cell>
          <cell r="C865" t="str">
            <v>1</v>
          </cell>
          <cell r="D865" t="str">
            <v>B</v>
          </cell>
          <cell r="E865">
            <v>1</v>
          </cell>
          <cell r="F865" t="str">
            <v>Beruházásbol Céltámogatás - eredeti elöir.</v>
          </cell>
        </row>
        <row r="866">
          <cell r="A866" t="str">
            <v>3</v>
          </cell>
          <cell r="B866" t="str">
            <v>32</v>
          </cell>
          <cell r="C866" t="str">
            <v>1</v>
          </cell>
          <cell r="D866" t="str">
            <v>B</v>
          </cell>
          <cell r="E866">
            <v>1</v>
          </cell>
          <cell r="F866" t="str">
            <v>Beruházásbol Céltámogatás - modositott elöir.</v>
          </cell>
        </row>
        <row r="867">
          <cell r="A867" t="str">
            <v>4</v>
          </cell>
          <cell r="B867" t="str">
            <v>32</v>
          </cell>
          <cell r="C867" t="str">
            <v>1</v>
          </cell>
          <cell r="D867" t="str">
            <v>B</v>
          </cell>
          <cell r="E867">
            <v>1</v>
          </cell>
          <cell r="F867" t="str">
            <v>Elözö idöszak Beruházás összes ráforditása</v>
          </cell>
        </row>
        <row r="868">
          <cell r="A868" t="str">
            <v>5</v>
          </cell>
          <cell r="B868" t="str">
            <v>32</v>
          </cell>
          <cell r="C868" t="str">
            <v>1</v>
          </cell>
          <cell r="D868" t="str">
            <v>B</v>
          </cell>
          <cell r="E868">
            <v>1</v>
          </cell>
          <cell r="F868" t="str">
            <v>Elözö idöszak Céltámogatás- idöarányos elöir.</v>
          </cell>
        </row>
        <row r="869">
          <cell r="A869" t="str">
            <v>6</v>
          </cell>
          <cell r="B869" t="str">
            <v>32</v>
          </cell>
          <cell r="C869" t="str">
            <v>1</v>
          </cell>
          <cell r="D869" t="str">
            <v>B</v>
          </cell>
          <cell r="E869">
            <v>1</v>
          </cell>
          <cell r="F869" t="str">
            <v>Elözö idöszak Céltámogatás- igénybe vett össz.</v>
          </cell>
        </row>
        <row r="870">
          <cell r="A870" t="str">
            <v>7</v>
          </cell>
          <cell r="B870" t="str">
            <v>32</v>
          </cell>
          <cell r="C870" t="str">
            <v>1</v>
          </cell>
          <cell r="D870" t="str">
            <v>B</v>
          </cell>
          <cell r="E870">
            <v>1</v>
          </cell>
          <cell r="F870" t="str">
            <v>Tárgyévi Beruházás **tervezett** ráforditása</v>
          </cell>
        </row>
        <row r="871">
          <cell r="A871" t="str">
            <v>8</v>
          </cell>
          <cell r="B871" t="str">
            <v>32</v>
          </cell>
          <cell r="C871" t="str">
            <v>1</v>
          </cell>
          <cell r="D871" t="str">
            <v>B</v>
          </cell>
          <cell r="E871">
            <v>1</v>
          </cell>
          <cell r="F871" t="str">
            <v>Tárgyévi Céltámogatás elöir.- áthuzudo</v>
          </cell>
        </row>
        <row r="872">
          <cell r="A872" t="str">
            <v>9</v>
          </cell>
          <cell r="B872" t="str">
            <v>32</v>
          </cell>
          <cell r="C872" t="str">
            <v>1</v>
          </cell>
          <cell r="D872" t="str">
            <v>B</v>
          </cell>
          <cell r="E872">
            <v>1</v>
          </cell>
          <cell r="F872" t="str">
            <v>Tárgyévi Céltámogatás elöir.- tárgyévi</v>
          </cell>
        </row>
        <row r="873">
          <cell r="A873" t="str">
            <v>10</v>
          </cell>
          <cell r="B873" t="str">
            <v>32</v>
          </cell>
          <cell r="C873" t="str">
            <v>1</v>
          </cell>
          <cell r="D873" t="str">
            <v>B</v>
          </cell>
          <cell r="E873">
            <v>1</v>
          </cell>
          <cell r="F873" t="str">
            <v>Tárgyévi Céltámogatás elöir.- összes</v>
          </cell>
        </row>
        <row r="874">
          <cell r="A874" t="str">
            <v>11</v>
          </cell>
          <cell r="B874" t="str">
            <v>32</v>
          </cell>
          <cell r="C874" t="str">
            <v>1</v>
          </cell>
          <cell r="D874" t="str">
            <v>B</v>
          </cell>
          <cell r="E874">
            <v>1</v>
          </cell>
          <cell r="F874" t="str">
            <v>Tárgyévi Beruházás **tényleges**  ráforditása</v>
          </cell>
        </row>
        <row r="875">
          <cell r="A875" t="str">
            <v>12</v>
          </cell>
          <cell r="B875" t="str">
            <v>32</v>
          </cell>
          <cell r="C875" t="str">
            <v>1</v>
          </cell>
          <cell r="D875" t="str">
            <v>B</v>
          </cell>
          <cell r="E875">
            <v>1</v>
          </cell>
          <cell r="F875" t="str">
            <v>Tárgyévi Igénybe vett céltám.- áthuzodo elöir.</v>
          </cell>
        </row>
        <row r="876">
          <cell r="A876" t="str">
            <v>13</v>
          </cell>
          <cell r="B876" t="str">
            <v>32</v>
          </cell>
          <cell r="C876" t="str">
            <v>1</v>
          </cell>
          <cell r="D876" t="str">
            <v>B</v>
          </cell>
          <cell r="E876">
            <v>1</v>
          </cell>
          <cell r="F876" t="str">
            <v>Tárgyévi Igénybe vett céltám.- tárgyévi elöir.</v>
          </cell>
        </row>
        <row r="877">
          <cell r="A877" t="str">
            <v>14</v>
          </cell>
          <cell r="B877" t="str">
            <v>32</v>
          </cell>
          <cell r="C877" t="str">
            <v>1</v>
          </cell>
          <cell r="D877" t="str">
            <v>B</v>
          </cell>
          <cell r="E877">
            <v>1</v>
          </cell>
          <cell r="F877" t="str">
            <v>Tárgyévi Igénybe vett céltám.- összesen</v>
          </cell>
        </row>
        <row r="878">
          <cell r="A878" t="str">
            <v>1</v>
          </cell>
          <cell r="B878" t="str">
            <v>33</v>
          </cell>
          <cell r="C878" t="str">
            <v>1</v>
          </cell>
          <cell r="D878" t="str">
            <v>B</v>
          </cell>
          <cell r="E878">
            <v>1</v>
          </cell>
          <cell r="F878" t="str">
            <v>Lakossági közmüfejlesztés támogatása</v>
          </cell>
        </row>
        <row r="879">
          <cell r="A879" t="str">
            <v>2</v>
          </cell>
          <cell r="B879" t="str">
            <v>33</v>
          </cell>
          <cell r="C879" t="str">
            <v>1</v>
          </cell>
          <cell r="D879" t="str">
            <v>B</v>
          </cell>
          <cell r="E879">
            <v>1</v>
          </cell>
          <cell r="F879" t="str">
            <v>Pincerendszerek és term.partfalak veszélyelhár.munk.támogat.</v>
          </cell>
        </row>
        <row r="880">
          <cell r="A880" t="str">
            <v>3</v>
          </cell>
          <cell r="B880" t="str">
            <v>33</v>
          </cell>
          <cell r="C880" t="str">
            <v>1</v>
          </cell>
          <cell r="D880" t="str">
            <v>B</v>
          </cell>
          <cell r="E880">
            <v>1</v>
          </cell>
          <cell r="F880" t="str">
            <v>Lakossági viz- csatornaszolgáltatás támogatása</v>
          </cell>
        </row>
        <row r="881">
          <cell r="A881" t="str">
            <v>4</v>
          </cell>
          <cell r="B881" t="str">
            <v>33</v>
          </cell>
          <cell r="C881" t="str">
            <v>1</v>
          </cell>
          <cell r="D881" t="str">
            <v>B</v>
          </cell>
          <cell r="E881">
            <v>1</v>
          </cell>
          <cell r="F881" t="str">
            <v>Kompok,révek fenntartásának,felujitásának támogatása</v>
          </cell>
        </row>
        <row r="882">
          <cell r="A882" t="str">
            <v>5</v>
          </cell>
          <cell r="B882" t="str">
            <v>33</v>
          </cell>
          <cell r="C882" t="str">
            <v>1</v>
          </cell>
          <cell r="D882" t="str">
            <v>B</v>
          </cell>
          <cell r="E882">
            <v>1</v>
          </cell>
          <cell r="F882" t="str">
            <v>Határátkelöhelyek fenntartásának támogatása</v>
          </cell>
        </row>
        <row r="883">
          <cell r="A883" t="str">
            <v>6</v>
          </cell>
          <cell r="B883" t="str">
            <v>33</v>
          </cell>
          <cell r="C883" t="str">
            <v>1</v>
          </cell>
          <cell r="D883" t="str">
            <v>B</v>
          </cell>
          <cell r="E883">
            <v>1</v>
          </cell>
          <cell r="F883" t="str">
            <v>Lakáscélu adosságkezelés támogatása</v>
          </cell>
        </row>
        <row r="884">
          <cell r="A884" t="str">
            <v>7</v>
          </cell>
          <cell r="B884" t="str">
            <v>33</v>
          </cell>
          <cell r="C884" t="str">
            <v>1</v>
          </cell>
          <cell r="D884" t="str">
            <v>B</v>
          </cell>
          <cell r="E884">
            <v>1</v>
          </cell>
          <cell r="F884" t="str">
            <v>Helyi kisebbségi önk.müködésének általános támogatása</v>
          </cell>
        </row>
        <row r="885">
          <cell r="A885" t="str">
            <v>8</v>
          </cell>
          <cell r="B885" t="str">
            <v>33</v>
          </cell>
          <cell r="C885" t="str">
            <v>1</v>
          </cell>
          <cell r="D885" t="str">
            <v>B</v>
          </cell>
          <cell r="E885">
            <v>1</v>
          </cell>
          <cell r="F885" t="str">
            <v>Gyermek és ifjusági feladatok</v>
          </cell>
        </row>
        <row r="886">
          <cell r="A886" t="str">
            <v>9</v>
          </cell>
          <cell r="B886" t="str">
            <v>33</v>
          </cell>
          <cell r="C886" t="str">
            <v>1</v>
          </cell>
          <cell r="D886" t="str">
            <v>B</v>
          </cell>
          <cell r="E886">
            <v>1</v>
          </cell>
          <cell r="F886" t="str">
            <v>Kiegészitö támogatás nemzetiségi ovodák és iskolák fenntart.</v>
          </cell>
        </row>
        <row r="887">
          <cell r="A887" t="str">
            <v>10</v>
          </cell>
          <cell r="B887" t="str">
            <v>33</v>
          </cell>
          <cell r="C887" t="str">
            <v>1</v>
          </cell>
          <cell r="D887" t="str">
            <v>B</v>
          </cell>
          <cell r="E887">
            <v>1</v>
          </cell>
          <cell r="F887" t="str">
            <v>Könyvtári és közmüvelödési érdekeltségnövelö támogatás</v>
          </cell>
        </row>
        <row r="888">
          <cell r="A888" t="str">
            <v>11</v>
          </cell>
          <cell r="B888" t="str">
            <v>33</v>
          </cell>
          <cell r="C888" t="str">
            <v>1</v>
          </cell>
          <cell r="D888" t="str">
            <v>B</v>
          </cell>
          <cell r="E888">
            <v>1</v>
          </cell>
          <cell r="F888" t="str">
            <v>Helyi önkormányzatok hivatásos zenekari és énekkari támog.</v>
          </cell>
        </row>
        <row r="889">
          <cell r="A889" t="str">
            <v>12</v>
          </cell>
          <cell r="B889" t="str">
            <v>33</v>
          </cell>
          <cell r="C889" t="str">
            <v>1</v>
          </cell>
          <cell r="D889" t="str">
            <v>B</v>
          </cell>
          <cell r="E889">
            <v>1</v>
          </cell>
          <cell r="F889" t="str">
            <v>Hozzájárulás a létszámcsökkentéssel kapcsolatos kiadáshoz</v>
          </cell>
        </row>
        <row r="890">
          <cell r="A890" t="str">
            <v>13</v>
          </cell>
          <cell r="B890" t="str">
            <v>33</v>
          </cell>
          <cell r="C890" t="str">
            <v>1</v>
          </cell>
          <cell r="D890" t="str">
            <v>B</v>
          </cell>
          <cell r="E890">
            <v>1</v>
          </cell>
          <cell r="F890" t="str">
            <v>Hozzájárulás a könyvvizsgálatra köt.helyi önkorm.számára</v>
          </cell>
        </row>
        <row r="891">
          <cell r="A891" t="str">
            <v>14</v>
          </cell>
          <cell r="B891" t="str">
            <v>33</v>
          </cell>
          <cell r="C891" t="str">
            <v>1</v>
          </cell>
          <cell r="D891" t="str">
            <v>B</v>
          </cell>
          <cell r="E891">
            <v>1</v>
          </cell>
          <cell r="F891" t="str">
            <v>Önkormányzati kincstárak támogatása</v>
          </cell>
        </row>
        <row r="892">
          <cell r="A892" t="str">
            <v>15</v>
          </cell>
          <cell r="B892" t="str">
            <v>33</v>
          </cell>
          <cell r="C892" t="str">
            <v>1</v>
          </cell>
          <cell r="D892" t="str">
            <v>B</v>
          </cell>
          <cell r="E892">
            <v>1</v>
          </cell>
          <cell r="F892" t="str">
            <v>Települési szilárd hulladék közszolgáltatás fejl.támogatása</v>
          </cell>
        </row>
        <row r="893">
          <cell r="A893" t="str">
            <v>16</v>
          </cell>
          <cell r="B893" t="str">
            <v>33</v>
          </cell>
          <cell r="C893" t="str">
            <v>1</v>
          </cell>
          <cell r="D893" t="str">
            <v>B</v>
          </cell>
          <cell r="E893">
            <v>1</v>
          </cell>
          <cell r="F893" t="str">
            <v>Egyéb</v>
          </cell>
        </row>
        <row r="894">
          <cell r="A894" t="str">
            <v>17</v>
          </cell>
          <cell r="B894" t="str">
            <v>33</v>
          </cell>
          <cell r="C894" t="str">
            <v>1</v>
          </cell>
          <cell r="D894" t="str">
            <v>B</v>
          </cell>
          <cell r="E894">
            <v>1</v>
          </cell>
          <cell r="F894" t="str">
            <v>Központositott elöirányzatok összesen (01+...+16)</v>
          </cell>
        </row>
        <row r="895">
          <cell r="A895" t="str">
            <v>18</v>
          </cell>
          <cell r="B895" t="str">
            <v>33</v>
          </cell>
          <cell r="C895" t="str">
            <v>1</v>
          </cell>
          <cell r="D895" t="str">
            <v>B</v>
          </cell>
          <cell r="E895">
            <v>1</v>
          </cell>
          <cell r="F895" t="str">
            <v>Egyes jövedelempotlo támogatások kiegészitése</v>
          </cell>
        </row>
        <row r="896">
          <cell r="A896" t="str">
            <v>19</v>
          </cell>
          <cell r="B896" t="str">
            <v>33</v>
          </cell>
          <cell r="C896" t="str">
            <v>1</v>
          </cell>
          <cell r="D896" t="str">
            <v>B</v>
          </cell>
          <cell r="E896">
            <v>1</v>
          </cell>
          <cell r="F896" t="str">
            <v>Közcélu foglalkoztatás támogatása</v>
          </cell>
        </row>
        <row r="897">
          <cell r="A897" t="str">
            <v>20</v>
          </cell>
          <cell r="B897" t="str">
            <v>33</v>
          </cell>
          <cell r="C897" t="str">
            <v>1</v>
          </cell>
          <cell r="D897" t="str">
            <v>B</v>
          </cell>
          <cell r="E897">
            <v>1</v>
          </cell>
          <cell r="F897" t="str">
            <v>Szoc.ellátásokkal kapcsolatos egyéb támog.össz.(18+19)</v>
          </cell>
        </row>
        <row r="898">
          <cell r="A898" t="str">
            <v>21</v>
          </cell>
          <cell r="B898" t="str">
            <v>33</v>
          </cell>
          <cell r="C898" t="str">
            <v>1</v>
          </cell>
          <cell r="D898" t="str">
            <v>B</v>
          </cell>
          <cell r="E898">
            <v>1</v>
          </cell>
          <cell r="F898" t="str">
            <v>Épületmüködtetési hozzájárulás</v>
          </cell>
        </row>
        <row r="899">
          <cell r="A899" t="str">
            <v>22</v>
          </cell>
          <cell r="B899" t="str">
            <v>33</v>
          </cell>
          <cell r="C899" t="str">
            <v>1</v>
          </cell>
          <cell r="D899" t="str">
            <v>B</v>
          </cell>
          <cell r="E899">
            <v>1</v>
          </cell>
          <cell r="F899" t="str">
            <v>Müvészeti tevékenység kialakitásához valo hozzájárulás</v>
          </cell>
        </row>
        <row r="900">
          <cell r="A900" t="str">
            <v>23</v>
          </cell>
          <cell r="B900" t="str">
            <v>33</v>
          </cell>
          <cell r="C900" t="str">
            <v>1</v>
          </cell>
          <cell r="D900" t="str">
            <v>B</v>
          </cell>
          <cell r="E900">
            <v>1</v>
          </cell>
          <cell r="F900" t="str">
            <v>Bábszinházak müvészeti munkájának támogatása</v>
          </cell>
        </row>
        <row r="901">
          <cell r="A901" t="str">
            <v>24</v>
          </cell>
          <cell r="B901" t="str">
            <v>33</v>
          </cell>
          <cell r="C901" t="str">
            <v>1</v>
          </cell>
          <cell r="D901" t="str">
            <v>B</v>
          </cell>
          <cell r="E901">
            <v>1</v>
          </cell>
          <cell r="F901" t="str">
            <v>Szinházak pályázati támogatása</v>
          </cell>
        </row>
        <row r="902">
          <cell r="A902" t="str">
            <v>25</v>
          </cell>
          <cell r="B902" t="str">
            <v>33</v>
          </cell>
          <cell r="C902" t="str">
            <v>1</v>
          </cell>
          <cell r="D902" t="str">
            <v>B</v>
          </cell>
          <cell r="E902">
            <v>1</v>
          </cell>
          <cell r="F902" t="str">
            <v>Helyi önkorm.szinházi támogatása összesen (21+...+24)</v>
          </cell>
        </row>
        <row r="903">
          <cell r="A903" t="str">
            <v>0</v>
          </cell>
          <cell r="B903" t="str">
            <v>34</v>
          </cell>
          <cell r="C903" t="str">
            <v>1</v>
          </cell>
          <cell r="D903" t="str">
            <v>B</v>
          </cell>
          <cell r="E903">
            <v>1</v>
          </cell>
          <cell r="F903" t="str">
            <v>I. Teljes munkaidöben foglalkoztatottak</v>
          </cell>
        </row>
        <row r="904">
          <cell r="A904" t="str">
            <v>1</v>
          </cell>
          <cell r="B904" t="str">
            <v>34</v>
          </cell>
          <cell r="C904" t="str">
            <v>1</v>
          </cell>
          <cell r="D904" t="str">
            <v>B</v>
          </cell>
          <cell r="E904">
            <v>1</v>
          </cell>
          <cell r="F904" t="str">
            <v>000010      köztársasági elnök</v>
          </cell>
        </row>
        <row r="905">
          <cell r="A905" t="str">
            <v>2</v>
          </cell>
          <cell r="B905" t="str">
            <v>34</v>
          </cell>
          <cell r="C905" t="str">
            <v>1</v>
          </cell>
          <cell r="D905" t="str">
            <v>B</v>
          </cell>
          <cell r="E905">
            <v>1</v>
          </cell>
          <cell r="F905" t="str">
            <v>000020      országgyülési képviselö</v>
          </cell>
        </row>
        <row r="906">
          <cell r="A906" t="str">
            <v>3</v>
          </cell>
          <cell r="B906" t="str">
            <v>34</v>
          </cell>
          <cell r="C906" t="str">
            <v>1</v>
          </cell>
          <cell r="D906" t="str">
            <v>B</v>
          </cell>
          <cell r="E906">
            <v>1</v>
          </cell>
          <cell r="F906" t="str">
            <v>000030      alkotmánybiro</v>
          </cell>
        </row>
        <row r="907">
          <cell r="A907" t="str">
            <v>4</v>
          </cell>
          <cell r="B907" t="str">
            <v>34</v>
          </cell>
          <cell r="C907" t="str">
            <v>1</v>
          </cell>
          <cell r="D907" t="str">
            <v>B</v>
          </cell>
          <cell r="E907">
            <v>1</v>
          </cell>
          <cell r="F907" t="str">
            <v>000040      Legfelsöbb Biroság elnöke</v>
          </cell>
        </row>
        <row r="908">
          <cell r="A908" t="str">
            <v>5</v>
          </cell>
          <cell r="B908" t="str">
            <v>34</v>
          </cell>
          <cell r="C908" t="str">
            <v>1</v>
          </cell>
          <cell r="D908" t="str">
            <v>B</v>
          </cell>
          <cell r="E908">
            <v>1</v>
          </cell>
          <cell r="F908" t="str">
            <v>000050      országgyülési biztos</v>
          </cell>
        </row>
        <row r="909">
          <cell r="A909" t="str">
            <v>6</v>
          </cell>
          <cell r="B909" t="str">
            <v>34</v>
          </cell>
          <cell r="C909" t="str">
            <v>1</v>
          </cell>
          <cell r="D909" t="str">
            <v>B</v>
          </cell>
          <cell r="E909">
            <v>1</v>
          </cell>
          <cell r="F909" t="str">
            <v>000060      országgyülési biztos általános helyettese</v>
          </cell>
        </row>
        <row r="910">
          <cell r="A910" t="str">
            <v>7</v>
          </cell>
          <cell r="B910" t="str">
            <v>34</v>
          </cell>
          <cell r="C910" t="str">
            <v>1</v>
          </cell>
          <cell r="D910" t="str">
            <v>B</v>
          </cell>
          <cell r="E910">
            <v>1</v>
          </cell>
          <cell r="F910" t="str">
            <v>Választott tisztségviselök összesen: (01+...+06)</v>
          </cell>
        </row>
        <row r="911">
          <cell r="A911" t="str">
            <v>8</v>
          </cell>
          <cell r="B911" t="str">
            <v>34</v>
          </cell>
          <cell r="C911" t="str">
            <v>1</v>
          </cell>
          <cell r="D911" t="str">
            <v>B</v>
          </cell>
          <cell r="E911">
            <v>1</v>
          </cell>
          <cell r="F911" t="str">
            <v>100010      az Állami Számvevöszék elnöke</v>
          </cell>
        </row>
        <row r="912">
          <cell r="A912" t="str">
            <v>9</v>
          </cell>
          <cell r="B912" t="str">
            <v>34</v>
          </cell>
          <cell r="C912" t="str">
            <v>1</v>
          </cell>
          <cell r="D912" t="str">
            <v>B</v>
          </cell>
          <cell r="E912">
            <v>1</v>
          </cell>
          <cell r="F912" t="str">
            <v>100020      az Állami Számvevöszék elnökhelyettesei</v>
          </cell>
        </row>
        <row r="913">
          <cell r="A913" t="str">
            <v>10</v>
          </cell>
          <cell r="B913" t="str">
            <v>34</v>
          </cell>
          <cell r="C913" t="str">
            <v>1</v>
          </cell>
          <cell r="D913" t="str">
            <v>B</v>
          </cell>
          <cell r="E913">
            <v>1</v>
          </cell>
          <cell r="F913" t="str">
            <v>100030      számvevö igazgato</v>
          </cell>
        </row>
        <row r="914">
          <cell r="A914" t="str">
            <v>11</v>
          </cell>
          <cell r="B914" t="str">
            <v>34</v>
          </cell>
          <cell r="C914" t="str">
            <v>1</v>
          </cell>
          <cell r="D914" t="str">
            <v>B</v>
          </cell>
          <cell r="E914">
            <v>1</v>
          </cell>
          <cell r="F914" t="str">
            <v>100040      számvevö igazgato-helyettes</v>
          </cell>
        </row>
        <row r="915">
          <cell r="A915" t="str">
            <v>12</v>
          </cell>
          <cell r="B915" t="str">
            <v>34</v>
          </cell>
          <cell r="C915" t="str">
            <v>1</v>
          </cell>
          <cell r="D915" t="str">
            <v>B</v>
          </cell>
          <cell r="E915">
            <v>1</v>
          </cell>
          <cell r="F915" t="str">
            <v>100050      számvevö fötanácsos</v>
          </cell>
        </row>
        <row r="916">
          <cell r="A916" t="str">
            <v>13</v>
          </cell>
          <cell r="B916" t="str">
            <v>34</v>
          </cell>
          <cell r="C916" t="str">
            <v>1</v>
          </cell>
          <cell r="D916" t="str">
            <v>B</v>
          </cell>
          <cell r="E916">
            <v>1</v>
          </cell>
          <cell r="F916" t="str">
            <v>101060-101070  I.   Besorolási osztály összesen:</v>
          </cell>
        </row>
        <row r="917">
          <cell r="A917" t="str">
            <v>14</v>
          </cell>
          <cell r="B917" t="str">
            <v>34</v>
          </cell>
          <cell r="C917" t="str">
            <v>1</v>
          </cell>
          <cell r="D917" t="str">
            <v>B</v>
          </cell>
          <cell r="E917">
            <v>1</v>
          </cell>
          <cell r="F917" t="str">
            <v>102010-102150  II.  Besorolási osztály összesen:</v>
          </cell>
        </row>
        <row r="918">
          <cell r="A918" t="str">
            <v>15</v>
          </cell>
          <cell r="B918" t="str">
            <v>34</v>
          </cell>
          <cell r="C918" t="str">
            <v>1</v>
          </cell>
          <cell r="D918" t="str">
            <v>B</v>
          </cell>
          <cell r="E918">
            <v>1</v>
          </cell>
          <cell r="F918" t="str">
            <v>103010-103070  III. Besorolási osztály összesen:</v>
          </cell>
        </row>
        <row r="919">
          <cell r="A919" t="str">
            <v>16</v>
          </cell>
          <cell r="B919" t="str">
            <v>34</v>
          </cell>
          <cell r="C919" t="str">
            <v>1</v>
          </cell>
          <cell r="D919" t="str">
            <v>B</v>
          </cell>
          <cell r="E919">
            <v>1</v>
          </cell>
          <cell r="F919" t="str">
            <v>104010-104070  IV.  Besorolási osztály összesen:</v>
          </cell>
        </row>
        <row r="920">
          <cell r="A920" t="str">
            <v>17</v>
          </cell>
          <cell r="B920" t="str">
            <v>34</v>
          </cell>
          <cell r="C920" t="str">
            <v>1</v>
          </cell>
          <cell r="D920" t="str">
            <v>B</v>
          </cell>
          <cell r="E920">
            <v>1</v>
          </cell>
          <cell r="F920" t="str">
            <v>Állami Számvevöszék összesen: (08+...+16)</v>
          </cell>
        </row>
        <row r="921">
          <cell r="A921" t="str">
            <v>18</v>
          </cell>
          <cell r="B921" t="str">
            <v>34</v>
          </cell>
          <cell r="C921" t="str">
            <v>1</v>
          </cell>
          <cell r="D921" t="str">
            <v>B</v>
          </cell>
          <cell r="E921">
            <v>1</v>
          </cell>
          <cell r="F921" t="str">
            <v>110010      miniszterelnök</v>
          </cell>
        </row>
        <row r="922">
          <cell r="A922" t="str">
            <v>19</v>
          </cell>
          <cell r="B922" t="str">
            <v>34</v>
          </cell>
          <cell r="C922" t="str">
            <v>1</v>
          </cell>
          <cell r="D922" t="str">
            <v>B</v>
          </cell>
          <cell r="E922">
            <v>1</v>
          </cell>
          <cell r="F922" t="str">
            <v>110020      miniszter</v>
          </cell>
        </row>
        <row r="923">
          <cell r="A923" t="str">
            <v>20</v>
          </cell>
          <cell r="B923" t="str">
            <v>34</v>
          </cell>
          <cell r="C923" t="str">
            <v>1</v>
          </cell>
          <cell r="D923" t="str">
            <v>B</v>
          </cell>
          <cell r="E923">
            <v>1</v>
          </cell>
          <cell r="F923" t="str">
            <v>110030      államtitkár</v>
          </cell>
        </row>
        <row r="924">
          <cell r="A924" t="str">
            <v>21</v>
          </cell>
          <cell r="B924" t="str">
            <v>34</v>
          </cell>
          <cell r="C924" t="str">
            <v>1</v>
          </cell>
          <cell r="D924" t="str">
            <v>B</v>
          </cell>
          <cell r="E924">
            <v>1</v>
          </cell>
          <cell r="F924" t="str">
            <v>810030      államtitkárnak minösülö vezetö</v>
          </cell>
        </row>
        <row r="925">
          <cell r="A925" t="str">
            <v>22</v>
          </cell>
          <cell r="B925" t="str">
            <v>34</v>
          </cell>
          <cell r="C925" t="str">
            <v>1</v>
          </cell>
          <cell r="D925" t="str">
            <v>B</v>
          </cell>
          <cell r="E925">
            <v>1</v>
          </cell>
          <cell r="F925" t="str">
            <v>110040      helyettes államtitkár</v>
          </cell>
        </row>
        <row r="926">
          <cell r="A926" t="str">
            <v>23</v>
          </cell>
          <cell r="B926" t="str">
            <v>34</v>
          </cell>
          <cell r="C926" t="str">
            <v>1</v>
          </cell>
          <cell r="D926" t="str">
            <v>B</v>
          </cell>
          <cell r="E926">
            <v>1</v>
          </cell>
          <cell r="F926" t="str">
            <v>810040      helyettes államtitkárnak minösülö vezetö</v>
          </cell>
        </row>
        <row r="927">
          <cell r="A927" t="str">
            <v>24</v>
          </cell>
          <cell r="B927" t="str">
            <v>34</v>
          </cell>
          <cell r="C927" t="str">
            <v>1</v>
          </cell>
          <cell r="D927" t="str">
            <v>B</v>
          </cell>
          <cell r="E927">
            <v>1</v>
          </cell>
          <cell r="F927" t="str">
            <v>110050      föosztályvezetö</v>
          </cell>
        </row>
        <row r="928">
          <cell r="A928" t="str">
            <v>25</v>
          </cell>
          <cell r="B928" t="str">
            <v>34</v>
          </cell>
          <cell r="C928" t="str">
            <v>1</v>
          </cell>
          <cell r="D928" t="str">
            <v>B</v>
          </cell>
          <cell r="E928">
            <v>1</v>
          </cell>
          <cell r="F928" t="str">
            <v>110060      föosztályvezetö-helyettes</v>
          </cell>
        </row>
        <row r="929">
          <cell r="A929" t="str">
            <v>26</v>
          </cell>
          <cell r="B929" t="str">
            <v>34</v>
          </cell>
          <cell r="C929" t="str">
            <v>1</v>
          </cell>
          <cell r="D929" t="str">
            <v>B</v>
          </cell>
          <cell r="E929">
            <v>1</v>
          </cell>
          <cell r="F929" t="str">
            <v>110070      osztályvezetö</v>
          </cell>
        </row>
        <row r="930">
          <cell r="A930" t="str">
            <v>27</v>
          </cell>
          <cell r="B930" t="str">
            <v>34</v>
          </cell>
          <cell r="C930" t="str">
            <v>1</v>
          </cell>
          <cell r="D930" t="str">
            <v>B</v>
          </cell>
          <cell r="E930">
            <v>1</v>
          </cell>
          <cell r="F930" t="str">
            <v>110080      ügykezelö osztályvezetö</v>
          </cell>
        </row>
        <row r="931">
          <cell r="A931" t="str">
            <v>28</v>
          </cell>
          <cell r="B931" t="str">
            <v>34</v>
          </cell>
          <cell r="C931" t="str">
            <v>1</v>
          </cell>
          <cell r="D931" t="str">
            <v>B</v>
          </cell>
          <cell r="E931">
            <v>1</v>
          </cell>
          <cell r="F931" t="str">
            <v>110090      fizikai csoportvezetö</v>
          </cell>
        </row>
        <row r="932">
          <cell r="A932" t="str">
            <v>29</v>
          </cell>
          <cell r="B932" t="str">
            <v>34</v>
          </cell>
          <cell r="C932" t="str">
            <v>1</v>
          </cell>
          <cell r="D932" t="str">
            <v>B</v>
          </cell>
          <cell r="E932">
            <v>1</v>
          </cell>
          <cell r="F932" t="str">
            <v>111010-111170  I.   Besorolási osztály összesen:</v>
          </cell>
        </row>
        <row r="933">
          <cell r="A933" t="str">
            <v>30</v>
          </cell>
          <cell r="B933" t="str">
            <v>34</v>
          </cell>
          <cell r="C933" t="str">
            <v>1</v>
          </cell>
          <cell r="D933" t="str">
            <v>B</v>
          </cell>
          <cell r="E933">
            <v>1</v>
          </cell>
          <cell r="F933" t="str">
            <v>112010-112150  II.  Besorolási osztály összesen:</v>
          </cell>
        </row>
        <row r="934">
          <cell r="A934" t="str">
            <v>31</v>
          </cell>
          <cell r="B934" t="str">
            <v>34</v>
          </cell>
          <cell r="C934" t="str">
            <v>1</v>
          </cell>
          <cell r="D934" t="str">
            <v>B</v>
          </cell>
          <cell r="E934">
            <v>1</v>
          </cell>
          <cell r="F934" t="str">
            <v>113010-113070  III. Besorolási osztály összesen:</v>
          </cell>
        </row>
        <row r="935">
          <cell r="A935" t="str">
            <v>32</v>
          </cell>
          <cell r="B935" t="str">
            <v>34</v>
          </cell>
          <cell r="C935" t="str">
            <v>1</v>
          </cell>
          <cell r="D935" t="str">
            <v>B</v>
          </cell>
          <cell r="E935">
            <v>1</v>
          </cell>
          <cell r="F935" t="str">
            <v>114010-114070  IV.  Besorolási osztály összesen:</v>
          </cell>
        </row>
        <row r="936">
          <cell r="A936" t="str">
            <v>33</v>
          </cell>
          <cell r="B936" t="str">
            <v>34</v>
          </cell>
          <cell r="C936" t="str">
            <v>1</v>
          </cell>
          <cell r="D936" t="str">
            <v>B</v>
          </cell>
          <cell r="E936">
            <v>1</v>
          </cell>
          <cell r="F936" t="str">
            <v>120050      föosztályvezetö</v>
          </cell>
        </row>
        <row r="937">
          <cell r="A937" t="str">
            <v>34</v>
          </cell>
          <cell r="B937" t="str">
            <v>34</v>
          </cell>
          <cell r="C937" t="str">
            <v>1</v>
          </cell>
          <cell r="D937" t="str">
            <v>B</v>
          </cell>
          <cell r="E937">
            <v>1</v>
          </cell>
          <cell r="F937" t="str">
            <v>120060      föosztályvezetö-helyettes</v>
          </cell>
        </row>
        <row r="938">
          <cell r="A938" t="str">
            <v>35</v>
          </cell>
          <cell r="B938" t="str">
            <v>34</v>
          </cell>
          <cell r="C938" t="str">
            <v>1</v>
          </cell>
          <cell r="D938" t="str">
            <v>B</v>
          </cell>
          <cell r="E938">
            <v>1</v>
          </cell>
          <cell r="F938" t="str">
            <v>120070      osztályvezetö</v>
          </cell>
        </row>
        <row r="939">
          <cell r="A939" t="str">
            <v>36</v>
          </cell>
          <cell r="B939" t="str">
            <v>34</v>
          </cell>
          <cell r="C939" t="str">
            <v>1</v>
          </cell>
          <cell r="D939" t="str">
            <v>B</v>
          </cell>
          <cell r="E939">
            <v>1</v>
          </cell>
          <cell r="F939" t="str">
            <v>120080      ügykezelö osztályvezetö</v>
          </cell>
        </row>
        <row r="940">
          <cell r="A940" t="str">
            <v>37</v>
          </cell>
          <cell r="B940" t="str">
            <v>34</v>
          </cell>
          <cell r="C940" t="str">
            <v>1</v>
          </cell>
          <cell r="D940" t="str">
            <v>B</v>
          </cell>
          <cell r="E940">
            <v>1</v>
          </cell>
          <cell r="F940" t="str">
            <v>120090      fizikai csoportvezetö</v>
          </cell>
        </row>
        <row r="941">
          <cell r="A941" t="str">
            <v>38</v>
          </cell>
          <cell r="B941" t="str">
            <v>34</v>
          </cell>
          <cell r="C941" t="str">
            <v>1</v>
          </cell>
          <cell r="D941" t="str">
            <v>B</v>
          </cell>
          <cell r="E941">
            <v>1</v>
          </cell>
          <cell r="F941" t="str">
            <v>121010-121170  I.   Besorolási osztály összesen:</v>
          </cell>
        </row>
        <row r="942">
          <cell r="A942" t="str">
            <v>39</v>
          </cell>
          <cell r="B942" t="str">
            <v>34</v>
          </cell>
          <cell r="C942" t="str">
            <v>1</v>
          </cell>
          <cell r="D942" t="str">
            <v>B</v>
          </cell>
          <cell r="E942">
            <v>1</v>
          </cell>
          <cell r="F942" t="str">
            <v>122010-122150  II.  Besorolási osztály összesen:</v>
          </cell>
        </row>
        <row r="943">
          <cell r="A943" t="str">
            <v>40</v>
          </cell>
          <cell r="B943" t="str">
            <v>34</v>
          </cell>
          <cell r="C943" t="str">
            <v>1</v>
          </cell>
          <cell r="D943" t="str">
            <v>B</v>
          </cell>
          <cell r="E943">
            <v>1</v>
          </cell>
          <cell r="F943" t="str">
            <v>123010-123070  III. Besorolási osztály összesen:</v>
          </cell>
        </row>
        <row r="944">
          <cell r="A944" t="str">
            <v>41</v>
          </cell>
          <cell r="B944" t="str">
            <v>34</v>
          </cell>
          <cell r="C944" t="str">
            <v>1</v>
          </cell>
          <cell r="D944" t="str">
            <v>B</v>
          </cell>
          <cell r="E944">
            <v>1</v>
          </cell>
          <cell r="F944" t="str">
            <v>124010-124070  IV.  Besorolási osztály összesen:</v>
          </cell>
        </row>
        <row r="945">
          <cell r="A945" t="str">
            <v>42</v>
          </cell>
          <cell r="B945" t="str">
            <v>34</v>
          </cell>
          <cell r="C945" t="str">
            <v>1</v>
          </cell>
          <cell r="D945" t="str">
            <v>B</v>
          </cell>
          <cell r="E945">
            <v>1</v>
          </cell>
          <cell r="F945" t="str">
            <v>130050      föosztályvezetö</v>
          </cell>
        </row>
        <row r="946">
          <cell r="A946" t="str">
            <v>43</v>
          </cell>
          <cell r="B946" t="str">
            <v>34</v>
          </cell>
          <cell r="C946" t="str">
            <v>1</v>
          </cell>
          <cell r="D946" t="str">
            <v>B</v>
          </cell>
          <cell r="E946">
            <v>1</v>
          </cell>
          <cell r="F946" t="str">
            <v>130060      föosztályvezetö-helyettes</v>
          </cell>
        </row>
        <row r="947">
          <cell r="A947" t="str">
            <v>44</v>
          </cell>
          <cell r="B947" t="str">
            <v>34</v>
          </cell>
          <cell r="C947" t="str">
            <v>1</v>
          </cell>
          <cell r="D947" t="str">
            <v>B</v>
          </cell>
          <cell r="E947">
            <v>1</v>
          </cell>
          <cell r="F947" t="str">
            <v>130070      osztályvezetö</v>
          </cell>
        </row>
        <row r="948">
          <cell r="A948" t="str">
            <v>45</v>
          </cell>
          <cell r="B948" t="str">
            <v>34</v>
          </cell>
          <cell r="C948" t="str">
            <v>1</v>
          </cell>
          <cell r="D948" t="str">
            <v>B</v>
          </cell>
          <cell r="E948">
            <v>1</v>
          </cell>
          <cell r="F948" t="str">
            <v>130080      ügykezelö osztályvezetö</v>
          </cell>
        </row>
        <row r="949">
          <cell r="A949" t="str">
            <v>46</v>
          </cell>
          <cell r="B949" t="str">
            <v>34</v>
          </cell>
          <cell r="C949" t="str">
            <v>1</v>
          </cell>
          <cell r="D949" t="str">
            <v>B</v>
          </cell>
          <cell r="E949">
            <v>1</v>
          </cell>
          <cell r="F949" t="str">
            <v>130090      fizikai csoportvezetö</v>
          </cell>
        </row>
        <row r="950">
          <cell r="A950" t="str">
            <v>47</v>
          </cell>
          <cell r="B950" t="str">
            <v>34</v>
          </cell>
          <cell r="C950" t="str">
            <v>1</v>
          </cell>
          <cell r="D950" t="str">
            <v>B</v>
          </cell>
          <cell r="E950">
            <v>1</v>
          </cell>
          <cell r="F950" t="str">
            <v>131010-131170  I.   Besorolási osztály összesen:</v>
          </cell>
        </row>
        <row r="951">
          <cell r="A951" t="str">
            <v>48</v>
          </cell>
          <cell r="B951" t="str">
            <v>34</v>
          </cell>
          <cell r="C951" t="str">
            <v>1</v>
          </cell>
          <cell r="D951" t="str">
            <v>B</v>
          </cell>
          <cell r="E951">
            <v>1</v>
          </cell>
          <cell r="F951" t="str">
            <v>132010-132150  II.  Besorolási osztály összesen:</v>
          </cell>
        </row>
        <row r="952">
          <cell r="A952" t="str">
            <v>49</v>
          </cell>
          <cell r="B952" t="str">
            <v>34</v>
          </cell>
          <cell r="C952" t="str">
            <v>1</v>
          </cell>
          <cell r="D952" t="str">
            <v>B</v>
          </cell>
          <cell r="E952">
            <v>1</v>
          </cell>
          <cell r="F952" t="str">
            <v>133010-133070  III. Besorolási osztály összesen:</v>
          </cell>
        </row>
        <row r="953">
          <cell r="A953" t="str">
            <v>50</v>
          </cell>
          <cell r="B953" t="str">
            <v>34</v>
          </cell>
          <cell r="C953" t="str">
            <v>1</v>
          </cell>
          <cell r="D953" t="str">
            <v>B</v>
          </cell>
          <cell r="E953">
            <v>1</v>
          </cell>
          <cell r="F953" t="str">
            <v>134010-134070  IV.  Besorolási osztály összesen:</v>
          </cell>
        </row>
        <row r="954">
          <cell r="A954" t="str">
            <v>51</v>
          </cell>
          <cell r="B954" t="str">
            <v>34</v>
          </cell>
          <cell r="C954" t="str">
            <v>1</v>
          </cell>
          <cell r="D954" t="str">
            <v>B</v>
          </cell>
          <cell r="E954">
            <v>1</v>
          </cell>
          <cell r="F954" t="str">
            <v>Központi szervek köztisztviselöi összesen(18+...+50)</v>
          </cell>
        </row>
        <row r="955">
          <cell r="A955" t="str">
            <v>52</v>
          </cell>
          <cell r="B955" t="str">
            <v>34</v>
          </cell>
          <cell r="C955" t="str">
            <v>1</v>
          </cell>
          <cell r="D955" t="str">
            <v>B</v>
          </cell>
          <cell r="E955">
            <v>1</v>
          </cell>
          <cell r="F955" t="str">
            <v>140030      föjegyzö</v>
          </cell>
        </row>
        <row r="956">
          <cell r="A956" t="str">
            <v>53</v>
          </cell>
          <cell r="B956" t="str">
            <v>34</v>
          </cell>
          <cell r="C956" t="str">
            <v>1</v>
          </cell>
          <cell r="D956" t="str">
            <v>B</v>
          </cell>
          <cell r="E956">
            <v>1</v>
          </cell>
          <cell r="F956" t="str">
            <v>140040      jegyzö,aljegyzö</v>
          </cell>
        </row>
        <row r="957">
          <cell r="A957" t="str">
            <v>54</v>
          </cell>
          <cell r="B957" t="str">
            <v>34</v>
          </cell>
          <cell r="C957" t="str">
            <v>1</v>
          </cell>
          <cell r="D957" t="str">
            <v>B</v>
          </cell>
          <cell r="E957">
            <v>1</v>
          </cell>
          <cell r="F957" t="str">
            <v>140050      föosztályvezetö</v>
          </cell>
        </row>
        <row r="958">
          <cell r="A958" t="str">
            <v>55</v>
          </cell>
          <cell r="B958" t="str">
            <v>34</v>
          </cell>
          <cell r="C958" t="str">
            <v>1</v>
          </cell>
          <cell r="D958" t="str">
            <v>B</v>
          </cell>
          <cell r="E958">
            <v>1</v>
          </cell>
          <cell r="F958" t="str">
            <v>140060      föosztályvezetö-helyettes</v>
          </cell>
        </row>
        <row r="959">
          <cell r="A959" t="str">
            <v>56</v>
          </cell>
          <cell r="B959" t="str">
            <v>34</v>
          </cell>
          <cell r="C959" t="str">
            <v>1</v>
          </cell>
          <cell r="D959" t="str">
            <v>B</v>
          </cell>
          <cell r="E959">
            <v>1</v>
          </cell>
          <cell r="F959" t="str">
            <v>140070      osztályvezetö</v>
          </cell>
        </row>
        <row r="960">
          <cell r="A960" t="str">
            <v>57</v>
          </cell>
          <cell r="B960" t="str">
            <v>34</v>
          </cell>
          <cell r="C960" t="str">
            <v>1</v>
          </cell>
          <cell r="D960" t="str">
            <v>B</v>
          </cell>
          <cell r="E960">
            <v>1</v>
          </cell>
          <cell r="F960" t="str">
            <v>140080      ügykezelö osztályvezetö</v>
          </cell>
        </row>
        <row r="961">
          <cell r="A961" t="str">
            <v>58</v>
          </cell>
          <cell r="B961" t="str">
            <v>34</v>
          </cell>
          <cell r="C961" t="str">
            <v>1</v>
          </cell>
          <cell r="D961" t="str">
            <v>B</v>
          </cell>
          <cell r="E961">
            <v>1</v>
          </cell>
          <cell r="F961" t="str">
            <v>140090      fizikai csoportvezetö</v>
          </cell>
        </row>
        <row r="962">
          <cell r="A962" t="str">
            <v>59</v>
          </cell>
          <cell r="B962" t="str">
            <v>34</v>
          </cell>
          <cell r="C962" t="str">
            <v>1</v>
          </cell>
          <cell r="D962" t="str">
            <v>B</v>
          </cell>
          <cell r="E962">
            <v>1</v>
          </cell>
          <cell r="F962" t="str">
            <v>141010-141170  I.   Besorolási osztály összesen:</v>
          </cell>
        </row>
        <row r="963">
          <cell r="A963" t="str">
            <v>60</v>
          </cell>
          <cell r="B963" t="str">
            <v>34</v>
          </cell>
          <cell r="C963" t="str">
            <v>1</v>
          </cell>
          <cell r="D963" t="str">
            <v>B</v>
          </cell>
          <cell r="E963">
            <v>1</v>
          </cell>
          <cell r="F963" t="str">
            <v>142010-142150  II.  Besorolási osztály összesen:</v>
          </cell>
        </row>
        <row r="964">
          <cell r="A964" t="str">
            <v>61</v>
          </cell>
          <cell r="B964" t="str">
            <v>34</v>
          </cell>
          <cell r="C964" t="str">
            <v>1</v>
          </cell>
          <cell r="D964" t="str">
            <v>B</v>
          </cell>
          <cell r="E964">
            <v>1</v>
          </cell>
          <cell r="F964" t="str">
            <v>143010-143070  III. Besorolási osztály összesen:</v>
          </cell>
        </row>
        <row r="965">
          <cell r="A965" t="str">
            <v>62</v>
          </cell>
          <cell r="B965" t="str">
            <v>34</v>
          </cell>
          <cell r="C965" t="str">
            <v>1</v>
          </cell>
          <cell r="D965" t="str">
            <v>B</v>
          </cell>
          <cell r="E965">
            <v>1</v>
          </cell>
          <cell r="F965" t="str">
            <v>144010-144070  IV.  Besorolási osztály összesen:</v>
          </cell>
        </row>
        <row r="966">
          <cell r="A966" t="str">
            <v>63</v>
          </cell>
          <cell r="B966" t="str">
            <v>34</v>
          </cell>
          <cell r="C966" t="str">
            <v>1</v>
          </cell>
          <cell r="D966" t="str">
            <v>B</v>
          </cell>
          <cell r="E966">
            <v>1</v>
          </cell>
          <cell r="F966" t="str">
            <v>150040      körjegyzö,aljegyzö</v>
          </cell>
        </row>
        <row r="967">
          <cell r="A967" t="str">
            <v>64</v>
          </cell>
          <cell r="B967" t="str">
            <v>34</v>
          </cell>
          <cell r="C967" t="str">
            <v>1</v>
          </cell>
          <cell r="D967" t="str">
            <v>B</v>
          </cell>
          <cell r="E967">
            <v>1</v>
          </cell>
          <cell r="F967" t="str">
            <v>150050      föosztályvezetö</v>
          </cell>
        </row>
        <row r="968">
          <cell r="A968" t="str">
            <v>65</v>
          </cell>
          <cell r="B968" t="str">
            <v>34</v>
          </cell>
          <cell r="C968" t="str">
            <v>1</v>
          </cell>
          <cell r="D968" t="str">
            <v>B</v>
          </cell>
          <cell r="E968">
            <v>1</v>
          </cell>
          <cell r="F968" t="str">
            <v>150060      föosztályvezetö-helyettes</v>
          </cell>
        </row>
        <row r="969">
          <cell r="A969" t="str">
            <v>66</v>
          </cell>
          <cell r="B969" t="str">
            <v>34</v>
          </cell>
          <cell r="C969" t="str">
            <v>1</v>
          </cell>
          <cell r="D969" t="str">
            <v>B</v>
          </cell>
          <cell r="E969">
            <v>1</v>
          </cell>
          <cell r="F969" t="str">
            <v>150070      osztályvezetö</v>
          </cell>
        </row>
        <row r="970">
          <cell r="A970" t="str">
            <v>67</v>
          </cell>
          <cell r="B970" t="str">
            <v>34</v>
          </cell>
          <cell r="C970" t="str">
            <v>1</v>
          </cell>
          <cell r="D970" t="str">
            <v>B</v>
          </cell>
          <cell r="E970">
            <v>1</v>
          </cell>
          <cell r="F970" t="str">
            <v>150080      ügykezelö osztályvezetö</v>
          </cell>
        </row>
        <row r="971">
          <cell r="A971" t="str">
            <v>68</v>
          </cell>
          <cell r="B971" t="str">
            <v>34</v>
          </cell>
          <cell r="C971" t="str">
            <v>1</v>
          </cell>
          <cell r="D971" t="str">
            <v>B</v>
          </cell>
          <cell r="E971">
            <v>1</v>
          </cell>
          <cell r="F971" t="str">
            <v>150090      fizikai csoportvezetö</v>
          </cell>
        </row>
        <row r="972">
          <cell r="A972" t="str">
            <v>69</v>
          </cell>
          <cell r="B972" t="str">
            <v>34</v>
          </cell>
          <cell r="C972" t="str">
            <v>1</v>
          </cell>
          <cell r="D972" t="str">
            <v>B</v>
          </cell>
          <cell r="E972">
            <v>1</v>
          </cell>
          <cell r="F972" t="str">
            <v>151010-151170  I.   Besorolási osztály összesen:</v>
          </cell>
        </row>
        <row r="973">
          <cell r="A973" t="str">
            <v>70</v>
          </cell>
          <cell r="B973" t="str">
            <v>34</v>
          </cell>
          <cell r="C973" t="str">
            <v>1</v>
          </cell>
          <cell r="D973" t="str">
            <v>B</v>
          </cell>
          <cell r="E973">
            <v>1</v>
          </cell>
          <cell r="F973" t="str">
            <v>152010-152150  II.  Besorolási osztály összesen:</v>
          </cell>
        </row>
        <row r="974">
          <cell r="A974" t="str">
            <v>71</v>
          </cell>
          <cell r="B974" t="str">
            <v>34</v>
          </cell>
          <cell r="C974" t="str">
            <v>1</v>
          </cell>
          <cell r="D974" t="str">
            <v>B</v>
          </cell>
          <cell r="E974">
            <v>1</v>
          </cell>
          <cell r="F974" t="str">
            <v>153010-153070  III. Besorolási osztály összesen:</v>
          </cell>
        </row>
        <row r="975">
          <cell r="A975" t="str">
            <v>72</v>
          </cell>
          <cell r="B975" t="str">
            <v>34</v>
          </cell>
          <cell r="C975" t="str">
            <v>1</v>
          </cell>
          <cell r="D975" t="str">
            <v>B</v>
          </cell>
          <cell r="E975">
            <v>1</v>
          </cell>
          <cell r="F975" t="str">
            <v>154010-154070  IV.  Besorolási osztály összesen:</v>
          </cell>
        </row>
        <row r="976">
          <cell r="A976" t="str">
            <v>73</v>
          </cell>
          <cell r="B976" t="str">
            <v>34</v>
          </cell>
          <cell r="C976" t="str">
            <v>1</v>
          </cell>
          <cell r="D976" t="str">
            <v>B</v>
          </cell>
          <cell r="E976">
            <v>1</v>
          </cell>
          <cell r="F976" t="str">
            <v>160010      föpolgármester, megyei közgyülés elnöke</v>
          </cell>
        </row>
        <row r="977">
          <cell r="A977" t="str">
            <v>74</v>
          </cell>
          <cell r="B977" t="str">
            <v>34</v>
          </cell>
          <cell r="C977" t="str">
            <v>1</v>
          </cell>
          <cell r="D977" t="str">
            <v>B</v>
          </cell>
          <cell r="E977">
            <v>1</v>
          </cell>
          <cell r="F977" t="str">
            <v>160020      polgármester</v>
          </cell>
        </row>
        <row r="978">
          <cell r="A978" t="str">
            <v>75</v>
          </cell>
          <cell r="B978" t="str">
            <v>34</v>
          </cell>
          <cell r="C978" t="str">
            <v>1</v>
          </cell>
          <cell r="D978" t="str">
            <v>B</v>
          </cell>
          <cell r="E978">
            <v>1</v>
          </cell>
          <cell r="F978" t="str">
            <v>160030      alpolgármester, föpolgármester-helyettes</v>
          </cell>
        </row>
        <row r="979">
          <cell r="A979" t="str">
            <v>76</v>
          </cell>
          <cell r="B979" t="str">
            <v>34</v>
          </cell>
          <cell r="C979" t="str">
            <v>1</v>
          </cell>
          <cell r="D979" t="str">
            <v>B</v>
          </cell>
          <cell r="E979">
            <v>1</v>
          </cell>
          <cell r="F979" t="str">
            <v>160040      társadalmi megbizatásu (al)polgármester</v>
          </cell>
        </row>
        <row r="980">
          <cell r="A980" t="str">
            <v>77</v>
          </cell>
          <cell r="B980" t="str">
            <v>34</v>
          </cell>
          <cell r="C980" t="str">
            <v>1</v>
          </cell>
          <cell r="D980" t="str">
            <v>B</v>
          </cell>
          <cell r="E980">
            <v>1</v>
          </cell>
          <cell r="F980" t="str">
            <v>Önkormányzati köztisztviselök összesen : (52+...+76)</v>
          </cell>
        </row>
        <row r="981">
          <cell r="A981" t="str">
            <v>78</v>
          </cell>
          <cell r="B981" t="str">
            <v>34</v>
          </cell>
          <cell r="C981" t="str">
            <v>1</v>
          </cell>
          <cell r="D981" t="str">
            <v>B</v>
          </cell>
          <cell r="E981">
            <v>1</v>
          </cell>
          <cell r="F981" t="str">
            <v>31        igazgato (föigazgato)</v>
          </cell>
        </row>
        <row r="982">
          <cell r="A982" t="str">
            <v>79</v>
          </cell>
          <cell r="B982" t="str">
            <v>34</v>
          </cell>
          <cell r="C982" t="str">
            <v>1</v>
          </cell>
          <cell r="D982" t="str">
            <v>B</v>
          </cell>
          <cell r="E982">
            <v>1</v>
          </cell>
          <cell r="F982" t="str">
            <v>31        igazgato-helyettes  (föigazgato-helyettes)</v>
          </cell>
        </row>
        <row r="983">
          <cell r="A983" t="str">
            <v>80</v>
          </cell>
          <cell r="B983" t="str">
            <v>34</v>
          </cell>
          <cell r="C983" t="str">
            <v>1</v>
          </cell>
          <cell r="D983" t="str">
            <v>B</v>
          </cell>
          <cell r="E983">
            <v>1</v>
          </cell>
          <cell r="F983" t="str">
            <v>32        föosztályvezetö</v>
          </cell>
        </row>
        <row r="984">
          <cell r="A984" t="str">
            <v>81</v>
          </cell>
          <cell r="B984" t="str">
            <v>34</v>
          </cell>
          <cell r="C984" t="str">
            <v>1</v>
          </cell>
          <cell r="D984" t="str">
            <v>B</v>
          </cell>
          <cell r="E984">
            <v>1</v>
          </cell>
          <cell r="F984" t="str">
            <v>32        föosztályvezetö-helyettes</v>
          </cell>
        </row>
        <row r="985">
          <cell r="A985" t="str">
            <v>82</v>
          </cell>
          <cell r="B985" t="str">
            <v>34</v>
          </cell>
          <cell r="C985" t="str">
            <v>1</v>
          </cell>
          <cell r="D985" t="str">
            <v>B</v>
          </cell>
          <cell r="E985">
            <v>1</v>
          </cell>
          <cell r="F985" t="str">
            <v>32        osztályvezetö</v>
          </cell>
        </row>
        <row r="986">
          <cell r="A986" t="str">
            <v>83</v>
          </cell>
          <cell r="B986" t="str">
            <v>34</v>
          </cell>
          <cell r="C986" t="str">
            <v>1</v>
          </cell>
          <cell r="D986" t="str">
            <v>B</v>
          </cell>
          <cell r="E986">
            <v>1</v>
          </cell>
          <cell r="F986" t="str">
            <v>32        más vezetö beosztás</v>
          </cell>
        </row>
        <row r="987">
          <cell r="A987" t="str">
            <v>84</v>
          </cell>
          <cell r="B987" t="str">
            <v>34</v>
          </cell>
          <cell r="C987" t="str">
            <v>1</v>
          </cell>
          <cell r="D987" t="str">
            <v>B</v>
          </cell>
          <cell r="E987">
            <v>1</v>
          </cell>
          <cell r="F987" t="str">
            <v>33        fötanácsos</v>
          </cell>
        </row>
        <row r="988">
          <cell r="A988" t="str">
            <v>85</v>
          </cell>
          <cell r="B988" t="str">
            <v>34</v>
          </cell>
          <cell r="C988" t="str">
            <v>1</v>
          </cell>
          <cell r="D988" t="str">
            <v>B</v>
          </cell>
          <cell r="E988">
            <v>1</v>
          </cell>
          <cell r="F988" t="str">
            <v>34        fömunkatárs</v>
          </cell>
        </row>
        <row r="989">
          <cell r="A989" t="str">
            <v>86</v>
          </cell>
          <cell r="B989" t="str">
            <v>34</v>
          </cell>
          <cell r="C989" t="str">
            <v>1</v>
          </cell>
          <cell r="D989" t="str">
            <v>B</v>
          </cell>
          <cell r="E989">
            <v>1</v>
          </cell>
          <cell r="F989" t="str">
            <v>35        tanácsos</v>
          </cell>
        </row>
        <row r="990">
          <cell r="A990" t="str">
            <v>87</v>
          </cell>
          <cell r="B990" t="str">
            <v>34</v>
          </cell>
          <cell r="C990" t="str">
            <v>1</v>
          </cell>
          <cell r="D990" t="str">
            <v>B</v>
          </cell>
          <cell r="E990">
            <v>1</v>
          </cell>
          <cell r="F990" t="str">
            <v>36        munkatárs</v>
          </cell>
        </row>
        <row r="991">
          <cell r="A991" t="str">
            <v>88</v>
          </cell>
          <cell r="B991" t="str">
            <v>34</v>
          </cell>
          <cell r="C991" t="str">
            <v>1</v>
          </cell>
          <cell r="D991" t="str">
            <v>B</v>
          </cell>
          <cell r="E991">
            <v>1</v>
          </cell>
          <cell r="F991" t="str">
            <v>301010-301140    "A"  fizetési osztály összesen:</v>
          </cell>
        </row>
        <row r="992">
          <cell r="A992" t="str">
            <v>89</v>
          </cell>
          <cell r="B992" t="str">
            <v>34</v>
          </cell>
          <cell r="C992" t="str">
            <v>1</v>
          </cell>
          <cell r="D992" t="str">
            <v>B</v>
          </cell>
          <cell r="E992">
            <v>1</v>
          </cell>
          <cell r="F992" t="str">
            <v>302010-302140    "B"  fizetési osztály összesen:</v>
          </cell>
        </row>
        <row r="993">
          <cell r="A993" t="str">
            <v>90</v>
          </cell>
          <cell r="B993" t="str">
            <v>34</v>
          </cell>
          <cell r="C993" t="str">
            <v>1</v>
          </cell>
          <cell r="D993" t="str">
            <v>B</v>
          </cell>
          <cell r="E993">
            <v>1</v>
          </cell>
          <cell r="F993" t="str">
            <v>303010-303140    "C"  fizetési osztály összesen:</v>
          </cell>
        </row>
        <row r="994">
          <cell r="A994" t="str">
            <v>91</v>
          </cell>
          <cell r="B994" t="str">
            <v>34</v>
          </cell>
          <cell r="C994" t="str">
            <v>1</v>
          </cell>
          <cell r="D994" t="str">
            <v>B</v>
          </cell>
          <cell r="E994">
            <v>1</v>
          </cell>
          <cell r="F994" t="str">
            <v>304010-304140    "D"  fizetési osztály összesen:</v>
          </cell>
        </row>
        <row r="995">
          <cell r="A995" t="str">
            <v>92</v>
          </cell>
          <cell r="B995" t="str">
            <v>34</v>
          </cell>
          <cell r="C995" t="str">
            <v>1</v>
          </cell>
          <cell r="D995" t="str">
            <v>B</v>
          </cell>
          <cell r="E995">
            <v>1</v>
          </cell>
          <cell r="F995" t="str">
            <v>305010-305140    "E"  fizetési osztály összesen:</v>
          </cell>
        </row>
        <row r="996">
          <cell r="A996" t="str">
            <v>93</v>
          </cell>
          <cell r="B996" t="str">
            <v>34</v>
          </cell>
          <cell r="C996" t="str">
            <v>1</v>
          </cell>
          <cell r="D996" t="str">
            <v>B</v>
          </cell>
          <cell r="E996">
            <v>1</v>
          </cell>
          <cell r="F996" t="str">
            <v>306010-306140    "F"  fizetési osztály összesen:</v>
          </cell>
        </row>
        <row r="997">
          <cell r="A997" t="str">
            <v>94</v>
          </cell>
          <cell r="B997" t="str">
            <v>34</v>
          </cell>
          <cell r="C997" t="str">
            <v>1</v>
          </cell>
          <cell r="D997" t="str">
            <v>B</v>
          </cell>
          <cell r="E997">
            <v>1</v>
          </cell>
          <cell r="F997" t="str">
            <v>307010-307140    "G"  fizetési osztály összesen:</v>
          </cell>
        </row>
        <row r="998">
          <cell r="A998" t="str">
            <v>95</v>
          </cell>
          <cell r="B998" t="str">
            <v>34</v>
          </cell>
          <cell r="C998" t="str">
            <v>1</v>
          </cell>
          <cell r="D998" t="str">
            <v>B</v>
          </cell>
          <cell r="E998">
            <v>1</v>
          </cell>
          <cell r="F998" t="str">
            <v>308010-308140    "H"  fizetési osztály összesen:</v>
          </cell>
        </row>
        <row r="999">
          <cell r="A999" t="str">
            <v>96</v>
          </cell>
          <cell r="B999" t="str">
            <v>34</v>
          </cell>
          <cell r="C999" t="str">
            <v>1</v>
          </cell>
          <cell r="D999" t="str">
            <v>B</v>
          </cell>
          <cell r="E999">
            <v>1</v>
          </cell>
          <cell r="F999" t="str">
            <v>309010-309140    "I"  fizetési osztály összesen:</v>
          </cell>
        </row>
        <row r="1000">
          <cell r="A1000" t="str">
            <v>97</v>
          </cell>
          <cell r="B1000" t="str">
            <v>34</v>
          </cell>
          <cell r="C1000" t="str">
            <v>1</v>
          </cell>
          <cell r="D1000" t="str">
            <v>B</v>
          </cell>
          <cell r="E1000">
            <v>1</v>
          </cell>
          <cell r="F1000" t="str">
            <v>300010-300140    "J"  fizetési osztály összesen:</v>
          </cell>
        </row>
        <row r="1001">
          <cell r="A1001" t="str">
            <v>98</v>
          </cell>
          <cell r="B1001" t="str">
            <v>34</v>
          </cell>
          <cell r="C1001" t="str">
            <v>1</v>
          </cell>
          <cell r="D1001" t="str">
            <v>B</v>
          </cell>
          <cell r="E1001">
            <v>1</v>
          </cell>
          <cell r="F1001" t="str">
            <v>Közalkalmazottak összesen: (78+...+97)</v>
          </cell>
        </row>
        <row r="1002">
          <cell r="A1002" t="str">
            <v>99</v>
          </cell>
          <cell r="B1002" t="str">
            <v>34</v>
          </cell>
          <cell r="C1002" t="str">
            <v>1</v>
          </cell>
          <cell r="D1002" t="str">
            <v>B</v>
          </cell>
          <cell r="E1002">
            <v>1</v>
          </cell>
          <cell r="F1002" t="str">
            <v>210010-210100  Legfelsöbb Bir.birája,Legföbb Ügyész.ügyésze</v>
          </cell>
        </row>
        <row r="1003">
          <cell r="A1003" t="str">
            <v>100</v>
          </cell>
          <cell r="B1003" t="str">
            <v>34</v>
          </cell>
          <cell r="C1003" t="str">
            <v>1</v>
          </cell>
          <cell r="D1003" t="str">
            <v>B</v>
          </cell>
          <cell r="E1003">
            <v>1</v>
          </cell>
          <cell r="F1003" t="str">
            <v>211010-211100  Itélötábla Birája,fellebvit.föügy.ügyésze</v>
          </cell>
        </row>
        <row r="1004">
          <cell r="A1004" t="str">
            <v>101</v>
          </cell>
          <cell r="B1004" t="str">
            <v>34</v>
          </cell>
          <cell r="C1004" t="str">
            <v>1</v>
          </cell>
          <cell r="D1004" t="str">
            <v>B</v>
          </cell>
          <cell r="E1004">
            <v>1</v>
          </cell>
          <cell r="F1004" t="str">
            <v>212010-212100  megyei bir.biro,megyei föügyészség ügyésze</v>
          </cell>
        </row>
        <row r="1005">
          <cell r="A1005" t="str">
            <v>102</v>
          </cell>
          <cell r="B1005" t="str">
            <v>34</v>
          </cell>
          <cell r="C1005" t="str">
            <v>1</v>
          </cell>
          <cell r="D1005" t="str">
            <v>B</v>
          </cell>
          <cell r="E1005">
            <v>1</v>
          </cell>
          <cell r="F1005" t="str">
            <v>213010-213100  helyi birosági biro,helyi ügyészség ügyésze</v>
          </cell>
        </row>
        <row r="1006">
          <cell r="A1006" t="str">
            <v>103</v>
          </cell>
          <cell r="B1006" t="str">
            <v>34</v>
          </cell>
          <cell r="C1006" t="str">
            <v>1</v>
          </cell>
          <cell r="D1006" t="str">
            <v>B</v>
          </cell>
          <cell r="E1006">
            <v>1</v>
          </cell>
          <cell r="F1006" t="str">
            <v>214010-214040  titkár</v>
          </cell>
        </row>
        <row r="1007">
          <cell r="A1007" t="str">
            <v>104</v>
          </cell>
          <cell r="B1007" t="str">
            <v>34</v>
          </cell>
          <cell r="C1007" t="str">
            <v>1</v>
          </cell>
          <cell r="D1007" t="str">
            <v>B</v>
          </cell>
          <cell r="E1007">
            <v>1</v>
          </cell>
          <cell r="F1007" t="str">
            <v>215010-215040  fogalmazo</v>
          </cell>
        </row>
        <row r="1008">
          <cell r="A1008" t="str">
            <v>105</v>
          </cell>
          <cell r="B1008" t="str">
            <v>34</v>
          </cell>
          <cell r="C1008" t="str">
            <v>1</v>
          </cell>
          <cell r="D1008" t="str">
            <v>B</v>
          </cell>
          <cell r="E1008">
            <v>1</v>
          </cell>
          <cell r="F1008" t="str">
            <v>216010-216130  tisztviselö felsöfoku végzettséggel</v>
          </cell>
        </row>
        <row r="1009">
          <cell r="A1009" t="str">
            <v>106</v>
          </cell>
          <cell r="B1009" t="str">
            <v>34</v>
          </cell>
          <cell r="C1009" t="str">
            <v>1</v>
          </cell>
          <cell r="D1009" t="str">
            <v>B</v>
          </cell>
          <cell r="E1009">
            <v>1</v>
          </cell>
          <cell r="F1009" t="str">
            <v>217010-217130  tisztviselö középfoku végzettséggel</v>
          </cell>
        </row>
        <row r="1010">
          <cell r="A1010" t="str">
            <v>107</v>
          </cell>
          <cell r="B1010" t="str">
            <v>34</v>
          </cell>
          <cell r="C1010" t="str">
            <v>1</v>
          </cell>
          <cell r="D1010" t="str">
            <v>B</v>
          </cell>
          <cell r="E1010">
            <v>1</v>
          </cell>
          <cell r="F1010" t="str">
            <v>218010-218130  ügykezelö</v>
          </cell>
        </row>
        <row r="1011">
          <cell r="A1011" t="str">
            <v>108</v>
          </cell>
          <cell r="B1011" t="str">
            <v>34</v>
          </cell>
          <cell r="C1011" t="str">
            <v>1</v>
          </cell>
          <cell r="D1011" t="str">
            <v>B</v>
          </cell>
          <cell r="E1011">
            <v>1</v>
          </cell>
          <cell r="F1011" t="str">
            <v>219000-219000  fizikai alkalmazott</v>
          </cell>
        </row>
        <row r="1012">
          <cell r="A1012" t="str">
            <v>109</v>
          </cell>
          <cell r="B1012" t="str">
            <v>34</v>
          </cell>
          <cell r="C1012" t="str">
            <v>1</v>
          </cell>
          <cell r="D1012" t="str">
            <v>B</v>
          </cell>
          <cell r="E1012">
            <v>1</v>
          </cell>
        </row>
        <row r="1013">
          <cell r="A1013" t="str">
            <v>110</v>
          </cell>
          <cell r="B1013" t="str">
            <v>34</v>
          </cell>
          <cell r="C1013" t="str">
            <v>1</v>
          </cell>
          <cell r="D1013" t="str">
            <v>B</v>
          </cell>
          <cell r="E1013">
            <v>1</v>
          </cell>
        </row>
        <row r="1014">
          <cell r="A1014" t="str">
            <v>111</v>
          </cell>
          <cell r="B1014" t="str">
            <v>34</v>
          </cell>
          <cell r="C1014" t="str">
            <v>1</v>
          </cell>
          <cell r="D1014" t="str">
            <v>B</v>
          </cell>
          <cell r="E1014">
            <v>1</v>
          </cell>
          <cell r="F1014" t="str">
            <v>Birák,ügyészek,igazságügyi alkalm. összesen:(99+...+110)</v>
          </cell>
        </row>
        <row r="1015">
          <cell r="A1015" t="str">
            <v>112</v>
          </cell>
          <cell r="B1015" t="str">
            <v>34</v>
          </cell>
          <cell r="C1015" t="str">
            <v>1</v>
          </cell>
          <cell r="D1015" t="str">
            <v>B</v>
          </cell>
          <cell r="E1015">
            <v>1</v>
          </cell>
          <cell r="F1015" t="str">
            <v>4000400-4000640  Tábornokok, tisztek</v>
          </cell>
        </row>
        <row r="1016">
          <cell r="A1016" t="str">
            <v>113</v>
          </cell>
          <cell r="B1016" t="str">
            <v>34</v>
          </cell>
          <cell r="C1016" t="str">
            <v>1</v>
          </cell>
          <cell r="D1016" t="str">
            <v>B</v>
          </cell>
          <cell r="E1016">
            <v>1</v>
          </cell>
          <cell r="F1016" t="str">
            <v>4000100-4000330  Zászlosok, tiszthelyettesek</v>
          </cell>
        </row>
        <row r="1017">
          <cell r="A1017" t="str">
            <v>114</v>
          </cell>
          <cell r="B1017" t="str">
            <v>34</v>
          </cell>
          <cell r="C1017" t="str">
            <v>1</v>
          </cell>
          <cell r="D1017" t="str">
            <v>B</v>
          </cell>
          <cell r="E1017">
            <v>1</v>
          </cell>
          <cell r="F1017" t="str">
            <v>4900000       Diplomáciai szolgálatot teljesitök</v>
          </cell>
        </row>
        <row r="1018">
          <cell r="A1018" t="str">
            <v>115</v>
          </cell>
          <cell r="B1018" t="str">
            <v>34</v>
          </cell>
          <cell r="C1018" t="str">
            <v>1</v>
          </cell>
          <cell r="D1018" t="str">
            <v>B</v>
          </cell>
          <cell r="E1018">
            <v>1</v>
          </cell>
          <cell r="F1018" t="str">
            <v>4000000       Szerzödéses sorkatonák</v>
          </cell>
        </row>
        <row r="1019">
          <cell r="A1019" t="str">
            <v>116</v>
          </cell>
          <cell r="B1019" t="str">
            <v>34</v>
          </cell>
          <cell r="C1019" t="str">
            <v>1</v>
          </cell>
          <cell r="D1019" t="str">
            <v>B</v>
          </cell>
          <cell r="E1019">
            <v>1</v>
          </cell>
          <cell r="F1019" t="str">
            <v>Fegyveres erök, rendvédelmi szervek (112+...+115)</v>
          </cell>
        </row>
        <row r="1020">
          <cell r="A1020" t="str">
            <v>117</v>
          </cell>
          <cell r="B1020" t="str">
            <v>34</v>
          </cell>
          <cell r="C1020" t="str">
            <v>1</v>
          </cell>
          <cell r="D1020" t="str">
            <v>B</v>
          </cell>
          <cell r="E1020">
            <v>1</v>
          </cell>
          <cell r="F1020" t="str">
            <v>888888  Egyéb bérrendszer összesen :</v>
          </cell>
        </row>
        <row r="1021">
          <cell r="A1021" t="str">
            <v>118</v>
          </cell>
          <cell r="B1021" t="str">
            <v>34</v>
          </cell>
          <cell r="C1021" t="str">
            <v>1</v>
          </cell>
          <cell r="D1021" t="str">
            <v>B</v>
          </cell>
          <cell r="E1021">
            <v>1</v>
          </cell>
          <cell r="F1021" t="str">
            <v>I.Teljes munkaidös mindösszesen:(07+17+51+77+98+111+116+117)</v>
          </cell>
        </row>
        <row r="1022">
          <cell r="A1022" t="str">
            <v>119</v>
          </cell>
          <cell r="B1022" t="str">
            <v>34</v>
          </cell>
          <cell r="C1022" t="str">
            <v>1</v>
          </cell>
          <cell r="D1022" t="str">
            <v>B</v>
          </cell>
          <cell r="E1022">
            <v>1</v>
          </cell>
          <cell r="F1022" t="str">
            <v>II.Részmunkaidöben fogl.- köztisztviselök összesen</v>
          </cell>
        </row>
        <row r="1023">
          <cell r="A1023" t="str">
            <v>120</v>
          </cell>
          <cell r="B1023" t="str">
            <v>34</v>
          </cell>
          <cell r="C1023" t="str">
            <v>1</v>
          </cell>
          <cell r="D1023" t="str">
            <v>B</v>
          </cell>
          <cell r="E1023">
            <v>1</v>
          </cell>
          <cell r="F1023" t="str">
            <v>II.Részmunkaidöben fogl.- közalkamazottak összesen</v>
          </cell>
        </row>
        <row r="1024">
          <cell r="A1024" t="str">
            <v>121</v>
          </cell>
          <cell r="B1024" t="str">
            <v>34</v>
          </cell>
          <cell r="C1024" t="str">
            <v>1</v>
          </cell>
          <cell r="D1024" t="str">
            <v>B</v>
          </cell>
          <cell r="E1024">
            <v>1</v>
          </cell>
          <cell r="F1024" t="str">
            <v>II.Részmunkaidöben fogl.- birák,ügyészek,igazságügyi alk.</v>
          </cell>
        </row>
        <row r="1025">
          <cell r="A1025" t="str">
            <v>122</v>
          </cell>
          <cell r="B1025" t="str">
            <v>34</v>
          </cell>
          <cell r="C1025" t="str">
            <v>1</v>
          </cell>
          <cell r="D1025" t="str">
            <v>B</v>
          </cell>
          <cell r="E1025">
            <v>1</v>
          </cell>
          <cell r="F1025" t="str">
            <v>II.Részmunkaidöben fogl.-fegyv.erök,rendvéd.szervek hiv.áll.</v>
          </cell>
        </row>
        <row r="1026">
          <cell r="A1026" t="str">
            <v>123</v>
          </cell>
          <cell r="B1026" t="str">
            <v>34</v>
          </cell>
          <cell r="C1026" t="str">
            <v>1</v>
          </cell>
          <cell r="D1026" t="str">
            <v>B</v>
          </cell>
          <cell r="E1026">
            <v>1</v>
          </cell>
          <cell r="F1026" t="str">
            <v>II.Részmunkaidöben fogl.- egyéb bérrendszer összesen</v>
          </cell>
        </row>
        <row r="1027">
          <cell r="A1027" t="str">
            <v>124</v>
          </cell>
          <cell r="B1027" t="str">
            <v>34</v>
          </cell>
          <cell r="C1027" t="str">
            <v>1</v>
          </cell>
          <cell r="D1027" t="str">
            <v>B</v>
          </cell>
          <cell r="E1027">
            <v>1</v>
          </cell>
          <cell r="F1027" t="str">
            <v>II.Részmunkaidöben foglalkoztatottak összesen (119+...+123)</v>
          </cell>
        </row>
        <row r="1028">
          <cell r="A1028" t="str">
            <v>125</v>
          </cell>
          <cell r="B1028" t="str">
            <v>34</v>
          </cell>
          <cell r="C1028" t="str">
            <v>1</v>
          </cell>
          <cell r="D1028" t="str">
            <v>B</v>
          </cell>
          <cell r="E1028">
            <v>1</v>
          </cell>
          <cell r="F1028" t="str">
            <v>I+II. Mindösszesen: (118+124)</v>
          </cell>
        </row>
        <row r="1029">
          <cell r="A1029" t="str">
            <v>1</v>
          </cell>
          <cell r="B1029" t="str">
            <v>35</v>
          </cell>
          <cell r="C1029" t="str">
            <v>1</v>
          </cell>
          <cell r="D1029" t="str">
            <v>B</v>
          </cell>
          <cell r="E1029">
            <v>1</v>
          </cell>
          <cell r="F1029" t="str">
            <v>Rendszeres személyi juttatások</v>
          </cell>
        </row>
        <row r="1030">
          <cell r="A1030" t="str">
            <v>2</v>
          </cell>
          <cell r="B1030" t="str">
            <v>35</v>
          </cell>
          <cell r="C1030" t="str">
            <v>1</v>
          </cell>
          <cell r="D1030" t="str">
            <v>B</v>
          </cell>
          <cell r="E1030">
            <v>1</v>
          </cell>
          <cell r="F1030" t="str">
            <v>Munkavégzéshez kapcsolodo juttatások</v>
          </cell>
        </row>
        <row r="1031">
          <cell r="A1031" t="str">
            <v>3</v>
          </cell>
          <cell r="B1031" t="str">
            <v>35</v>
          </cell>
          <cell r="C1031" t="str">
            <v>1</v>
          </cell>
          <cell r="D1031" t="str">
            <v>B</v>
          </cell>
          <cell r="E1031">
            <v>1</v>
          </cell>
          <cell r="F1031" t="str">
            <v>Foglalkoztatottak sajátos juttatásai</v>
          </cell>
        </row>
        <row r="1032">
          <cell r="A1032" t="str">
            <v>4</v>
          </cell>
          <cell r="B1032" t="str">
            <v>35</v>
          </cell>
          <cell r="C1032" t="str">
            <v>1</v>
          </cell>
          <cell r="D1032" t="str">
            <v>B</v>
          </cell>
          <cell r="E1032">
            <v>1</v>
          </cell>
          <cell r="F1032" t="str">
            <v>Személyhez kapcsolodo költs.és hozzájárulások</v>
          </cell>
        </row>
        <row r="1033">
          <cell r="A1033" t="str">
            <v>5</v>
          </cell>
          <cell r="B1033" t="str">
            <v>35</v>
          </cell>
          <cell r="C1033" t="str">
            <v>1</v>
          </cell>
          <cell r="D1033" t="str">
            <v>B</v>
          </cell>
          <cell r="E1033">
            <v>1</v>
          </cell>
          <cell r="F1033" t="str">
            <v>Szociális jellegü juttatások</v>
          </cell>
        </row>
        <row r="1034">
          <cell r="A1034" t="str">
            <v>6</v>
          </cell>
          <cell r="B1034" t="str">
            <v>35</v>
          </cell>
          <cell r="C1034" t="str">
            <v>1</v>
          </cell>
          <cell r="D1034" t="str">
            <v>B</v>
          </cell>
          <cell r="E1034">
            <v>1</v>
          </cell>
          <cell r="F1034" t="str">
            <v>Állományba tartozo különf.nem rendsz.juttat.</v>
          </cell>
        </row>
        <row r="1035">
          <cell r="A1035" t="str">
            <v>7</v>
          </cell>
          <cell r="B1035" t="str">
            <v>35</v>
          </cell>
          <cell r="C1035" t="str">
            <v>1</v>
          </cell>
          <cell r="D1035" t="str">
            <v>B</v>
          </cell>
          <cell r="E1035">
            <v>1</v>
          </cell>
          <cell r="F1035" t="str">
            <v>Nem rendszeres jutt.összesen (02+...+06)</v>
          </cell>
        </row>
        <row r="1036">
          <cell r="A1036" t="str">
            <v>8</v>
          </cell>
          <cell r="B1036" t="str">
            <v>35</v>
          </cell>
          <cell r="C1036" t="str">
            <v>1</v>
          </cell>
          <cell r="D1036" t="str">
            <v>B</v>
          </cell>
          <cell r="E1036">
            <v>1</v>
          </cell>
          <cell r="F1036" t="str">
            <v>Külsö személyi juttatások</v>
          </cell>
        </row>
        <row r="1037">
          <cell r="A1037" t="str">
            <v>9</v>
          </cell>
          <cell r="B1037" t="str">
            <v>35</v>
          </cell>
          <cell r="C1037" t="str">
            <v>1</v>
          </cell>
          <cell r="D1037" t="str">
            <v>B</v>
          </cell>
          <cell r="E1037">
            <v>1</v>
          </cell>
          <cell r="F1037" t="str">
            <v>Személyi juttatások összesen (01+07+08)</v>
          </cell>
        </row>
        <row r="1038">
          <cell r="A1038" t="str">
            <v>10</v>
          </cell>
          <cell r="B1038" t="str">
            <v>35</v>
          </cell>
          <cell r="C1038" t="str">
            <v>1</v>
          </cell>
          <cell r="D1038" t="str">
            <v>B</v>
          </cell>
          <cell r="E1038">
            <v>1</v>
          </cell>
          <cell r="F1038" t="str">
            <v>Nyitolétszám (fö)</v>
          </cell>
        </row>
        <row r="1039">
          <cell r="A1039" t="str">
            <v>11</v>
          </cell>
          <cell r="B1039" t="str">
            <v>35</v>
          </cell>
          <cell r="C1039" t="str">
            <v>1</v>
          </cell>
          <cell r="D1039" t="str">
            <v>B</v>
          </cell>
          <cell r="E1039">
            <v>1</v>
          </cell>
          <cell r="F1039" t="str">
            <v>Munkajogi nyitolétszám (fö)</v>
          </cell>
        </row>
        <row r="1040">
          <cell r="A1040" t="str">
            <v>12</v>
          </cell>
          <cell r="B1040" t="str">
            <v>35</v>
          </cell>
          <cell r="C1040" t="str">
            <v>1</v>
          </cell>
          <cell r="D1040" t="str">
            <v>B</v>
          </cell>
          <cell r="E1040">
            <v>1</v>
          </cell>
          <cell r="F1040" t="str">
            <v>Költségvetési eng.létszámkeret (álláshely) fö</v>
          </cell>
        </row>
        <row r="1041">
          <cell r="A1041" t="str">
            <v>13</v>
          </cell>
          <cell r="B1041" t="str">
            <v>35</v>
          </cell>
          <cell r="C1041" t="str">
            <v>1</v>
          </cell>
          <cell r="D1041" t="str">
            <v>B</v>
          </cell>
          <cell r="E1041">
            <v>1</v>
          </cell>
          <cell r="F1041" t="str">
            <v>Zárolétszám (fö)</v>
          </cell>
        </row>
        <row r="1042">
          <cell r="A1042" t="str">
            <v>14</v>
          </cell>
          <cell r="B1042" t="str">
            <v>35</v>
          </cell>
          <cell r="C1042" t="str">
            <v>1</v>
          </cell>
          <cell r="D1042" t="str">
            <v>B</v>
          </cell>
          <cell r="E1042">
            <v>1</v>
          </cell>
          <cell r="F1042" t="str">
            <v>Munkajogi zárolétszám (fö)</v>
          </cell>
        </row>
        <row r="1043">
          <cell r="A1043" t="str">
            <v>15</v>
          </cell>
          <cell r="B1043" t="str">
            <v>35</v>
          </cell>
          <cell r="C1043" t="str">
            <v>1</v>
          </cell>
          <cell r="D1043" t="str">
            <v>B</v>
          </cell>
          <cell r="E1043">
            <v>1</v>
          </cell>
          <cell r="F1043" t="str">
            <v>Átlagos statisztikai állományi létszám (fö)</v>
          </cell>
        </row>
        <row r="1044">
          <cell r="A1044" t="str">
            <v>16</v>
          </cell>
          <cell r="B1044" t="str">
            <v>35</v>
          </cell>
          <cell r="C1044" t="str">
            <v>1</v>
          </cell>
          <cell r="D1044" t="str">
            <v>B</v>
          </cell>
          <cell r="E1044">
            <v>1</v>
          </cell>
          <cell r="F1044" t="str">
            <v>ebböl-Tartalékos állományuak</v>
          </cell>
        </row>
        <row r="1045">
          <cell r="A1045" t="str">
            <v>17</v>
          </cell>
          <cell r="B1045" t="str">
            <v>35</v>
          </cell>
          <cell r="C1045" t="str">
            <v>1</v>
          </cell>
          <cell r="D1045" t="str">
            <v>B</v>
          </cell>
          <cell r="E1045">
            <v>1</v>
          </cell>
          <cell r="F1045" t="str">
            <v>ebböl-Katonai és rendvédelmi tan.hallgatoi</v>
          </cell>
        </row>
        <row r="1046">
          <cell r="A1046" t="str">
            <v>18</v>
          </cell>
          <cell r="B1046" t="str">
            <v>35</v>
          </cell>
          <cell r="C1046" t="str">
            <v>1</v>
          </cell>
          <cell r="D1046" t="str">
            <v>B</v>
          </cell>
          <cell r="E1046">
            <v>1</v>
          </cell>
          <cell r="F1046" t="str">
            <v>ebböl-Sorkatona</v>
          </cell>
        </row>
        <row r="1047">
          <cell r="A1047" t="str">
            <v>19</v>
          </cell>
          <cell r="B1047" t="str">
            <v>35</v>
          </cell>
          <cell r="C1047" t="str">
            <v>1</v>
          </cell>
          <cell r="D1047" t="str">
            <v>B</v>
          </cell>
          <cell r="E1047">
            <v>1</v>
          </cell>
          <cell r="F1047" t="str">
            <v>ebböl-Egyéb foglalkoztatottak</v>
          </cell>
        </row>
        <row r="1048">
          <cell r="A1048" t="str">
            <v>1</v>
          </cell>
          <cell r="B1048" t="str">
            <v>38</v>
          </cell>
          <cell r="C1048" t="str">
            <v>1</v>
          </cell>
          <cell r="D1048" t="str">
            <v>B</v>
          </cell>
          <cell r="E1048">
            <v>1</v>
          </cell>
          <cell r="F1048" t="str">
            <v>Elözö évi záro (tárgyévi nyito állomány)</v>
          </cell>
        </row>
        <row r="1049">
          <cell r="A1049" t="str">
            <v>2</v>
          </cell>
          <cell r="B1049" t="str">
            <v>38</v>
          </cell>
          <cell r="C1049" t="str">
            <v>1</v>
          </cell>
          <cell r="D1049" t="str">
            <v>B</v>
          </cell>
          <cell r="E1049">
            <v>1</v>
          </cell>
          <cell r="F1049" t="str">
            <v>Brutto növ.- Beszerzés, létesités</v>
          </cell>
        </row>
        <row r="1050">
          <cell r="A1050" t="str">
            <v>3</v>
          </cell>
          <cell r="B1050" t="str">
            <v>38</v>
          </cell>
          <cell r="C1050" t="str">
            <v>1</v>
          </cell>
          <cell r="D1050" t="str">
            <v>B</v>
          </cell>
          <cell r="E1050">
            <v>1</v>
          </cell>
          <cell r="F1050" t="str">
            <v>Brutto növ.- Felujitás</v>
          </cell>
        </row>
        <row r="1051">
          <cell r="A1051" t="str">
            <v>4</v>
          </cell>
          <cell r="B1051" t="str">
            <v>38</v>
          </cell>
          <cell r="C1051" t="str">
            <v>1</v>
          </cell>
          <cell r="D1051" t="str">
            <v>B</v>
          </cell>
          <cell r="E1051">
            <v>1</v>
          </cell>
          <cell r="F1051" t="str">
            <v>Brutto növ.- Beszerzés,felujitás elöz.felsz.ÁFÁ</v>
          </cell>
        </row>
        <row r="1052">
          <cell r="A1052" t="str">
            <v>5</v>
          </cell>
          <cell r="B1052" t="str">
            <v>38</v>
          </cell>
          <cell r="C1052" t="str">
            <v>1</v>
          </cell>
          <cell r="D1052" t="str">
            <v>B</v>
          </cell>
          <cell r="E1052">
            <v>1</v>
          </cell>
          <cell r="F1052" t="str">
            <v>Brutto növ.- Tárgyévi pénzforg.növ. (02+03+04)</v>
          </cell>
        </row>
        <row r="1053">
          <cell r="A1053" t="str">
            <v>6</v>
          </cell>
          <cell r="B1053" t="str">
            <v>38</v>
          </cell>
          <cell r="C1053" t="str">
            <v>1</v>
          </cell>
          <cell r="D1053" t="str">
            <v>B</v>
          </cell>
          <cell r="E1053">
            <v>1</v>
          </cell>
          <cell r="F1053" t="str">
            <v>Brutto növ.- Saját kiv.beruh.(feluj.) aktivált</v>
          </cell>
        </row>
        <row r="1054">
          <cell r="A1054" t="str">
            <v>7</v>
          </cell>
          <cell r="B1054" t="str">
            <v>38</v>
          </cell>
          <cell r="C1054" t="str">
            <v>1</v>
          </cell>
          <cell r="D1054" t="str">
            <v>B</v>
          </cell>
          <cell r="E1054">
            <v>1</v>
          </cell>
          <cell r="F1054" t="str">
            <v>Brutto növ.- Elözö év(ek) beruházásábol aktivált</v>
          </cell>
        </row>
        <row r="1055">
          <cell r="A1055" t="str">
            <v>8</v>
          </cell>
          <cell r="B1055" t="str">
            <v>38</v>
          </cell>
          <cell r="C1055" t="str">
            <v>1</v>
          </cell>
          <cell r="D1055" t="str">
            <v>B</v>
          </cell>
          <cell r="E1055">
            <v>1</v>
          </cell>
          <cell r="F1055" t="str">
            <v>Brutto növ.- Téritésmentes átvétel</v>
          </cell>
        </row>
        <row r="1056">
          <cell r="A1056" t="str">
            <v>9</v>
          </cell>
          <cell r="B1056" t="str">
            <v>38</v>
          </cell>
          <cell r="C1056" t="str">
            <v>1</v>
          </cell>
          <cell r="D1056" t="str">
            <v>B</v>
          </cell>
          <cell r="E1056">
            <v>1</v>
          </cell>
          <cell r="F1056" t="str">
            <v>Brutto növ.- Egyéb növekedés</v>
          </cell>
        </row>
        <row r="1057">
          <cell r="A1057" t="str">
            <v>10</v>
          </cell>
          <cell r="B1057" t="str">
            <v>38</v>
          </cell>
          <cell r="C1057" t="str">
            <v>1</v>
          </cell>
          <cell r="D1057" t="str">
            <v>B</v>
          </cell>
          <cell r="E1057">
            <v>1</v>
          </cell>
          <cell r="F1057" t="str">
            <v>Brutto növ.- Tágyévi pénzforg.nélk.(06+...09)</v>
          </cell>
        </row>
        <row r="1058">
          <cell r="A1058" t="str">
            <v>11</v>
          </cell>
          <cell r="B1058" t="str">
            <v>38</v>
          </cell>
          <cell r="C1058" t="str">
            <v>1</v>
          </cell>
          <cell r="D1058" t="str">
            <v>B</v>
          </cell>
          <cell r="E1058">
            <v>1</v>
          </cell>
          <cell r="F1058" t="str">
            <v>Brutto növ.- Összes növekedés (05+10)</v>
          </cell>
        </row>
        <row r="1059">
          <cell r="A1059" t="str">
            <v>12</v>
          </cell>
          <cell r="B1059" t="str">
            <v>38</v>
          </cell>
          <cell r="C1059" t="str">
            <v>1</v>
          </cell>
          <cell r="D1059" t="str">
            <v>B</v>
          </cell>
          <cell r="E1059">
            <v>1</v>
          </cell>
          <cell r="F1059" t="str">
            <v>Brutto csök.- Értékesités</v>
          </cell>
        </row>
        <row r="1060">
          <cell r="A1060" t="str">
            <v>13</v>
          </cell>
          <cell r="B1060" t="str">
            <v>38</v>
          </cell>
          <cell r="C1060" t="str">
            <v>1</v>
          </cell>
          <cell r="D1060" t="str">
            <v>B</v>
          </cell>
          <cell r="E1060">
            <v>1</v>
          </cell>
          <cell r="F1060" t="str">
            <v>Brutto csök.- 02-04-böl nem aktivált(beruh.,..)</v>
          </cell>
        </row>
        <row r="1061">
          <cell r="A1061" t="str">
            <v>14</v>
          </cell>
          <cell r="B1061" t="str">
            <v>38</v>
          </cell>
          <cell r="C1061" t="str">
            <v>1</v>
          </cell>
          <cell r="D1061" t="str">
            <v>B</v>
          </cell>
          <cell r="E1061">
            <v>1</v>
          </cell>
          <cell r="F1061" t="str">
            <v>Brutto csök.- Selejtezés,megsemmisülés</v>
          </cell>
        </row>
        <row r="1062">
          <cell r="A1062" t="str">
            <v>15</v>
          </cell>
          <cell r="B1062" t="str">
            <v>38</v>
          </cell>
          <cell r="C1062" t="str">
            <v>1</v>
          </cell>
          <cell r="D1062" t="str">
            <v>B</v>
          </cell>
          <cell r="E1062">
            <v>1</v>
          </cell>
          <cell r="F1062" t="str">
            <v>Brutto csök.- Téritésmentes átadás</v>
          </cell>
        </row>
        <row r="1063">
          <cell r="A1063" t="str">
            <v>16</v>
          </cell>
          <cell r="B1063" t="str">
            <v>38</v>
          </cell>
          <cell r="C1063" t="str">
            <v>1</v>
          </cell>
          <cell r="D1063" t="str">
            <v>B</v>
          </cell>
          <cell r="E1063">
            <v>1</v>
          </cell>
          <cell r="F1063" t="str">
            <v>Brutto csök.- Egyéb csökkenés</v>
          </cell>
        </row>
        <row r="1064">
          <cell r="A1064" t="str">
            <v>17</v>
          </cell>
          <cell r="B1064" t="str">
            <v>38</v>
          </cell>
          <cell r="C1064" t="str">
            <v>1</v>
          </cell>
          <cell r="D1064" t="str">
            <v>B</v>
          </cell>
          <cell r="E1064">
            <v>1</v>
          </cell>
          <cell r="F1064" t="str">
            <v>Brutto csök.- Összes csökkenés (12+...+17)</v>
          </cell>
        </row>
        <row r="1065">
          <cell r="A1065" t="str">
            <v>18</v>
          </cell>
          <cell r="B1065" t="str">
            <v>38</v>
          </cell>
          <cell r="C1065" t="str">
            <v>1</v>
          </cell>
          <cell r="D1065" t="str">
            <v>B</v>
          </cell>
          <cell r="E1065">
            <v>1</v>
          </cell>
          <cell r="F1065" t="str">
            <v>Brutto érték  ö s s z e s e n (01+11-18)</v>
          </cell>
        </row>
        <row r="1066">
          <cell r="A1066" t="str">
            <v>19</v>
          </cell>
          <cell r="B1066" t="str">
            <v>38</v>
          </cell>
          <cell r="C1066" t="str">
            <v>1</v>
          </cell>
          <cell r="D1066" t="str">
            <v>B</v>
          </cell>
          <cell r="E1066">
            <v>1</v>
          </cell>
          <cell r="F1066" t="str">
            <v>Értékcsökkenés-Elözö évi záro (tárgyévi nyito)</v>
          </cell>
        </row>
        <row r="1067">
          <cell r="A1067" t="str">
            <v>20</v>
          </cell>
          <cell r="B1067" t="str">
            <v>38</v>
          </cell>
          <cell r="C1067" t="str">
            <v>1</v>
          </cell>
          <cell r="D1067" t="str">
            <v>B</v>
          </cell>
          <cell r="E1067">
            <v>1</v>
          </cell>
          <cell r="F1067" t="str">
            <v>Értékcsökkenés - Növekedés</v>
          </cell>
        </row>
        <row r="1068">
          <cell r="A1068" t="str">
            <v>21</v>
          </cell>
          <cell r="B1068" t="str">
            <v>38</v>
          </cell>
          <cell r="C1068" t="str">
            <v>1</v>
          </cell>
          <cell r="D1068" t="str">
            <v>B</v>
          </cell>
          <cell r="E1068">
            <v>1</v>
          </cell>
          <cell r="F1068" t="str">
            <v>Értékcsökkenés - Csökkenés</v>
          </cell>
        </row>
        <row r="1069">
          <cell r="A1069" t="str">
            <v>22</v>
          </cell>
          <cell r="B1069" t="str">
            <v>38</v>
          </cell>
          <cell r="C1069" t="str">
            <v>1</v>
          </cell>
          <cell r="D1069" t="str">
            <v>B</v>
          </cell>
          <cell r="E1069">
            <v>1</v>
          </cell>
          <cell r="F1069" t="str">
            <v>Értékcsökkenés összesen (19+20-21)</v>
          </cell>
        </row>
        <row r="1070">
          <cell r="A1070" t="str">
            <v>23</v>
          </cell>
          <cell r="B1070" t="str">
            <v>38</v>
          </cell>
          <cell r="C1070" t="str">
            <v>1</v>
          </cell>
          <cell r="D1070" t="str">
            <v>B</v>
          </cell>
          <cell r="E1070">
            <v>1</v>
          </cell>
          <cell r="F1070" t="str">
            <v>Eszközök   n e t t o   értéke (18-22)</v>
          </cell>
        </row>
        <row r="1071">
          <cell r="A1071" t="str">
            <v>24</v>
          </cell>
          <cell r="B1071" t="str">
            <v>38</v>
          </cell>
          <cell r="C1071" t="str">
            <v>1</v>
          </cell>
          <cell r="D1071" t="str">
            <v>B</v>
          </cell>
          <cell r="E1071">
            <v>1</v>
          </cell>
          <cell r="F1071" t="str">
            <v>Teljesen (0-ig) leirt eszk. brutto értéke</v>
          </cell>
        </row>
        <row r="1072">
          <cell r="A1072" t="str">
            <v>1</v>
          </cell>
          <cell r="B1072" t="str">
            <v>39</v>
          </cell>
          <cell r="C1072" t="str">
            <v>1</v>
          </cell>
          <cell r="D1072" t="str">
            <v>B</v>
          </cell>
          <cell r="E1072">
            <v>1</v>
          </cell>
          <cell r="F1072" t="str">
            <v>Beruházás tervezett összes költsége</v>
          </cell>
        </row>
        <row r="1073">
          <cell r="A1073" t="str">
            <v>2</v>
          </cell>
          <cell r="B1073" t="str">
            <v>39</v>
          </cell>
          <cell r="C1073" t="str">
            <v>1</v>
          </cell>
          <cell r="D1073" t="str">
            <v>B</v>
          </cell>
          <cell r="E1073">
            <v>1</v>
          </cell>
          <cell r="F1073" t="str">
            <v>Beruházásbol Cimzett támog.- eredeti elöir.</v>
          </cell>
        </row>
        <row r="1074">
          <cell r="A1074" t="str">
            <v>3</v>
          </cell>
          <cell r="B1074" t="str">
            <v>39</v>
          </cell>
          <cell r="C1074" t="str">
            <v>1</v>
          </cell>
          <cell r="D1074" t="str">
            <v>B</v>
          </cell>
          <cell r="E1074">
            <v>1</v>
          </cell>
          <cell r="F1074" t="str">
            <v>Beruházásbol Cimzett támog.- modositott elöir.</v>
          </cell>
        </row>
        <row r="1075">
          <cell r="A1075" t="str">
            <v>4</v>
          </cell>
          <cell r="B1075" t="str">
            <v>39</v>
          </cell>
          <cell r="C1075" t="str">
            <v>1</v>
          </cell>
          <cell r="D1075" t="str">
            <v>B</v>
          </cell>
          <cell r="E1075">
            <v>1</v>
          </cell>
          <cell r="F1075" t="str">
            <v>Elözö idöszak Beruházás összes ráforditása</v>
          </cell>
        </row>
        <row r="1076">
          <cell r="A1076" t="str">
            <v>5</v>
          </cell>
          <cell r="B1076" t="str">
            <v>39</v>
          </cell>
          <cell r="C1076" t="str">
            <v>1</v>
          </cell>
          <cell r="D1076" t="str">
            <v>B</v>
          </cell>
          <cell r="E1076">
            <v>1</v>
          </cell>
          <cell r="F1076" t="str">
            <v>Elözö idöszak Cimzett támog.- idöarányos elöir.</v>
          </cell>
        </row>
        <row r="1077">
          <cell r="A1077" t="str">
            <v>6</v>
          </cell>
          <cell r="B1077" t="str">
            <v>39</v>
          </cell>
          <cell r="C1077" t="str">
            <v>1</v>
          </cell>
          <cell r="D1077" t="str">
            <v>B</v>
          </cell>
          <cell r="E1077">
            <v>1</v>
          </cell>
          <cell r="F1077" t="str">
            <v>Elözö idöszak Cimzett támog.- igénybe vett össz.</v>
          </cell>
        </row>
        <row r="1078">
          <cell r="A1078" t="str">
            <v>7</v>
          </cell>
          <cell r="B1078" t="str">
            <v>39</v>
          </cell>
          <cell r="C1078" t="str">
            <v>1</v>
          </cell>
          <cell r="D1078" t="str">
            <v>B</v>
          </cell>
          <cell r="E1078">
            <v>1</v>
          </cell>
          <cell r="F1078" t="str">
            <v>Tárgyévi Beruházás **tervezett** ráforditása</v>
          </cell>
        </row>
        <row r="1079">
          <cell r="A1079" t="str">
            <v>8</v>
          </cell>
          <cell r="B1079" t="str">
            <v>39</v>
          </cell>
          <cell r="C1079" t="str">
            <v>1</v>
          </cell>
          <cell r="D1079" t="str">
            <v>B</v>
          </cell>
          <cell r="E1079">
            <v>1</v>
          </cell>
          <cell r="F1079" t="str">
            <v>Tárgyévi Cimzett támog.elöir.- áthuzudo</v>
          </cell>
        </row>
        <row r="1080">
          <cell r="A1080" t="str">
            <v>9</v>
          </cell>
          <cell r="B1080" t="str">
            <v>39</v>
          </cell>
          <cell r="C1080" t="str">
            <v>1</v>
          </cell>
          <cell r="D1080" t="str">
            <v>B</v>
          </cell>
          <cell r="E1080">
            <v>1</v>
          </cell>
          <cell r="F1080" t="str">
            <v>Tárgyévi Cimzett támog.elöir.- tárgyévi</v>
          </cell>
        </row>
        <row r="1081">
          <cell r="A1081" t="str">
            <v>10</v>
          </cell>
          <cell r="B1081" t="str">
            <v>39</v>
          </cell>
          <cell r="C1081" t="str">
            <v>1</v>
          </cell>
          <cell r="D1081" t="str">
            <v>B</v>
          </cell>
          <cell r="E1081">
            <v>1</v>
          </cell>
          <cell r="F1081" t="str">
            <v>Tárgyévi Cimzett támog.elöir.- összes</v>
          </cell>
        </row>
        <row r="1082">
          <cell r="A1082" t="str">
            <v>11</v>
          </cell>
          <cell r="B1082" t="str">
            <v>39</v>
          </cell>
          <cell r="C1082" t="str">
            <v>1</v>
          </cell>
          <cell r="D1082" t="str">
            <v>B</v>
          </cell>
          <cell r="E1082">
            <v>1</v>
          </cell>
          <cell r="F1082" t="str">
            <v>Tárgyévi Beruházás **tényleges**  ráforditása</v>
          </cell>
        </row>
        <row r="1083">
          <cell r="A1083" t="str">
            <v>12</v>
          </cell>
          <cell r="B1083" t="str">
            <v>39</v>
          </cell>
          <cell r="C1083" t="str">
            <v>1</v>
          </cell>
          <cell r="D1083" t="str">
            <v>B</v>
          </cell>
          <cell r="E1083">
            <v>1</v>
          </cell>
          <cell r="F1083" t="str">
            <v>Tárgyévi Igénybe v.cimzett tám.- áthuzodo elöir.</v>
          </cell>
        </row>
        <row r="1084">
          <cell r="A1084" t="str">
            <v>13</v>
          </cell>
          <cell r="B1084" t="str">
            <v>39</v>
          </cell>
          <cell r="C1084" t="str">
            <v>1</v>
          </cell>
          <cell r="D1084" t="str">
            <v>B</v>
          </cell>
          <cell r="E1084">
            <v>1</v>
          </cell>
          <cell r="F1084" t="str">
            <v>Tárgyévi Igénybe v.cimzett tám.- tárgyévi elöir.</v>
          </cell>
        </row>
        <row r="1085">
          <cell r="A1085" t="str">
            <v>14</v>
          </cell>
          <cell r="B1085" t="str">
            <v>39</v>
          </cell>
          <cell r="C1085" t="str">
            <v>1</v>
          </cell>
          <cell r="D1085" t="str">
            <v>B</v>
          </cell>
          <cell r="E1085">
            <v>1</v>
          </cell>
          <cell r="F1085" t="str">
            <v>Tárgyévi Igénybe v.cimzett tám.- összesen</v>
          </cell>
        </row>
        <row r="1086">
          <cell r="A1086" t="str">
            <v>1</v>
          </cell>
          <cell r="B1086" t="str">
            <v>40</v>
          </cell>
          <cell r="C1086" t="str">
            <v>1</v>
          </cell>
          <cell r="D1086" t="str">
            <v>B</v>
          </cell>
          <cell r="E1086">
            <v>1</v>
          </cell>
          <cell r="F1086" t="str">
            <v>Önkormányzati lakások lakbérbevétele</v>
          </cell>
        </row>
        <row r="1087">
          <cell r="A1087" t="str">
            <v>2</v>
          </cell>
          <cell r="B1087" t="str">
            <v>40</v>
          </cell>
          <cell r="C1087" t="str">
            <v>1</v>
          </cell>
          <cell r="D1087" t="str">
            <v>B</v>
          </cell>
          <cell r="E1087">
            <v>1</v>
          </cell>
          <cell r="F1087" t="str">
            <v>Önkorm.egyéb helyiségek bérbeadásábol származo bevétel</v>
          </cell>
        </row>
        <row r="1088">
          <cell r="A1088" t="str">
            <v>3</v>
          </cell>
          <cell r="B1088" t="str">
            <v>40</v>
          </cell>
          <cell r="C1088" t="str">
            <v>1</v>
          </cell>
          <cell r="D1088" t="str">
            <v>B</v>
          </cell>
          <cell r="E1088">
            <v>1</v>
          </cell>
          <cell r="F1088" t="str">
            <v>Önkormányzati lakások értékesitése</v>
          </cell>
        </row>
        <row r="1089">
          <cell r="A1089" t="str">
            <v>4</v>
          </cell>
          <cell r="B1089" t="str">
            <v>40</v>
          </cell>
          <cell r="C1089" t="str">
            <v>1</v>
          </cell>
          <cell r="D1089" t="str">
            <v>B</v>
          </cell>
          <cell r="E1089">
            <v>1</v>
          </cell>
          <cell r="F1089" t="str">
            <v>Önkormányzati egyéb helyiségek értékesitése</v>
          </cell>
        </row>
        <row r="1090">
          <cell r="A1090" t="str">
            <v>5</v>
          </cell>
          <cell r="B1090" t="str">
            <v>40</v>
          </cell>
          <cell r="C1090" t="str">
            <v>1</v>
          </cell>
          <cell r="D1090" t="str">
            <v>B</v>
          </cell>
          <cell r="E1090">
            <v>1</v>
          </cell>
          <cell r="F1090" t="str">
            <v>Önkormányzati lakások cseréjéböl származo bevétel</v>
          </cell>
        </row>
        <row r="1091">
          <cell r="A1091" t="str">
            <v>6</v>
          </cell>
          <cell r="B1091" t="str">
            <v>40</v>
          </cell>
          <cell r="C1091" t="str">
            <v>1</v>
          </cell>
          <cell r="D1091" t="str">
            <v>B</v>
          </cell>
          <cell r="E1091">
            <v>1</v>
          </cell>
          <cell r="F1091" t="str">
            <v>Bevételek összesen (01+...+05)</v>
          </cell>
        </row>
        <row r="1092">
          <cell r="A1092" t="str">
            <v>7</v>
          </cell>
          <cell r="B1092" t="str">
            <v>40</v>
          </cell>
          <cell r="C1092" t="str">
            <v>1</v>
          </cell>
          <cell r="D1092" t="str">
            <v>B</v>
          </cell>
          <cell r="E1092">
            <v>1</v>
          </cell>
          <cell r="F1092" t="str">
            <v>Önkorm.lakások és helyiségek - fenntartási költsége</v>
          </cell>
        </row>
        <row r="1093">
          <cell r="A1093" t="str">
            <v>8</v>
          </cell>
          <cell r="B1093" t="str">
            <v>40</v>
          </cell>
          <cell r="C1093" t="str">
            <v>1</v>
          </cell>
          <cell r="D1093" t="str">
            <v>B</v>
          </cell>
          <cell r="E1093">
            <v>1</v>
          </cell>
          <cell r="F1093" t="str">
            <v>Önkorm.lakások és helyiségek - felujitása</v>
          </cell>
        </row>
        <row r="1094">
          <cell r="A1094" t="str">
            <v>9</v>
          </cell>
          <cell r="B1094" t="str">
            <v>40</v>
          </cell>
          <cell r="C1094" t="str">
            <v>1</v>
          </cell>
          <cell r="D1094" t="str">
            <v>B</v>
          </cell>
          <cell r="E1094">
            <v>1</v>
          </cell>
          <cell r="F1094" t="str">
            <v>Lakások és helyiségek elidegenitésének költsége</v>
          </cell>
        </row>
        <row r="1095">
          <cell r="A1095" t="str">
            <v>10</v>
          </cell>
          <cell r="B1095" t="str">
            <v>40</v>
          </cell>
          <cell r="C1095" t="str">
            <v>1</v>
          </cell>
          <cell r="D1095" t="str">
            <v>B</v>
          </cell>
          <cell r="E1095">
            <v>1</v>
          </cell>
          <cell r="F1095" t="str">
            <v>Személyi tulajdonu lakoépületek felujitási támogatása</v>
          </cell>
        </row>
        <row r="1096">
          <cell r="A1096" t="str">
            <v>11</v>
          </cell>
          <cell r="B1096" t="str">
            <v>40</v>
          </cell>
          <cell r="C1096" t="str">
            <v>1</v>
          </cell>
          <cell r="D1096" t="str">
            <v>B</v>
          </cell>
          <cell r="E1096">
            <v>1</v>
          </cell>
          <cell r="F1096" t="str">
            <v>Önkorm.saját bevételböl- lakásfenntartási támogatásra</v>
          </cell>
        </row>
        <row r="1097">
          <cell r="A1097" t="str">
            <v>12</v>
          </cell>
          <cell r="B1097" t="str">
            <v>40</v>
          </cell>
          <cell r="C1097" t="str">
            <v>1</v>
          </cell>
          <cell r="D1097" t="str">
            <v>B</v>
          </cell>
          <cell r="E1097">
            <v>1</v>
          </cell>
          <cell r="F1097" t="str">
            <v>Önkorm.saját bevételböl- kényszerbérletek felszámolására</v>
          </cell>
        </row>
        <row r="1098">
          <cell r="A1098" t="str">
            <v>13</v>
          </cell>
          <cell r="B1098" t="str">
            <v>40</v>
          </cell>
          <cell r="C1098" t="str">
            <v>1</v>
          </cell>
          <cell r="D1098" t="str">
            <v>B</v>
          </cell>
          <cell r="E1098">
            <v>1</v>
          </cell>
          <cell r="F1098" t="str">
            <v>Kiadások összesen (07+...+12)</v>
          </cell>
        </row>
        <row r="1099">
          <cell r="A1099" t="str">
            <v>14</v>
          </cell>
          <cell r="B1099" t="str">
            <v>40</v>
          </cell>
          <cell r="C1099" t="str">
            <v>1</v>
          </cell>
          <cell r="D1099" t="str">
            <v>B</v>
          </cell>
          <cell r="E1099">
            <v>1</v>
          </cell>
          <cell r="F1099" t="str">
            <v>Tájékoztato adat-Önkorm.lakás épitésére fordit.kiadás</v>
          </cell>
        </row>
        <row r="1100">
          <cell r="A1100" t="str">
            <v>15</v>
          </cell>
          <cell r="B1100" t="str">
            <v>40</v>
          </cell>
          <cell r="C1100" t="str">
            <v>1</v>
          </cell>
          <cell r="D1100" t="str">
            <v>B</v>
          </cell>
          <cell r="E1100">
            <v>1</v>
          </cell>
          <cell r="F1100" t="str">
            <v>Tájékoztato adat-Ingatlanvásárlás önkorm.lakás céljára</v>
          </cell>
        </row>
        <row r="1101">
          <cell r="A1101" t="str">
            <v>16</v>
          </cell>
          <cell r="B1101" t="str">
            <v>40</v>
          </cell>
          <cell r="C1101" t="str">
            <v>1</v>
          </cell>
          <cell r="D1101" t="str">
            <v>B</v>
          </cell>
          <cell r="E1101">
            <v>1</v>
          </cell>
          <cell r="F1101" t="str">
            <v>Tájékoztato adat-Támogatás Áll.Támogatásu Bérlakás Prog.</v>
          </cell>
        </row>
        <row r="1102">
          <cell r="A1102" t="str">
            <v>17</v>
          </cell>
          <cell r="B1102" t="str">
            <v>40</v>
          </cell>
          <cell r="C1102" t="str">
            <v>1</v>
          </cell>
          <cell r="D1102" t="str">
            <v>B</v>
          </cell>
          <cell r="E1102">
            <v>1</v>
          </cell>
          <cell r="F1102" t="str">
            <v>Tájékoztato adat-Kiadás Áll.Támogatásu Bérlakás Program</v>
          </cell>
        </row>
        <row r="1103">
          <cell r="A1103" t="str">
            <v>18</v>
          </cell>
          <cell r="B1103" t="str">
            <v>40</v>
          </cell>
          <cell r="C1103" t="str">
            <v>1</v>
          </cell>
          <cell r="D1103" t="str">
            <v>B</v>
          </cell>
          <cell r="E1103">
            <v>1</v>
          </cell>
          <cell r="F1103" t="str">
            <v>Tájékoztato adat-Technikai összesen (14+17)</v>
          </cell>
        </row>
        <row r="1104">
          <cell r="A1104" t="str">
            <v>1</v>
          </cell>
          <cell r="B1104" t="str">
            <v>41</v>
          </cell>
          <cell r="C1104" t="str">
            <v>1</v>
          </cell>
          <cell r="D1104" t="str">
            <v>B</v>
          </cell>
          <cell r="E1104">
            <v>1</v>
          </cell>
          <cell r="F1104" t="str">
            <v>Fejezeti maradványelszámolási számla nyito egyenlege</v>
          </cell>
        </row>
        <row r="1105">
          <cell r="A1105" t="str">
            <v>2</v>
          </cell>
          <cell r="B1105" t="str">
            <v>41</v>
          </cell>
          <cell r="C1105" t="str">
            <v>1</v>
          </cell>
          <cell r="D1105" t="str">
            <v>B</v>
          </cell>
          <cell r="E1105">
            <v>1</v>
          </cell>
          <cell r="F1105" t="str">
            <v>Fej.alatti - ktsg-i szervek elöirányzat maradványa jováirása</v>
          </cell>
        </row>
        <row r="1106">
          <cell r="A1106" t="str">
            <v>3</v>
          </cell>
          <cell r="B1106" t="str">
            <v>41</v>
          </cell>
          <cell r="C1106" t="str">
            <v>1</v>
          </cell>
          <cell r="D1106" t="str">
            <v>B</v>
          </cell>
          <cell r="E1106">
            <v>1</v>
          </cell>
          <cell r="F1106" t="str">
            <v>Fej.alatti - pénz-,elöir.-maradv.fej.felülvizsg.-t jováirása</v>
          </cell>
        </row>
        <row r="1107">
          <cell r="A1107" t="str">
            <v>4</v>
          </cell>
          <cell r="B1107" t="str">
            <v>41</v>
          </cell>
          <cell r="C1107" t="str">
            <v>1</v>
          </cell>
          <cell r="D1107" t="str">
            <v>B</v>
          </cell>
          <cell r="E1107">
            <v>1</v>
          </cell>
          <cell r="F1107" t="str">
            <v>Fej.alatti - pénz-,elöir.-maradv.ellenörzö szerv-i jováirása</v>
          </cell>
        </row>
        <row r="1108">
          <cell r="A1108" t="str">
            <v>5</v>
          </cell>
          <cell r="B1108" t="str">
            <v>41</v>
          </cell>
          <cell r="C1108" t="str">
            <v>1</v>
          </cell>
          <cell r="D1108" t="str">
            <v>B</v>
          </cell>
          <cell r="E1108">
            <v>1</v>
          </cell>
          <cell r="F1108" t="str">
            <v>Fej.alatti - normativ hozzájár.elözö évi maradvány jováirása</v>
          </cell>
        </row>
        <row r="1109">
          <cell r="A1109" t="str">
            <v>6</v>
          </cell>
          <cell r="B1109" t="str">
            <v>41</v>
          </cell>
          <cell r="C1109" t="str">
            <v>1</v>
          </cell>
          <cell r="D1109" t="str">
            <v>B</v>
          </cell>
          <cell r="E1109">
            <v>1</v>
          </cell>
          <cell r="F1109" t="str">
            <v>Fej.alatti - egyéb jováirások</v>
          </cell>
        </row>
        <row r="1110">
          <cell r="A1110" t="str">
            <v>7</v>
          </cell>
          <cell r="B1110" t="str">
            <v>41</v>
          </cell>
          <cell r="C1110" t="str">
            <v>1</v>
          </cell>
          <cell r="D1110" t="str">
            <v>B</v>
          </cell>
          <cell r="E1110">
            <v>1</v>
          </cell>
          <cell r="F1110" t="str">
            <v>Társadalmi önszervezödés normativ hozzájár.és tám.visszatér.</v>
          </cell>
        </row>
        <row r="1111">
          <cell r="A1111" t="str">
            <v>8</v>
          </cell>
          <cell r="B1111" t="str">
            <v>41</v>
          </cell>
          <cell r="C1111" t="str">
            <v>1</v>
          </cell>
          <cell r="D1111" t="str">
            <v>B</v>
          </cell>
          <cell r="E1111">
            <v>1</v>
          </cell>
          <cell r="F1111" t="str">
            <v>Egyéb bevétel</v>
          </cell>
        </row>
        <row r="1112">
          <cell r="A1112" t="str">
            <v>9</v>
          </cell>
          <cell r="B1112" t="str">
            <v>41</v>
          </cell>
          <cell r="C1112" t="str">
            <v>1</v>
          </cell>
          <cell r="D1112" t="str">
            <v>B</v>
          </cell>
          <cell r="E1112">
            <v>1</v>
          </cell>
          <cell r="F1112" t="str">
            <v>Bevételek (jováirások) összesen (02+...+08)</v>
          </cell>
        </row>
        <row r="1113">
          <cell r="A1113" t="str">
            <v>10</v>
          </cell>
          <cell r="B1113" t="str">
            <v>41</v>
          </cell>
          <cell r="C1113" t="str">
            <v>1</v>
          </cell>
          <cell r="D1113" t="str">
            <v>B</v>
          </cell>
          <cell r="E1113">
            <v>1</v>
          </cell>
          <cell r="F1113" t="str">
            <v>Közp.ktsg.átvez.- fej.alatti szerv miatti csökk.átvezetése</v>
          </cell>
        </row>
        <row r="1114">
          <cell r="A1114" t="str">
            <v>11</v>
          </cell>
          <cell r="B1114" t="str">
            <v>41</v>
          </cell>
          <cell r="C1114" t="str">
            <v>1</v>
          </cell>
          <cell r="D1114" t="str">
            <v>B</v>
          </cell>
          <cell r="E1114">
            <v>1</v>
          </cell>
          <cell r="F1114" t="str">
            <v>Közp.ktsg.átvez.- normativ hozzájár.maradvány átvezetése</v>
          </cell>
        </row>
        <row r="1115">
          <cell r="A1115" t="str">
            <v>12</v>
          </cell>
          <cell r="B1115" t="str">
            <v>41</v>
          </cell>
          <cell r="C1115" t="str">
            <v>1</v>
          </cell>
          <cell r="D1115" t="str">
            <v>B</v>
          </cell>
          <cell r="E1115">
            <v>1</v>
          </cell>
          <cell r="F1115" t="str">
            <v>Közp.ktsg.átvez.- egyéb átvezetések</v>
          </cell>
        </row>
        <row r="1116">
          <cell r="A1116" t="str">
            <v>13</v>
          </cell>
          <cell r="B1116" t="str">
            <v>41</v>
          </cell>
          <cell r="C1116" t="str">
            <v>1</v>
          </cell>
          <cell r="D1116" t="str">
            <v>B</v>
          </cell>
          <cell r="E1116">
            <v>1</v>
          </cell>
          <cell r="F1116" t="str">
            <v>Központi ktsg-t érintö átvezetések összesen (10+11+12)</v>
          </cell>
        </row>
        <row r="1117">
          <cell r="A1117" t="str">
            <v>14</v>
          </cell>
          <cell r="B1117" t="str">
            <v>41</v>
          </cell>
          <cell r="C1117" t="str">
            <v>1</v>
          </cell>
          <cell r="D1117" t="str">
            <v>B</v>
          </cell>
          <cell r="E1117">
            <v>1</v>
          </cell>
          <cell r="F1117" t="str">
            <v>Fejezet felügy.alatti közp.szervet érintö elözö évi rendez.</v>
          </cell>
        </row>
        <row r="1118">
          <cell r="A1118" t="str">
            <v>15</v>
          </cell>
          <cell r="B1118" t="str">
            <v>41</v>
          </cell>
          <cell r="C1118" t="str">
            <v>1</v>
          </cell>
          <cell r="D1118" t="str">
            <v>B</v>
          </cell>
          <cell r="E1118">
            <v>1</v>
          </cell>
          <cell r="F1118" t="str">
            <v>Társ.önszervezödésnek kiutalt elözö évi normativ hoz.,támog.</v>
          </cell>
        </row>
        <row r="1119">
          <cell r="A1119" t="str">
            <v>16</v>
          </cell>
          <cell r="B1119" t="str">
            <v>41</v>
          </cell>
          <cell r="C1119" t="str">
            <v>1</v>
          </cell>
          <cell r="D1119" t="str">
            <v>B</v>
          </cell>
          <cell r="E1119">
            <v>1</v>
          </cell>
          <cell r="F1119" t="str">
            <v>Egyéb kiadásk</v>
          </cell>
        </row>
        <row r="1120">
          <cell r="A1120" t="str">
            <v>17</v>
          </cell>
          <cell r="B1120" t="str">
            <v>41</v>
          </cell>
          <cell r="C1120" t="str">
            <v>1</v>
          </cell>
          <cell r="D1120" t="str">
            <v>B</v>
          </cell>
          <cell r="E1120">
            <v>1</v>
          </cell>
          <cell r="F1120" t="str">
            <v>Kiadások (átvezetések) öszesen (13+14+15+16)</v>
          </cell>
        </row>
        <row r="1121">
          <cell r="A1121" t="str">
            <v>18</v>
          </cell>
          <cell r="B1121" t="str">
            <v>41</v>
          </cell>
          <cell r="C1121" t="str">
            <v>1</v>
          </cell>
          <cell r="D1121" t="str">
            <v>B</v>
          </cell>
          <cell r="E1121">
            <v>1</v>
          </cell>
          <cell r="F1121" t="str">
            <v>Fejezeti maradványelsz.számla egyenl.XII.31-én (01+09-17)</v>
          </cell>
        </row>
        <row r="1122">
          <cell r="A1122" t="str">
            <v>1</v>
          </cell>
          <cell r="B1122" t="str">
            <v>42</v>
          </cell>
          <cell r="C1122" t="str">
            <v>1</v>
          </cell>
          <cell r="D1122" t="str">
            <v>B</v>
          </cell>
          <cell r="E1122">
            <v>1</v>
          </cell>
          <cell r="F1122" t="str">
            <v>Kiadási elöirányzat                                     (+)</v>
          </cell>
        </row>
        <row r="1123">
          <cell r="A1123" t="str">
            <v>2</v>
          </cell>
          <cell r="B1123" t="str">
            <v>42</v>
          </cell>
          <cell r="C1123" t="str">
            <v>1</v>
          </cell>
          <cell r="D1123" t="str">
            <v>B</v>
          </cell>
          <cell r="E1123">
            <v>1</v>
          </cell>
          <cell r="F1123" t="str">
            <v>Kiadási elöirányzat teljesitése                         (-)</v>
          </cell>
        </row>
        <row r="1124">
          <cell r="A1124" t="str">
            <v>3</v>
          </cell>
          <cell r="B1124" t="str">
            <v>42</v>
          </cell>
          <cell r="C1124" t="str">
            <v>1</v>
          </cell>
          <cell r="D1124" t="str">
            <v>B</v>
          </cell>
          <cell r="E1124">
            <v>1</v>
          </cell>
          <cell r="F1124" t="str">
            <v>Kiadási megtataritás (lemaradás) (01-02)            (+ -)</v>
          </cell>
        </row>
        <row r="1125">
          <cell r="A1125" t="str">
            <v>4</v>
          </cell>
          <cell r="B1125" t="str">
            <v>42</v>
          </cell>
          <cell r="C1125" t="str">
            <v>1</v>
          </cell>
          <cell r="D1125" t="str">
            <v>B</v>
          </cell>
          <cell r="E1125">
            <v>1</v>
          </cell>
          <cell r="F1125" t="str">
            <v>Bevételi elöirányzat                                    (-)</v>
          </cell>
        </row>
        <row r="1126">
          <cell r="A1126" t="str">
            <v>5</v>
          </cell>
          <cell r="B1126" t="str">
            <v>42</v>
          </cell>
          <cell r="C1126" t="str">
            <v>1</v>
          </cell>
          <cell r="D1126" t="str">
            <v>B</v>
          </cell>
          <cell r="E1126">
            <v>1</v>
          </cell>
          <cell r="F1126" t="str">
            <v>Bevételi elöirányzat teljesitése                        (+)</v>
          </cell>
        </row>
        <row r="1127">
          <cell r="A1127" t="str">
            <v>6</v>
          </cell>
          <cell r="B1127" t="str">
            <v>42</v>
          </cell>
          <cell r="C1127" t="str">
            <v>1</v>
          </cell>
          <cell r="D1127" t="str">
            <v>B</v>
          </cell>
          <cell r="E1127">
            <v>1</v>
          </cell>
          <cell r="F1127" t="str">
            <v>Bevételi lemaradás (tulteljesités) (05-04)          (+ -)</v>
          </cell>
        </row>
        <row r="1128">
          <cell r="A1128" t="str">
            <v>7</v>
          </cell>
          <cell r="B1128" t="str">
            <v>42</v>
          </cell>
          <cell r="C1128" t="str">
            <v>1</v>
          </cell>
          <cell r="D1128" t="str">
            <v>B</v>
          </cell>
          <cell r="E1128">
            <v>1</v>
          </cell>
          <cell r="F1128" t="str">
            <v>Kiadási megtak.,bevételi lemaradás különbség (03+06)(+ -)</v>
          </cell>
        </row>
        <row r="1129">
          <cell r="A1129" t="str">
            <v>8</v>
          </cell>
          <cell r="B1129" t="str">
            <v>42</v>
          </cell>
          <cell r="C1129" t="str">
            <v>1</v>
          </cell>
          <cell r="D1129" t="str">
            <v>B</v>
          </cell>
          <cell r="E1129">
            <v>1</v>
          </cell>
          <cell r="F1129" t="str">
            <v>Alaptev.elözö év(ek)böl származo,tárgyévi elöir.maradv. (-)</v>
          </cell>
        </row>
        <row r="1130">
          <cell r="A1130" t="str">
            <v>9</v>
          </cell>
          <cell r="B1130" t="str">
            <v>42</v>
          </cell>
          <cell r="C1130" t="str">
            <v>1</v>
          </cell>
          <cell r="D1130" t="str">
            <v>B</v>
          </cell>
          <cell r="E1130">
            <v>1</v>
          </cell>
          <cell r="F1130" t="str">
            <v>Váll.tev.eredményéböl alaptev.ellát.felhasznált összeg  (-)</v>
          </cell>
        </row>
        <row r="1131">
          <cell r="A1131" t="str">
            <v>10</v>
          </cell>
          <cell r="B1131" t="str">
            <v>42</v>
          </cell>
          <cell r="C1131" t="str">
            <v>1</v>
          </cell>
          <cell r="D1131" t="str">
            <v>B</v>
          </cell>
          <cell r="E1131">
            <v>1</v>
          </cell>
          <cell r="F1131" t="str">
            <v>Modositott kiadási megtakaritás (07+08+09)</v>
          </cell>
        </row>
        <row r="1132">
          <cell r="A1132" t="str">
            <v>11</v>
          </cell>
          <cell r="B1132" t="str">
            <v>42</v>
          </cell>
          <cell r="C1132" t="str">
            <v>1</v>
          </cell>
          <cell r="D1132" t="str">
            <v>B</v>
          </cell>
          <cell r="E1132">
            <v>1</v>
          </cell>
          <cell r="F1132" t="str">
            <v>Központi ktsg.központositott bevételét képezö összeg    (-)</v>
          </cell>
        </row>
        <row r="1133">
          <cell r="A1133" t="str">
            <v>12</v>
          </cell>
          <cell r="B1133" t="str">
            <v>42</v>
          </cell>
          <cell r="C1133" t="str">
            <v>1</v>
          </cell>
          <cell r="D1133" t="str">
            <v>B</v>
          </cell>
          <cell r="E1133">
            <v>1</v>
          </cell>
          <cell r="F1133" t="str">
            <v>Költségvetési szervet meg nem illetö összeg             (-)</v>
          </cell>
        </row>
        <row r="1134">
          <cell r="A1134" t="str">
            <v>13</v>
          </cell>
          <cell r="B1134" t="str">
            <v>42</v>
          </cell>
          <cell r="C1134" t="str">
            <v>1</v>
          </cell>
          <cell r="D1134" t="str">
            <v>B</v>
          </cell>
          <cell r="E1134">
            <v>1</v>
          </cell>
          <cell r="F1134" t="str">
            <v>Felhasználhato elöirányzat maradvány (10-11-12)</v>
          </cell>
        </row>
        <row r="1135">
          <cell r="A1135" t="str">
            <v>0</v>
          </cell>
          <cell r="B1135" t="str">
            <v>44</v>
          </cell>
          <cell r="C1135" t="str">
            <v>1</v>
          </cell>
          <cell r="D1135" t="str">
            <v>B</v>
          </cell>
          <cell r="E1135">
            <v>1</v>
          </cell>
          <cell r="F1135" t="str">
            <v>I. Teljes munkaidöben foglalkoztatottak</v>
          </cell>
        </row>
        <row r="1136">
          <cell r="A1136" t="str">
            <v>1</v>
          </cell>
          <cell r="B1136" t="str">
            <v>44</v>
          </cell>
          <cell r="C1136" t="str">
            <v>1</v>
          </cell>
          <cell r="D1136" t="str">
            <v>B</v>
          </cell>
          <cell r="E1136">
            <v>1</v>
          </cell>
          <cell r="F1136" t="str">
            <v>000010      országgyülési képviselö</v>
          </cell>
        </row>
        <row r="1137">
          <cell r="A1137" t="str">
            <v>2</v>
          </cell>
          <cell r="B1137" t="str">
            <v>44</v>
          </cell>
          <cell r="C1137" t="str">
            <v>1</v>
          </cell>
          <cell r="D1137" t="str">
            <v>B</v>
          </cell>
          <cell r="E1137">
            <v>1</v>
          </cell>
          <cell r="F1137" t="str">
            <v>000020      köztársasági elnök</v>
          </cell>
        </row>
        <row r="1138">
          <cell r="A1138" t="str">
            <v>3</v>
          </cell>
          <cell r="B1138" t="str">
            <v>44</v>
          </cell>
          <cell r="C1138" t="str">
            <v>1</v>
          </cell>
          <cell r="D1138" t="str">
            <v>B</v>
          </cell>
          <cell r="E1138">
            <v>1</v>
          </cell>
          <cell r="F1138" t="str">
            <v>000021      alkotmánybiro</v>
          </cell>
        </row>
        <row r="1139">
          <cell r="A1139" t="str">
            <v>4</v>
          </cell>
          <cell r="B1139" t="str">
            <v>44</v>
          </cell>
          <cell r="C1139" t="str">
            <v>1</v>
          </cell>
          <cell r="D1139" t="str">
            <v>B</v>
          </cell>
          <cell r="E1139">
            <v>1</v>
          </cell>
          <cell r="F1139" t="str">
            <v>000022      Legfelsöbb Biroság elnöke</v>
          </cell>
        </row>
        <row r="1140">
          <cell r="A1140" t="str">
            <v>5</v>
          </cell>
          <cell r="B1140" t="str">
            <v>44</v>
          </cell>
          <cell r="C1140" t="str">
            <v>1</v>
          </cell>
          <cell r="D1140" t="str">
            <v>B</v>
          </cell>
          <cell r="E1140">
            <v>1</v>
          </cell>
          <cell r="F1140" t="str">
            <v>000023      legföbb ügyész</v>
          </cell>
        </row>
        <row r="1141">
          <cell r="A1141" t="str">
            <v>6</v>
          </cell>
          <cell r="B1141" t="str">
            <v>44</v>
          </cell>
          <cell r="C1141" t="str">
            <v>1</v>
          </cell>
          <cell r="D1141" t="str">
            <v>B</v>
          </cell>
          <cell r="E1141">
            <v>1</v>
          </cell>
          <cell r="F1141" t="str">
            <v>000024      országgyülési biztos</v>
          </cell>
        </row>
        <row r="1142">
          <cell r="A1142" t="str">
            <v>7</v>
          </cell>
          <cell r="B1142" t="str">
            <v>44</v>
          </cell>
          <cell r="C1142" t="str">
            <v>1</v>
          </cell>
          <cell r="D1142" t="str">
            <v>B</v>
          </cell>
          <cell r="E1142">
            <v>1</v>
          </cell>
          <cell r="F1142" t="str">
            <v>000025      országgyülési biztos általános helyettese</v>
          </cell>
        </row>
        <row r="1143">
          <cell r="A1143" t="str">
            <v>8</v>
          </cell>
          <cell r="B1143" t="str">
            <v>44</v>
          </cell>
          <cell r="C1143" t="str">
            <v>1</v>
          </cell>
          <cell r="D1143" t="str">
            <v>B</v>
          </cell>
          <cell r="E1143">
            <v>1</v>
          </cell>
          <cell r="F1143" t="str">
            <v>000026      az Állami Számvevöszék elnöke</v>
          </cell>
        </row>
        <row r="1144">
          <cell r="A1144" t="str">
            <v>9</v>
          </cell>
          <cell r="B1144" t="str">
            <v>44</v>
          </cell>
          <cell r="C1144" t="str">
            <v>1</v>
          </cell>
          <cell r="D1144" t="str">
            <v>B</v>
          </cell>
          <cell r="E1144">
            <v>1</v>
          </cell>
          <cell r="F1144" t="str">
            <v>000027      az Állami Számvevöszék elnök helyettese</v>
          </cell>
        </row>
        <row r="1145">
          <cell r="A1145" t="str">
            <v>10</v>
          </cell>
          <cell r="B1145" t="str">
            <v>44</v>
          </cell>
          <cell r="C1145" t="str">
            <v>1</v>
          </cell>
          <cell r="D1145" t="str">
            <v>B</v>
          </cell>
          <cell r="E1145">
            <v>1</v>
          </cell>
          <cell r="F1145" t="str">
            <v>000030      föpolgármester,polgármester</v>
          </cell>
        </row>
        <row r="1146">
          <cell r="A1146" t="str">
            <v>11</v>
          </cell>
          <cell r="B1146" t="str">
            <v>44</v>
          </cell>
          <cell r="C1146" t="str">
            <v>1</v>
          </cell>
          <cell r="D1146" t="str">
            <v>B</v>
          </cell>
          <cell r="E1146">
            <v>1</v>
          </cell>
          <cell r="F1146" t="str">
            <v>000031      társadalmi megbizatásu polgármester</v>
          </cell>
        </row>
        <row r="1147">
          <cell r="A1147" t="str">
            <v>12</v>
          </cell>
          <cell r="B1147" t="str">
            <v>44</v>
          </cell>
          <cell r="C1147" t="str">
            <v>1</v>
          </cell>
          <cell r="D1147" t="str">
            <v>B</v>
          </cell>
          <cell r="E1147">
            <v>1</v>
          </cell>
          <cell r="F1147" t="str">
            <v>000032      helyi önkormányzati képviselö testület tagja</v>
          </cell>
        </row>
        <row r="1148">
          <cell r="A1148" t="str">
            <v>13</v>
          </cell>
          <cell r="B1148" t="str">
            <v>44</v>
          </cell>
          <cell r="C1148" t="str">
            <v>1</v>
          </cell>
          <cell r="D1148" t="str">
            <v>B</v>
          </cell>
          <cell r="E1148">
            <v>1</v>
          </cell>
          <cell r="F1148" t="str">
            <v>000033      megyei közgyülés tagja</v>
          </cell>
        </row>
        <row r="1149">
          <cell r="A1149" t="str">
            <v>14</v>
          </cell>
          <cell r="B1149" t="str">
            <v>44</v>
          </cell>
          <cell r="C1149" t="str">
            <v>1</v>
          </cell>
          <cell r="D1149" t="str">
            <v>B</v>
          </cell>
          <cell r="E1149">
            <v>1</v>
          </cell>
          <cell r="F1149" t="str">
            <v>000040      föpolgármester-helyettes,alpolgármester</v>
          </cell>
        </row>
        <row r="1150">
          <cell r="A1150" t="str">
            <v>15</v>
          </cell>
          <cell r="B1150" t="str">
            <v>44</v>
          </cell>
          <cell r="C1150" t="str">
            <v>1</v>
          </cell>
          <cell r="D1150" t="str">
            <v>B</v>
          </cell>
          <cell r="E1150">
            <v>1</v>
          </cell>
          <cell r="F1150" t="str">
            <v>000041      társadalmi megbizatásu alpolgármester</v>
          </cell>
        </row>
        <row r="1151">
          <cell r="A1151" t="str">
            <v>16</v>
          </cell>
          <cell r="B1151" t="str">
            <v>44</v>
          </cell>
          <cell r="C1151" t="str">
            <v>1</v>
          </cell>
          <cell r="D1151" t="str">
            <v>B</v>
          </cell>
          <cell r="E1151">
            <v>1</v>
          </cell>
          <cell r="F1151" t="str">
            <v>000042      megyei közgyülés elnöke</v>
          </cell>
        </row>
        <row r="1152">
          <cell r="A1152" t="str">
            <v>17</v>
          </cell>
          <cell r="B1152" t="str">
            <v>44</v>
          </cell>
          <cell r="C1152" t="str">
            <v>1</v>
          </cell>
          <cell r="D1152" t="str">
            <v>B</v>
          </cell>
          <cell r="E1152">
            <v>1</v>
          </cell>
          <cell r="F1152" t="str">
            <v>000043      megyei közgyülés alelnöke</v>
          </cell>
        </row>
        <row r="1153">
          <cell r="A1153" t="str">
            <v>18</v>
          </cell>
          <cell r="B1153" t="str">
            <v>44</v>
          </cell>
          <cell r="C1153" t="str">
            <v>1</v>
          </cell>
          <cell r="D1153" t="str">
            <v>B</v>
          </cell>
          <cell r="E1153">
            <v>1</v>
          </cell>
          <cell r="F1153" t="str">
            <v>Választott tisztségviselök összesen: (01+...+17)</v>
          </cell>
        </row>
        <row r="1154">
          <cell r="A1154" t="str">
            <v>19</v>
          </cell>
          <cell r="B1154" t="str">
            <v>44</v>
          </cell>
          <cell r="C1154" t="str">
            <v>1</v>
          </cell>
          <cell r="D1154" t="str">
            <v>B</v>
          </cell>
          <cell r="E1154">
            <v>1</v>
          </cell>
          <cell r="F1154" t="str">
            <v>100030      számvevö igazgato</v>
          </cell>
        </row>
        <row r="1155">
          <cell r="A1155" t="str">
            <v>20</v>
          </cell>
          <cell r="B1155" t="str">
            <v>44</v>
          </cell>
          <cell r="C1155" t="str">
            <v>1</v>
          </cell>
          <cell r="D1155" t="str">
            <v>B</v>
          </cell>
          <cell r="E1155">
            <v>1</v>
          </cell>
          <cell r="F1155" t="str">
            <v>100040      számvevö igazgato-helyettes</v>
          </cell>
        </row>
        <row r="1156">
          <cell r="A1156" t="str">
            <v>21</v>
          </cell>
          <cell r="B1156" t="str">
            <v>44</v>
          </cell>
          <cell r="C1156" t="str">
            <v>1</v>
          </cell>
          <cell r="D1156" t="str">
            <v>B</v>
          </cell>
          <cell r="E1156">
            <v>1</v>
          </cell>
          <cell r="F1156" t="str">
            <v>100050      számvevö fötanácsos</v>
          </cell>
        </row>
        <row r="1157">
          <cell r="A1157" t="str">
            <v>22</v>
          </cell>
          <cell r="B1157" t="str">
            <v>44</v>
          </cell>
          <cell r="C1157" t="str">
            <v>1</v>
          </cell>
          <cell r="D1157" t="str">
            <v>B</v>
          </cell>
          <cell r="E1157">
            <v>1</v>
          </cell>
          <cell r="F1157" t="str">
            <v>101060-101080 I. Besorolási osztály összesen:</v>
          </cell>
        </row>
        <row r="1158">
          <cell r="A1158" t="str">
            <v>23</v>
          </cell>
          <cell r="B1158" t="str">
            <v>44</v>
          </cell>
          <cell r="C1158" t="str">
            <v>1</v>
          </cell>
          <cell r="D1158" t="str">
            <v>B</v>
          </cell>
          <cell r="E1158">
            <v>1</v>
          </cell>
          <cell r="F1158" t="str">
            <v>102010-102170 II.Besorolási osztály össz.(+105140,105160):</v>
          </cell>
        </row>
        <row r="1159">
          <cell r="A1159" t="str">
            <v>24</v>
          </cell>
          <cell r="B1159" t="str">
            <v>44</v>
          </cell>
          <cell r="C1159" t="str">
            <v>1</v>
          </cell>
          <cell r="D1159" t="str">
            <v>B</v>
          </cell>
          <cell r="E1159">
            <v>1</v>
          </cell>
          <cell r="F1159" t="str">
            <v>Állami Számvevöszék összesen: (19+...+23)</v>
          </cell>
        </row>
        <row r="1160">
          <cell r="A1160" t="str">
            <v>25</v>
          </cell>
          <cell r="B1160" t="str">
            <v>44</v>
          </cell>
          <cell r="C1160" t="str">
            <v>1</v>
          </cell>
          <cell r="D1160" t="str">
            <v>B</v>
          </cell>
          <cell r="E1160">
            <v>1</v>
          </cell>
          <cell r="F1160" t="str">
            <v>100020      Gazdasági Versenyhivatal elnöke</v>
          </cell>
        </row>
        <row r="1161">
          <cell r="A1161" t="str">
            <v>26</v>
          </cell>
          <cell r="B1161" t="str">
            <v>44</v>
          </cell>
          <cell r="C1161" t="str">
            <v>1</v>
          </cell>
          <cell r="D1161" t="str">
            <v>B</v>
          </cell>
          <cell r="E1161">
            <v>1</v>
          </cell>
          <cell r="F1161" t="str">
            <v>100030      Gazdasági Versenyhivatal elnökhelyettese</v>
          </cell>
        </row>
        <row r="1162">
          <cell r="A1162" t="str">
            <v>27</v>
          </cell>
          <cell r="B1162" t="str">
            <v>44</v>
          </cell>
          <cell r="C1162" t="str">
            <v>1</v>
          </cell>
          <cell r="D1162" t="str">
            <v>B</v>
          </cell>
          <cell r="E1162">
            <v>1</v>
          </cell>
          <cell r="F1162" t="str">
            <v>103040      Versenytanács tagja</v>
          </cell>
        </row>
        <row r="1163">
          <cell r="A1163" t="str">
            <v>28</v>
          </cell>
          <cell r="B1163" t="str">
            <v>44</v>
          </cell>
          <cell r="C1163" t="str">
            <v>1</v>
          </cell>
          <cell r="D1163" t="str">
            <v>B</v>
          </cell>
          <cell r="E1163">
            <v>1</v>
          </cell>
          <cell r="F1163" t="str">
            <v>100040      vizsgálo irodavezetö</v>
          </cell>
        </row>
        <row r="1164">
          <cell r="A1164" t="str">
            <v>29</v>
          </cell>
          <cell r="B1164" t="str">
            <v>44</v>
          </cell>
          <cell r="C1164" t="str">
            <v>1</v>
          </cell>
          <cell r="D1164" t="str">
            <v>B</v>
          </cell>
          <cell r="E1164">
            <v>1</v>
          </cell>
          <cell r="F1164" t="str">
            <v>100050      vizsgálo vezetö fötanácsos</v>
          </cell>
        </row>
        <row r="1165">
          <cell r="A1165" t="str">
            <v>30</v>
          </cell>
          <cell r="B1165" t="str">
            <v>44</v>
          </cell>
          <cell r="C1165" t="str">
            <v>1</v>
          </cell>
          <cell r="D1165" t="str">
            <v>B</v>
          </cell>
          <cell r="E1165">
            <v>1</v>
          </cell>
          <cell r="F1165" t="str">
            <v>100060      vizsgálo fötanácsos</v>
          </cell>
        </row>
        <row r="1166">
          <cell r="A1166" t="str">
            <v>31</v>
          </cell>
          <cell r="B1166" t="str">
            <v>44</v>
          </cell>
          <cell r="C1166" t="str">
            <v>1</v>
          </cell>
          <cell r="D1166" t="str">
            <v>B</v>
          </cell>
          <cell r="E1166">
            <v>1</v>
          </cell>
          <cell r="F1166" t="str">
            <v>101010-101170 I. Besorolási osztály összesen:</v>
          </cell>
        </row>
        <row r="1167">
          <cell r="A1167" t="str">
            <v>32</v>
          </cell>
          <cell r="B1167" t="str">
            <v>44</v>
          </cell>
          <cell r="C1167" t="str">
            <v>1</v>
          </cell>
          <cell r="D1167" t="str">
            <v>B</v>
          </cell>
          <cell r="E1167">
            <v>1</v>
          </cell>
          <cell r="F1167" t="str">
            <v>102010-102170 II.Besorolási osztály össz.(+105140,105160):</v>
          </cell>
        </row>
        <row r="1168">
          <cell r="A1168" t="str">
            <v>33</v>
          </cell>
          <cell r="B1168" t="str">
            <v>44</v>
          </cell>
          <cell r="C1168" t="str">
            <v>1</v>
          </cell>
          <cell r="D1168" t="str">
            <v>B</v>
          </cell>
          <cell r="E1168">
            <v>1</v>
          </cell>
          <cell r="F1168" t="str">
            <v>Gazdasági Versenyhivatal összesen: (25+...+32)</v>
          </cell>
        </row>
        <row r="1169">
          <cell r="A1169" t="str">
            <v>34</v>
          </cell>
          <cell r="B1169" t="str">
            <v>44</v>
          </cell>
          <cell r="C1169" t="str">
            <v>1</v>
          </cell>
          <cell r="D1169" t="str">
            <v>B</v>
          </cell>
          <cell r="E1169">
            <v>1</v>
          </cell>
          <cell r="F1169" t="str">
            <v>119210      államtitkári besorolásu fötisztviselö</v>
          </cell>
        </row>
        <row r="1170">
          <cell r="A1170" t="str">
            <v>35</v>
          </cell>
          <cell r="B1170" t="str">
            <v>44</v>
          </cell>
          <cell r="C1170" t="str">
            <v>1</v>
          </cell>
          <cell r="D1170" t="str">
            <v>B</v>
          </cell>
          <cell r="E1170">
            <v>1</v>
          </cell>
          <cell r="F1170" t="str">
            <v>119220,129220 helyettes államtitkári besorolásu fötisztvis.</v>
          </cell>
        </row>
        <row r="1171">
          <cell r="A1171" t="str">
            <v>36</v>
          </cell>
          <cell r="B1171" t="str">
            <v>44</v>
          </cell>
          <cell r="C1171" t="str">
            <v>1</v>
          </cell>
          <cell r="D1171" t="str">
            <v>B</v>
          </cell>
          <cell r="E1171">
            <v>1</v>
          </cell>
          <cell r="F1171" t="str">
            <v>119230,129230 föosztályvezetö besorolásu fötisztviselö</v>
          </cell>
        </row>
        <row r="1172">
          <cell r="A1172" t="str">
            <v>37</v>
          </cell>
          <cell r="B1172" t="str">
            <v>44</v>
          </cell>
          <cell r="C1172" t="str">
            <v>1</v>
          </cell>
          <cell r="D1172" t="str">
            <v>B</v>
          </cell>
          <cell r="E1172">
            <v>1</v>
          </cell>
          <cell r="F1172" t="str">
            <v>119240,129240 fötisztviselö</v>
          </cell>
        </row>
        <row r="1173">
          <cell r="A1173" t="str">
            <v>38</v>
          </cell>
          <cell r="B1173" t="str">
            <v>44</v>
          </cell>
          <cell r="C1173" t="str">
            <v>1</v>
          </cell>
          <cell r="D1173" t="str">
            <v>B</v>
          </cell>
          <cell r="E1173">
            <v>1</v>
          </cell>
          <cell r="F1173" t="str">
            <v>Fötisztviselök összesen: (34+...+37)</v>
          </cell>
        </row>
        <row r="1174">
          <cell r="A1174" t="str">
            <v>39</v>
          </cell>
          <cell r="B1174" t="str">
            <v>44</v>
          </cell>
          <cell r="C1174" t="str">
            <v>1</v>
          </cell>
          <cell r="D1174" t="str">
            <v>B</v>
          </cell>
          <cell r="E1174">
            <v>1</v>
          </cell>
          <cell r="F1174" t="str">
            <v>110010      miniszterelnök</v>
          </cell>
        </row>
        <row r="1175">
          <cell r="A1175" t="str">
            <v>40</v>
          </cell>
          <cell r="B1175" t="str">
            <v>44</v>
          </cell>
          <cell r="C1175" t="str">
            <v>1</v>
          </cell>
          <cell r="D1175" t="str">
            <v>B</v>
          </cell>
          <cell r="E1175">
            <v>1</v>
          </cell>
          <cell r="F1175" t="str">
            <v>110020      miniszter</v>
          </cell>
        </row>
        <row r="1176">
          <cell r="A1176" t="str">
            <v>41</v>
          </cell>
          <cell r="B1176" t="str">
            <v>44</v>
          </cell>
          <cell r="C1176" t="str">
            <v>1</v>
          </cell>
          <cell r="D1176" t="str">
            <v>B</v>
          </cell>
          <cell r="E1176">
            <v>1</v>
          </cell>
          <cell r="F1176" t="str">
            <v>110030      államtitkár</v>
          </cell>
        </row>
        <row r="1177">
          <cell r="A1177" t="str">
            <v>42</v>
          </cell>
          <cell r="B1177" t="str">
            <v>44</v>
          </cell>
          <cell r="C1177" t="str">
            <v>1</v>
          </cell>
          <cell r="D1177" t="str">
            <v>B</v>
          </cell>
          <cell r="E1177">
            <v>1</v>
          </cell>
          <cell r="F1177" t="str">
            <v>113030      államtitkárnak minösülö vezetö</v>
          </cell>
        </row>
        <row r="1178">
          <cell r="A1178" t="str">
            <v>43</v>
          </cell>
          <cell r="B1178" t="str">
            <v>44</v>
          </cell>
          <cell r="C1178" t="str">
            <v>1</v>
          </cell>
          <cell r="D1178" t="str">
            <v>B</v>
          </cell>
          <cell r="E1178">
            <v>1</v>
          </cell>
          <cell r="F1178" t="str">
            <v>110040      helyettes államtitkár</v>
          </cell>
        </row>
        <row r="1179">
          <cell r="A1179" t="str">
            <v>44</v>
          </cell>
          <cell r="B1179" t="str">
            <v>44</v>
          </cell>
          <cell r="C1179" t="str">
            <v>1</v>
          </cell>
          <cell r="D1179" t="str">
            <v>B</v>
          </cell>
          <cell r="E1179">
            <v>1</v>
          </cell>
          <cell r="F1179" t="str">
            <v>113040      helyettes államtitkárnak minösülö vezetö</v>
          </cell>
        </row>
        <row r="1180">
          <cell r="A1180" t="str">
            <v>45</v>
          </cell>
          <cell r="B1180" t="str">
            <v>44</v>
          </cell>
          <cell r="C1180" t="str">
            <v>1</v>
          </cell>
          <cell r="D1180" t="str">
            <v>B</v>
          </cell>
          <cell r="E1180">
            <v>1</v>
          </cell>
          <cell r="F1180" t="str">
            <v>110050      föosztályvezetö</v>
          </cell>
        </row>
        <row r="1181">
          <cell r="A1181" t="str">
            <v>46</v>
          </cell>
          <cell r="B1181" t="str">
            <v>44</v>
          </cell>
          <cell r="C1181" t="str">
            <v>1</v>
          </cell>
          <cell r="D1181" t="str">
            <v>B</v>
          </cell>
          <cell r="E1181">
            <v>1</v>
          </cell>
          <cell r="F1181" t="str">
            <v>110060      föosztályvezetö-helyettes</v>
          </cell>
        </row>
        <row r="1182">
          <cell r="A1182" t="str">
            <v>47</v>
          </cell>
          <cell r="B1182" t="str">
            <v>44</v>
          </cell>
          <cell r="C1182" t="str">
            <v>1</v>
          </cell>
          <cell r="D1182" t="str">
            <v>B</v>
          </cell>
          <cell r="E1182">
            <v>1</v>
          </cell>
          <cell r="F1182" t="str">
            <v>110070      osztályvezetö</v>
          </cell>
        </row>
        <row r="1183">
          <cell r="A1183" t="str">
            <v>48</v>
          </cell>
          <cell r="B1183" t="str">
            <v>44</v>
          </cell>
          <cell r="C1183" t="str">
            <v>1</v>
          </cell>
          <cell r="D1183" t="str">
            <v>B</v>
          </cell>
          <cell r="E1183">
            <v>1</v>
          </cell>
          <cell r="F1183" t="str">
            <v>111,114,116-118 I. Besorolási osztály összesen:</v>
          </cell>
        </row>
        <row r="1184">
          <cell r="A1184" t="str">
            <v>49</v>
          </cell>
          <cell r="B1184" t="str">
            <v>44</v>
          </cell>
          <cell r="C1184" t="str">
            <v>1</v>
          </cell>
          <cell r="D1184" t="str">
            <v>B</v>
          </cell>
          <cell r="E1184">
            <v>1</v>
          </cell>
          <cell r="F1184" t="str">
            <v>112,115     II.Besorolási osztály összesen:</v>
          </cell>
        </row>
        <row r="1185">
          <cell r="A1185" t="str">
            <v>50</v>
          </cell>
          <cell r="B1185" t="str">
            <v>44</v>
          </cell>
          <cell r="C1185" t="str">
            <v>1</v>
          </cell>
          <cell r="D1185" t="str">
            <v>B</v>
          </cell>
          <cell r="E1185">
            <v>1</v>
          </cell>
          <cell r="F1185" t="str">
            <v>123030      államtitkárnak minösülö vezetö (területi)</v>
          </cell>
        </row>
        <row r="1186">
          <cell r="A1186" t="str">
            <v>51</v>
          </cell>
          <cell r="B1186" t="str">
            <v>44</v>
          </cell>
          <cell r="C1186" t="str">
            <v>1</v>
          </cell>
          <cell r="D1186" t="str">
            <v>B</v>
          </cell>
          <cell r="E1186">
            <v>1</v>
          </cell>
          <cell r="F1186" t="str">
            <v>123040      helyettes államtitkárnak minösülö vezetö(ter)</v>
          </cell>
        </row>
        <row r="1187">
          <cell r="A1187" t="str">
            <v>52</v>
          </cell>
          <cell r="B1187" t="str">
            <v>44</v>
          </cell>
          <cell r="C1187" t="str">
            <v>1</v>
          </cell>
          <cell r="D1187" t="str">
            <v>B</v>
          </cell>
          <cell r="E1187">
            <v>1</v>
          </cell>
          <cell r="F1187" t="str">
            <v>120050      föosztályvezetö (területi szerv)</v>
          </cell>
        </row>
        <row r="1188">
          <cell r="A1188" t="str">
            <v>53</v>
          </cell>
          <cell r="B1188" t="str">
            <v>44</v>
          </cell>
          <cell r="C1188" t="str">
            <v>1</v>
          </cell>
          <cell r="D1188" t="str">
            <v>B</v>
          </cell>
          <cell r="E1188">
            <v>1</v>
          </cell>
          <cell r="F1188" t="str">
            <v>120060      föosztályvezetö-helyettes (területi szerv)</v>
          </cell>
        </row>
        <row r="1189">
          <cell r="A1189" t="str">
            <v>54</v>
          </cell>
          <cell r="B1189" t="str">
            <v>44</v>
          </cell>
          <cell r="C1189" t="str">
            <v>1</v>
          </cell>
          <cell r="D1189" t="str">
            <v>B</v>
          </cell>
          <cell r="E1189">
            <v>1</v>
          </cell>
          <cell r="F1189" t="str">
            <v>120070      osztályvezetö (területi szerv)</v>
          </cell>
        </row>
        <row r="1190">
          <cell r="A1190" t="str">
            <v>55</v>
          </cell>
          <cell r="B1190" t="str">
            <v>44</v>
          </cell>
          <cell r="C1190" t="str">
            <v>1</v>
          </cell>
          <cell r="D1190" t="str">
            <v>B</v>
          </cell>
          <cell r="E1190">
            <v>1</v>
          </cell>
          <cell r="F1190" t="str">
            <v>121,124,128   I. Besorolási osztály összesen: (területi)</v>
          </cell>
        </row>
        <row r="1191">
          <cell r="A1191" t="str">
            <v>56</v>
          </cell>
          <cell r="B1191" t="str">
            <v>44</v>
          </cell>
          <cell r="C1191" t="str">
            <v>1</v>
          </cell>
          <cell r="D1191" t="str">
            <v>B</v>
          </cell>
          <cell r="E1191">
            <v>1</v>
          </cell>
          <cell r="F1191" t="str">
            <v>122,125     II.Besorolási osztály összesen: (területi)</v>
          </cell>
        </row>
        <row r="1192">
          <cell r="A1192" t="str">
            <v>57</v>
          </cell>
          <cell r="B1192" t="str">
            <v>44</v>
          </cell>
          <cell r="C1192" t="str">
            <v>1</v>
          </cell>
          <cell r="D1192" t="str">
            <v>B</v>
          </cell>
          <cell r="E1192">
            <v>1</v>
          </cell>
          <cell r="F1192" t="str">
            <v>130050      föosztályvezetö (helyi szerv)</v>
          </cell>
        </row>
        <row r="1193">
          <cell r="A1193" t="str">
            <v>58</v>
          </cell>
          <cell r="B1193" t="str">
            <v>44</v>
          </cell>
          <cell r="C1193" t="str">
            <v>1</v>
          </cell>
          <cell r="D1193" t="str">
            <v>B</v>
          </cell>
          <cell r="E1193">
            <v>1</v>
          </cell>
          <cell r="F1193" t="str">
            <v>130060      föosztályvezetö-helyettes (helyi szerv)</v>
          </cell>
        </row>
        <row r="1194">
          <cell r="A1194" t="str">
            <v>59</v>
          </cell>
          <cell r="B1194" t="str">
            <v>44</v>
          </cell>
          <cell r="C1194" t="str">
            <v>1</v>
          </cell>
          <cell r="D1194" t="str">
            <v>B</v>
          </cell>
          <cell r="E1194">
            <v>1</v>
          </cell>
          <cell r="F1194" t="str">
            <v>130070      osztályvezetö (helyi szerv)</v>
          </cell>
        </row>
        <row r="1195">
          <cell r="A1195" t="str">
            <v>60</v>
          </cell>
          <cell r="B1195" t="str">
            <v>44</v>
          </cell>
          <cell r="C1195" t="str">
            <v>1</v>
          </cell>
          <cell r="D1195" t="str">
            <v>B</v>
          </cell>
          <cell r="E1195">
            <v>1</v>
          </cell>
          <cell r="F1195" t="str">
            <v>131,134,138   I. Besorolási osztály összesen: (helyi szerv)</v>
          </cell>
        </row>
        <row r="1196">
          <cell r="A1196" t="str">
            <v>61</v>
          </cell>
          <cell r="B1196" t="str">
            <v>44</v>
          </cell>
          <cell r="C1196" t="str">
            <v>1</v>
          </cell>
          <cell r="D1196" t="str">
            <v>B</v>
          </cell>
          <cell r="E1196">
            <v>1</v>
          </cell>
          <cell r="F1196" t="str">
            <v>132,135     II.Besorolási osztály összesen: (helyi szerv)</v>
          </cell>
        </row>
        <row r="1197">
          <cell r="A1197" t="str">
            <v>62</v>
          </cell>
          <cell r="B1197" t="str">
            <v>44</v>
          </cell>
          <cell r="C1197" t="str">
            <v>1</v>
          </cell>
          <cell r="D1197" t="str">
            <v>B</v>
          </cell>
          <cell r="E1197">
            <v>1</v>
          </cell>
          <cell r="F1197" t="str">
            <v>Központi szervek köztisztviselöi összesen: (39+...+61)</v>
          </cell>
        </row>
        <row r="1198">
          <cell r="A1198" t="str">
            <v>63</v>
          </cell>
          <cell r="B1198" t="str">
            <v>44</v>
          </cell>
          <cell r="C1198" t="str">
            <v>1</v>
          </cell>
          <cell r="D1198" t="str">
            <v>B</v>
          </cell>
          <cell r="E1198">
            <v>1</v>
          </cell>
          <cell r="F1198" t="str">
            <v>140030      föjegyzö</v>
          </cell>
        </row>
        <row r="1199">
          <cell r="A1199" t="str">
            <v>64</v>
          </cell>
          <cell r="B1199" t="str">
            <v>44</v>
          </cell>
          <cell r="C1199" t="str">
            <v>1</v>
          </cell>
          <cell r="D1199" t="str">
            <v>B</v>
          </cell>
          <cell r="E1199">
            <v>1</v>
          </cell>
          <cell r="F1199" t="str">
            <v>140040      jegyzö,aljegyzö</v>
          </cell>
        </row>
        <row r="1200">
          <cell r="A1200" t="str">
            <v>65</v>
          </cell>
          <cell r="B1200" t="str">
            <v>44</v>
          </cell>
          <cell r="C1200" t="str">
            <v>1</v>
          </cell>
          <cell r="D1200" t="str">
            <v>B</v>
          </cell>
          <cell r="E1200">
            <v>1</v>
          </cell>
          <cell r="F1200" t="str">
            <v>140060      föosztályvezetö-helyettes</v>
          </cell>
        </row>
        <row r="1201">
          <cell r="A1201" t="str">
            <v>66</v>
          </cell>
          <cell r="B1201" t="str">
            <v>44</v>
          </cell>
          <cell r="C1201" t="str">
            <v>1</v>
          </cell>
          <cell r="D1201" t="str">
            <v>B</v>
          </cell>
          <cell r="E1201">
            <v>1</v>
          </cell>
          <cell r="F1201" t="str">
            <v>140070      osztályvezetö</v>
          </cell>
        </row>
        <row r="1202">
          <cell r="A1202" t="str">
            <v>67</v>
          </cell>
          <cell r="B1202" t="str">
            <v>44</v>
          </cell>
          <cell r="C1202" t="str">
            <v>1</v>
          </cell>
          <cell r="D1202" t="str">
            <v>B</v>
          </cell>
          <cell r="E1202">
            <v>1</v>
          </cell>
          <cell r="F1202" t="str">
            <v>141,144,148   I. Besorolási osztály összesen:</v>
          </cell>
        </row>
        <row r="1203">
          <cell r="A1203" t="str">
            <v>68</v>
          </cell>
          <cell r="B1203" t="str">
            <v>44</v>
          </cell>
          <cell r="C1203" t="str">
            <v>1</v>
          </cell>
          <cell r="D1203" t="str">
            <v>B</v>
          </cell>
          <cell r="E1203">
            <v>1</v>
          </cell>
          <cell r="F1203" t="str">
            <v>142,145     II.Besorolási osztály összesen:</v>
          </cell>
        </row>
        <row r="1204">
          <cell r="A1204" t="str">
            <v>69</v>
          </cell>
          <cell r="B1204" t="str">
            <v>44</v>
          </cell>
          <cell r="C1204" t="str">
            <v>1</v>
          </cell>
          <cell r="D1204" t="str">
            <v>B</v>
          </cell>
          <cell r="E1204">
            <v>1</v>
          </cell>
          <cell r="F1204" t="str">
            <v>150040      körjegyzö,aljegyzö</v>
          </cell>
        </row>
        <row r="1205">
          <cell r="A1205" t="str">
            <v>70</v>
          </cell>
          <cell r="B1205" t="str">
            <v>44</v>
          </cell>
          <cell r="C1205" t="str">
            <v>1</v>
          </cell>
          <cell r="D1205" t="str">
            <v>B</v>
          </cell>
          <cell r="E1205">
            <v>1</v>
          </cell>
          <cell r="F1205" t="str">
            <v>150060      föosztályvezetö-helyettes (körjegyzöség)</v>
          </cell>
        </row>
        <row r="1206">
          <cell r="A1206" t="str">
            <v>71</v>
          </cell>
          <cell r="B1206" t="str">
            <v>44</v>
          </cell>
          <cell r="C1206" t="str">
            <v>1</v>
          </cell>
          <cell r="D1206" t="str">
            <v>B</v>
          </cell>
          <cell r="E1206">
            <v>1</v>
          </cell>
          <cell r="F1206" t="str">
            <v>150070      osztályvezetö (körjegyzöség)</v>
          </cell>
        </row>
        <row r="1207">
          <cell r="A1207" t="str">
            <v>72</v>
          </cell>
          <cell r="B1207" t="str">
            <v>44</v>
          </cell>
          <cell r="C1207" t="str">
            <v>1</v>
          </cell>
          <cell r="D1207" t="str">
            <v>B</v>
          </cell>
          <cell r="E1207">
            <v>1</v>
          </cell>
          <cell r="F1207" t="str">
            <v>151,154,158   I. Besorolási osztály összesen:(körjegyzöség)</v>
          </cell>
        </row>
        <row r="1208">
          <cell r="A1208" t="str">
            <v>73</v>
          </cell>
          <cell r="B1208" t="str">
            <v>44</v>
          </cell>
          <cell r="C1208" t="str">
            <v>1</v>
          </cell>
          <cell r="D1208" t="str">
            <v>B</v>
          </cell>
          <cell r="E1208">
            <v>1</v>
          </cell>
          <cell r="F1208" t="str">
            <v>152,155     II.Besorolási osztály összesen:(körjegyzöség)</v>
          </cell>
        </row>
        <row r="1209">
          <cell r="A1209" t="str">
            <v>74</v>
          </cell>
          <cell r="B1209" t="str">
            <v>44</v>
          </cell>
          <cell r="C1209" t="str">
            <v>1</v>
          </cell>
          <cell r="D1209" t="str">
            <v>B</v>
          </cell>
          <cell r="E1209">
            <v>1</v>
          </cell>
          <cell r="F1209" t="str">
            <v>Önkormányzati köztisztviselök összesen : (63+...+73)</v>
          </cell>
        </row>
        <row r="1210">
          <cell r="A1210" t="str">
            <v>75</v>
          </cell>
          <cell r="B1210" t="str">
            <v>44</v>
          </cell>
          <cell r="C1210" t="str">
            <v>1</v>
          </cell>
          <cell r="D1210" t="str">
            <v>B</v>
          </cell>
          <cell r="E1210">
            <v>1</v>
          </cell>
          <cell r="F1210" t="str">
            <v>31        igazgato (föigazgato)</v>
          </cell>
        </row>
        <row r="1211">
          <cell r="A1211" t="str">
            <v>76</v>
          </cell>
          <cell r="B1211" t="str">
            <v>44</v>
          </cell>
          <cell r="C1211" t="str">
            <v>1</v>
          </cell>
          <cell r="D1211" t="str">
            <v>B</v>
          </cell>
          <cell r="E1211">
            <v>1</v>
          </cell>
          <cell r="F1211" t="str">
            <v>31        igazgato-helyettes (föigazgato-helyettes)</v>
          </cell>
        </row>
        <row r="1212">
          <cell r="A1212" t="str">
            <v>77</v>
          </cell>
          <cell r="B1212" t="str">
            <v>44</v>
          </cell>
          <cell r="C1212" t="str">
            <v>1</v>
          </cell>
          <cell r="D1212" t="str">
            <v>B</v>
          </cell>
          <cell r="E1212">
            <v>1</v>
          </cell>
          <cell r="F1212" t="str">
            <v>32        föosztályvezetö</v>
          </cell>
        </row>
        <row r="1213">
          <cell r="A1213" t="str">
            <v>78</v>
          </cell>
          <cell r="B1213" t="str">
            <v>44</v>
          </cell>
          <cell r="C1213" t="str">
            <v>1</v>
          </cell>
          <cell r="D1213" t="str">
            <v>B</v>
          </cell>
          <cell r="E1213">
            <v>1</v>
          </cell>
          <cell r="F1213" t="str">
            <v>32        föosztályvezetö-helyettes</v>
          </cell>
        </row>
        <row r="1214">
          <cell r="A1214" t="str">
            <v>79</v>
          </cell>
          <cell r="B1214" t="str">
            <v>44</v>
          </cell>
          <cell r="C1214" t="str">
            <v>1</v>
          </cell>
          <cell r="D1214" t="str">
            <v>B</v>
          </cell>
          <cell r="E1214">
            <v>1</v>
          </cell>
          <cell r="F1214" t="str">
            <v>32        osztályvezetö</v>
          </cell>
        </row>
        <row r="1215">
          <cell r="A1215" t="str">
            <v>80</v>
          </cell>
          <cell r="B1215" t="str">
            <v>44</v>
          </cell>
          <cell r="C1215" t="str">
            <v>1</v>
          </cell>
          <cell r="D1215" t="str">
            <v>B</v>
          </cell>
          <cell r="E1215">
            <v>1</v>
          </cell>
          <cell r="F1215" t="str">
            <v>32        más vezetö beosztás</v>
          </cell>
        </row>
        <row r="1216">
          <cell r="A1216" t="str">
            <v>81</v>
          </cell>
          <cell r="B1216" t="str">
            <v>44</v>
          </cell>
          <cell r="C1216" t="str">
            <v>1</v>
          </cell>
          <cell r="D1216" t="str">
            <v>B</v>
          </cell>
          <cell r="E1216">
            <v>1</v>
          </cell>
          <cell r="F1216" t="str">
            <v>33        fötanácsos</v>
          </cell>
        </row>
        <row r="1217">
          <cell r="A1217" t="str">
            <v>82</v>
          </cell>
          <cell r="B1217" t="str">
            <v>44</v>
          </cell>
          <cell r="C1217" t="str">
            <v>1</v>
          </cell>
          <cell r="D1217" t="str">
            <v>B</v>
          </cell>
          <cell r="E1217">
            <v>1</v>
          </cell>
          <cell r="F1217" t="str">
            <v>34        fömunkatárs</v>
          </cell>
        </row>
        <row r="1218">
          <cell r="A1218" t="str">
            <v>83</v>
          </cell>
          <cell r="B1218" t="str">
            <v>44</v>
          </cell>
          <cell r="C1218" t="str">
            <v>1</v>
          </cell>
          <cell r="D1218" t="str">
            <v>B</v>
          </cell>
          <cell r="E1218">
            <v>1</v>
          </cell>
          <cell r="F1218" t="str">
            <v>35        tanácsos</v>
          </cell>
        </row>
        <row r="1219">
          <cell r="A1219" t="str">
            <v>84</v>
          </cell>
          <cell r="B1219" t="str">
            <v>44</v>
          </cell>
          <cell r="C1219" t="str">
            <v>1</v>
          </cell>
          <cell r="D1219" t="str">
            <v>B</v>
          </cell>
          <cell r="E1219">
            <v>1</v>
          </cell>
          <cell r="F1219" t="str">
            <v>36        munkatárs</v>
          </cell>
        </row>
        <row r="1220">
          <cell r="A1220" t="str">
            <v>85</v>
          </cell>
          <cell r="B1220" t="str">
            <v>44</v>
          </cell>
          <cell r="C1220" t="str">
            <v>1</v>
          </cell>
          <cell r="D1220" t="str">
            <v>B</v>
          </cell>
          <cell r="E1220">
            <v>1</v>
          </cell>
          <cell r="F1220" t="str">
            <v>301010-301140    "A"  fizetési osztály összesen:</v>
          </cell>
        </row>
        <row r="1221">
          <cell r="A1221" t="str">
            <v>86</v>
          </cell>
          <cell r="B1221" t="str">
            <v>44</v>
          </cell>
          <cell r="C1221" t="str">
            <v>1</v>
          </cell>
          <cell r="D1221" t="str">
            <v>B</v>
          </cell>
          <cell r="E1221">
            <v>1</v>
          </cell>
          <cell r="F1221" t="str">
            <v>302010-302140    "B"  fizetési osztály összesen:</v>
          </cell>
        </row>
        <row r="1222">
          <cell r="A1222" t="str">
            <v>87</v>
          </cell>
          <cell r="B1222" t="str">
            <v>44</v>
          </cell>
          <cell r="C1222" t="str">
            <v>1</v>
          </cell>
          <cell r="D1222" t="str">
            <v>B</v>
          </cell>
          <cell r="E1222">
            <v>1</v>
          </cell>
          <cell r="F1222" t="str">
            <v>303010-303140    "C"  fizetési osztály összesen:</v>
          </cell>
        </row>
        <row r="1223">
          <cell r="A1223" t="str">
            <v>88</v>
          </cell>
          <cell r="B1223" t="str">
            <v>44</v>
          </cell>
          <cell r="C1223" t="str">
            <v>1</v>
          </cell>
          <cell r="D1223" t="str">
            <v>B</v>
          </cell>
          <cell r="E1223">
            <v>1</v>
          </cell>
          <cell r="F1223" t="str">
            <v>304010-304140    "D"  fizetési osztály összesen:</v>
          </cell>
        </row>
        <row r="1224">
          <cell r="A1224" t="str">
            <v>89</v>
          </cell>
          <cell r="B1224" t="str">
            <v>44</v>
          </cell>
          <cell r="C1224" t="str">
            <v>1</v>
          </cell>
          <cell r="D1224" t="str">
            <v>B</v>
          </cell>
          <cell r="E1224">
            <v>1</v>
          </cell>
          <cell r="F1224" t="str">
            <v>305010-305140    "E"  fizetési osztály összesen:</v>
          </cell>
        </row>
        <row r="1225">
          <cell r="A1225" t="str">
            <v>90</v>
          </cell>
          <cell r="B1225" t="str">
            <v>44</v>
          </cell>
          <cell r="C1225" t="str">
            <v>1</v>
          </cell>
          <cell r="D1225" t="str">
            <v>B</v>
          </cell>
          <cell r="E1225">
            <v>1</v>
          </cell>
          <cell r="F1225" t="str">
            <v>306010-306140    "F"  fizetési osztály összesen:</v>
          </cell>
        </row>
        <row r="1226">
          <cell r="A1226" t="str">
            <v>91</v>
          </cell>
          <cell r="B1226" t="str">
            <v>44</v>
          </cell>
          <cell r="C1226" t="str">
            <v>1</v>
          </cell>
          <cell r="D1226" t="str">
            <v>B</v>
          </cell>
          <cell r="E1226">
            <v>1</v>
          </cell>
          <cell r="F1226" t="str">
            <v>307010-307140    "G"  fizetési osztály összesen:</v>
          </cell>
        </row>
        <row r="1227">
          <cell r="A1227" t="str">
            <v>92</v>
          </cell>
          <cell r="B1227" t="str">
            <v>44</v>
          </cell>
          <cell r="C1227" t="str">
            <v>1</v>
          </cell>
          <cell r="D1227" t="str">
            <v>B</v>
          </cell>
          <cell r="E1227">
            <v>1</v>
          </cell>
          <cell r="F1227" t="str">
            <v>308010-308140    "H"  fizetési osztály összesen:</v>
          </cell>
        </row>
        <row r="1228">
          <cell r="A1228" t="str">
            <v>93</v>
          </cell>
          <cell r="B1228" t="str">
            <v>44</v>
          </cell>
          <cell r="C1228" t="str">
            <v>1</v>
          </cell>
          <cell r="D1228" t="str">
            <v>B</v>
          </cell>
          <cell r="E1228">
            <v>1</v>
          </cell>
          <cell r="F1228" t="str">
            <v>309010-309140    "I"  fizetési osztály összesen:</v>
          </cell>
        </row>
        <row r="1229">
          <cell r="A1229" t="str">
            <v>94</v>
          </cell>
          <cell r="B1229" t="str">
            <v>44</v>
          </cell>
          <cell r="C1229" t="str">
            <v>1</v>
          </cell>
          <cell r="D1229" t="str">
            <v>B</v>
          </cell>
          <cell r="E1229">
            <v>1</v>
          </cell>
          <cell r="F1229" t="str">
            <v>300010-300140    "J"  fizetési osztály összesen:</v>
          </cell>
        </row>
        <row r="1230">
          <cell r="A1230" t="str">
            <v>95</v>
          </cell>
          <cell r="B1230" t="str">
            <v>44</v>
          </cell>
          <cell r="C1230" t="str">
            <v>1</v>
          </cell>
          <cell r="D1230" t="str">
            <v>B</v>
          </cell>
          <cell r="E1230">
            <v>1</v>
          </cell>
          <cell r="F1230" t="str">
            <v>300210-300450  kutato,felsöoktatásban oktato</v>
          </cell>
        </row>
        <row r="1231">
          <cell r="A1231" t="str">
            <v>96</v>
          </cell>
          <cell r="B1231" t="str">
            <v>44</v>
          </cell>
          <cell r="C1231" t="str">
            <v>1</v>
          </cell>
          <cell r="D1231" t="str">
            <v>B</v>
          </cell>
          <cell r="E1231">
            <v>1</v>
          </cell>
          <cell r="F1231" t="str">
            <v>Közalkalmazottak összesen: (75+...+95)</v>
          </cell>
        </row>
        <row r="1232">
          <cell r="A1232" t="str">
            <v>97</v>
          </cell>
          <cell r="B1232" t="str">
            <v>44</v>
          </cell>
          <cell r="C1232" t="str">
            <v>1</v>
          </cell>
          <cell r="D1232" t="str">
            <v>B</v>
          </cell>
          <cell r="E1232">
            <v>1</v>
          </cell>
          <cell r="F1232" t="str">
            <v>2x0010-2x0100  Legfel.Bir.birája,Legföbb Ügy.ügyésze(x=1,2)</v>
          </cell>
        </row>
        <row r="1233">
          <cell r="A1233" t="str">
            <v>98</v>
          </cell>
          <cell r="B1233" t="str">
            <v>44</v>
          </cell>
          <cell r="C1233" t="str">
            <v>1</v>
          </cell>
          <cell r="D1233" t="str">
            <v>B</v>
          </cell>
          <cell r="E1233">
            <v>1</v>
          </cell>
          <cell r="F1233" t="str">
            <v>2x1010-2x1100  Itélötábla Bir.,fellebvit.föü.ügyésze(x=1,2)</v>
          </cell>
        </row>
        <row r="1234">
          <cell r="A1234" t="str">
            <v>99</v>
          </cell>
          <cell r="B1234" t="str">
            <v>44</v>
          </cell>
          <cell r="C1234" t="str">
            <v>1</v>
          </cell>
          <cell r="D1234" t="str">
            <v>B</v>
          </cell>
          <cell r="E1234">
            <v>1</v>
          </cell>
          <cell r="F1234" t="str">
            <v>2x2010-2x2100  megyei bir.biro,megyei föügy.ügyésze (x=1,2)</v>
          </cell>
        </row>
        <row r="1235">
          <cell r="A1235" t="str">
            <v>100</v>
          </cell>
          <cell r="B1235" t="str">
            <v>44</v>
          </cell>
          <cell r="C1235" t="str">
            <v>1</v>
          </cell>
          <cell r="D1235" t="str">
            <v>B</v>
          </cell>
          <cell r="E1235">
            <v>1</v>
          </cell>
          <cell r="F1235" t="str">
            <v>2x3010-2x3100  helyi birosági biro,helyi ügy.ügyésze(x=1,2)</v>
          </cell>
        </row>
        <row r="1236">
          <cell r="A1236" t="str">
            <v>101</v>
          </cell>
          <cell r="B1236" t="str">
            <v>44</v>
          </cell>
          <cell r="C1236" t="str">
            <v>1</v>
          </cell>
          <cell r="D1236" t="str">
            <v>B</v>
          </cell>
          <cell r="E1236">
            <v>1</v>
          </cell>
          <cell r="F1236" t="str">
            <v>2x4010-2x4040  titkár                               (x=1,2)</v>
          </cell>
        </row>
        <row r="1237">
          <cell r="A1237" t="str">
            <v>102</v>
          </cell>
          <cell r="B1237" t="str">
            <v>44</v>
          </cell>
          <cell r="C1237" t="str">
            <v>1</v>
          </cell>
          <cell r="D1237" t="str">
            <v>B</v>
          </cell>
          <cell r="E1237">
            <v>1</v>
          </cell>
          <cell r="F1237" t="str">
            <v>2x5010-2x5040  fogalmazo                            (x=1,2)</v>
          </cell>
        </row>
        <row r="1238">
          <cell r="A1238" t="str">
            <v>103</v>
          </cell>
          <cell r="B1238" t="str">
            <v>44</v>
          </cell>
          <cell r="C1238" t="str">
            <v>1</v>
          </cell>
          <cell r="D1238" t="str">
            <v>B</v>
          </cell>
          <cell r="E1238">
            <v>1</v>
          </cell>
          <cell r="F1238" t="str">
            <v>2x6010-2x6140  tisztviselö felsöfoku végzettséggel(x=1,2,3)</v>
          </cell>
        </row>
        <row r="1239">
          <cell r="A1239" t="str">
            <v>104</v>
          </cell>
          <cell r="B1239" t="str">
            <v>44</v>
          </cell>
          <cell r="C1239" t="str">
            <v>1</v>
          </cell>
          <cell r="D1239" t="str">
            <v>B</v>
          </cell>
          <cell r="E1239">
            <v>1</v>
          </cell>
          <cell r="F1239" t="str">
            <v>2x7010-2x7140  tisztviselö középfoku végzettséggel(x=1,2,3)</v>
          </cell>
        </row>
        <row r="1240">
          <cell r="A1240" t="str">
            <v>105</v>
          </cell>
          <cell r="B1240" t="str">
            <v>44</v>
          </cell>
          <cell r="C1240" t="str">
            <v>1</v>
          </cell>
          <cell r="D1240" t="str">
            <v>B</v>
          </cell>
          <cell r="E1240">
            <v>1</v>
          </cell>
          <cell r="F1240" t="str">
            <v>2x8010-2x8140  irnok                              (x=1,2,3)</v>
          </cell>
        </row>
        <row r="1241">
          <cell r="A1241" t="str">
            <v>106</v>
          </cell>
          <cell r="B1241" t="str">
            <v>44</v>
          </cell>
          <cell r="C1241" t="str">
            <v>1</v>
          </cell>
          <cell r="D1241" t="str">
            <v>B</v>
          </cell>
          <cell r="E1241">
            <v>1</v>
          </cell>
          <cell r="F1241" t="str">
            <v>2x9000       fizikai alkalmazott                (x=1,2,3)</v>
          </cell>
        </row>
        <row r="1242">
          <cell r="A1242" t="str">
            <v>107</v>
          </cell>
          <cell r="B1242" t="str">
            <v>44</v>
          </cell>
          <cell r="C1242" t="str">
            <v>1</v>
          </cell>
          <cell r="D1242" t="str">
            <v>B</v>
          </cell>
          <cell r="E1242">
            <v>1</v>
          </cell>
          <cell r="F1242" t="str">
            <v>Birák,ügyészek,igazságügyi alk.összesen: (97+...+106)</v>
          </cell>
        </row>
        <row r="1243">
          <cell r="A1243" t="str">
            <v>108</v>
          </cell>
          <cell r="B1243" t="str">
            <v>44</v>
          </cell>
          <cell r="C1243" t="str">
            <v>1</v>
          </cell>
          <cell r="D1243" t="str">
            <v>B</v>
          </cell>
          <cell r="E1243">
            <v>1</v>
          </cell>
          <cell r="F1243" t="str">
            <v>4291600-4891600  közp.tisztikar orsz.parancsnok tagja</v>
          </cell>
        </row>
        <row r="1244">
          <cell r="A1244" t="str">
            <v>109</v>
          </cell>
          <cell r="B1244" t="str">
            <v>44</v>
          </cell>
          <cell r="C1244" t="str">
            <v>1</v>
          </cell>
          <cell r="D1244" t="str">
            <v>B</v>
          </cell>
          <cell r="E1244">
            <v>1</v>
          </cell>
          <cell r="F1244" t="str">
            <v>4292500-4892600  közp.tisztikar orsz.parancsnok hely.tagja</v>
          </cell>
        </row>
        <row r="1245">
          <cell r="A1245" t="str">
            <v>110</v>
          </cell>
          <cell r="B1245" t="str">
            <v>44</v>
          </cell>
          <cell r="C1245" t="str">
            <v>1</v>
          </cell>
          <cell r="D1245" t="str">
            <v>B</v>
          </cell>
          <cell r="E1245">
            <v>1</v>
          </cell>
          <cell r="F1245" t="str">
            <v>4293500-4893500  közp.tisztikar föosztályvezetö tagja</v>
          </cell>
        </row>
        <row r="1246">
          <cell r="A1246" t="str">
            <v>111</v>
          </cell>
          <cell r="B1246" t="str">
            <v>44</v>
          </cell>
          <cell r="C1246" t="str">
            <v>1</v>
          </cell>
          <cell r="D1246" t="str">
            <v>B</v>
          </cell>
          <cell r="E1246">
            <v>1</v>
          </cell>
          <cell r="F1246" t="str">
            <v>4294500-4894500  közp.tisztikar föosztályvezetö-hely.tagja</v>
          </cell>
        </row>
        <row r="1247">
          <cell r="A1247" t="str">
            <v>112</v>
          </cell>
          <cell r="B1247" t="str">
            <v>44</v>
          </cell>
          <cell r="C1247" t="str">
            <v>1</v>
          </cell>
          <cell r="D1247" t="str">
            <v>B</v>
          </cell>
          <cell r="E1247">
            <v>1</v>
          </cell>
          <cell r="F1247" t="str">
            <v>4295400-4895500  közp.tisztikar osztályvezetö tagja</v>
          </cell>
        </row>
        <row r="1248">
          <cell r="A1248" t="str">
            <v>113</v>
          </cell>
          <cell r="B1248" t="str">
            <v>44</v>
          </cell>
          <cell r="C1248" t="str">
            <v>1</v>
          </cell>
          <cell r="D1248" t="str">
            <v>B</v>
          </cell>
          <cell r="E1248">
            <v>1</v>
          </cell>
          <cell r="F1248" t="str">
            <v>4296400-4896500  közp.tisztikar többi tagja</v>
          </cell>
        </row>
        <row r="1249">
          <cell r="A1249" t="str">
            <v>114</v>
          </cell>
          <cell r="B1249" t="str">
            <v>44</v>
          </cell>
          <cell r="C1249" t="str">
            <v>1</v>
          </cell>
          <cell r="D1249" t="str">
            <v>B</v>
          </cell>
          <cell r="E1249">
            <v>1</v>
          </cell>
          <cell r="F1249" t="str">
            <v>Központi tisztikar összesen: (108+...+113)</v>
          </cell>
        </row>
        <row r="1250">
          <cell r="A1250" t="str">
            <v>115</v>
          </cell>
          <cell r="B1250" t="str">
            <v>44</v>
          </cell>
          <cell r="C1250" t="str">
            <v>1</v>
          </cell>
          <cell r="D1250" t="str">
            <v>B</v>
          </cell>
          <cell r="E1250">
            <v>1</v>
          </cell>
          <cell r="F1250" t="str">
            <v>4271603-4871603  országos parancsnok</v>
          </cell>
        </row>
        <row r="1251">
          <cell r="A1251" t="str">
            <v>116</v>
          </cell>
          <cell r="B1251" t="str">
            <v>44</v>
          </cell>
          <cell r="C1251" t="str">
            <v>1</v>
          </cell>
          <cell r="D1251" t="str">
            <v>B</v>
          </cell>
          <cell r="E1251">
            <v>1</v>
          </cell>
          <cell r="F1251" t="str">
            <v>4272503-4872603  országos parancsnok helyettes</v>
          </cell>
        </row>
        <row r="1252">
          <cell r="A1252" t="str">
            <v>117</v>
          </cell>
          <cell r="B1252" t="str">
            <v>44</v>
          </cell>
          <cell r="C1252" t="str">
            <v>1</v>
          </cell>
          <cell r="D1252" t="str">
            <v>B</v>
          </cell>
          <cell r="E1252">
            <v>1</v>
          </cell>
          <cell r="F1252" t="str">
            <v>4273501-4873505  föosztályvezetö</v>
          </cell>
        </row>
        <row r="1253">
          <cell r="A1253" t="str">
            <v>118</v>
          </cell>
          <cell r="B1253" t="str">
            <v>44</v>
          </cell>
          <cell r="C1253" t="str">
            <v>1</v>
          </cell>
          <cell r="D1253" t="str">
            <v>B</v>
          </cell>
          <cell r="E1253">
            <v>1</v>
          </cell>
          <cell r="F1253" t="str">
            <v>4274501-4874505  föosztályvezetö-helyettes</v>
          </cell>
        </row>
        <row r="1254">
          <cell r="A1254" t="str">
            <v>119</v>
          </cell>
          <cell r="B1254" t="str">
            <v>44</v>
          </cell>
          <cell r="C1254" t="str">
            <v>1</v>
          </cell>
          <cell r="D1254" t="str">
            <v>B</v>
          </cell>
          <cell r="E1254">
            <v>1</v>
          </cell>
          <cell r="F1254" t="str">
            <v>4275401-4875505  osztályvezetö</v>
          </cell>
        </row>
        <row r="1255">
          <cell r="A1255" t="str">
            <v>120</v>
          </cell>
          <cell r="B1255" t="str">
            <v>44</v>
          </cell>
          <cell r="C1255" t="str">
            <v>1</v>
          </cell>
          <cell r="D1255" t="str">
            <v>B</v>
          </cell>
          <cell r="E1255">
            <v>1</v>
          </cell>
          <cell r="F1255" t="str">
            <v>4281501-4881505  föosztályvezetönek minösülö vezetö</v>
          </cell>
        </row>
        <row r="1256">
          <cell r="A1256" t="str">
            <v>121</v>
          </cell>
          <cell r="B1256" t="str">
            <v>44</v>
          </cell>
          <cell r="C1256" t="str">
            <v>1</v>
          </cell>
          <cell r="D1256" t="str">
            <v>B</v>
          </cell>
          <cell r="E1256">
            <v>1</v>
          </cell>
          <cell r="F1256" t="str">
            <v>4282501-4882505  föosztályvezetö helyettesnek minösülö vezetö</v>
          </cell>
        </row>
        <row r="1257">
          <cell r="A1257" t="str">
            <v>122</v>
          </cell>
          <cell r="B1257" t="str">
            <v>44</v>
          </cell>
          <cell r="C1257" t="str">
            <v>1</v>
          </cell>
          <cell r="D1257" t="str">
            <v>B</v>
          </cell>
          <cell r="E1257">
            <v>1</v>
          </cell>
          <cell r="F1257" t="str">
            <v>4283401-4883505  osztályvezetönek minösülö vezetö</v>
          </cell>
        </row>
        <row r="1258">
          <cell r="A1258" t="str">
            <v>123</v>
          </cell>
          <cell r="B1258" t="str">
            <v>44</v>
          </cell>
          <cell r="C1258" t="str">
            <v>1</v>
          </cell>
          <cell r="D1258" t="str">
            <v>B</v>
          </cell>
          <cell r="E1258">
            <v>1</v>
          </cell>
          <cell r="F1258" t="str">
            <v>4x01-4x25     I. Besorolási osztály összesen:(x=2,3,4,5,6)</v>
          </cell>
        </row>
        <row r="1259">
          <cell r="A1259" t="str">
            <v>124</v>
          </cell>
          <cell r="B1259" t="str">
            <v>44</v>
          </cell>
          <cell r="C1259" t="str">
            <v>1</v>
          </cell>
          <cell r="D1259" t="str">
            <v>B</v>
          </cell>
          <cell r="E1259">
            <v>1</v>
          </cell>
          <cell r="F1259" t="str">
            <v>4x51-4x67     II.Besorolási osztály összesen:(x=2,3,4,5,6)</v>
          </cell>
        </row>
        <row r="1260">
          <cell r="A1260" t="str">
            <v>125</v>
          </cell>
          <cell r="B1260" t="str">
            <v>44</v>
          </cell>
          <cell r="C1260" t="str">
            <v>1</v>
          </cell>
          <cell r="D1260" t="str">
            <v>B</v>
          </cell>
          <cell r="E1260">
            <v>1</v>
          </cell>
          <cell r="F1260" t="str">
            <v>Rendvédelmi szervek összesen: (115+...+124)</v>
          </cell>
        </row>
        <row r="1261">
          <cell r="A1261" t="str">
            <v>126</v>
          </cell>
          <cell r="B1261" t="str">
            <v>44</v>
          </cell>
          <cell r="C1261" t="str">
            <v>1</v>
          </cell>
          <cell r="D1261" t="str">
            <v>B</v>
          </cell>
          <cell r="E1261">
            <v>1</v>
          </cell>
          <cell r="F1261" t="str">
            <v>4000400-4000640  Tábornokok, tisztek</v>
          </cell>
        </row>
        <row r="1262">
          <cell r="A1262" t="str">
            <v>127</v>
          </cell>
          <cell r="B1262" t="str">
            <v>44</v>
          </cell>
          <cell r="C1262" t="str">
            <v>1</v>
          </cell>
          <cell r="D1262" t="str">
            <v>B</v>
          </cell>
          <cell r="E1262">
            <v>1</v>
          </cell>
          <cell r="F1262" t="str">
            <v>4000100-4000330  Zászlosok, tiszthelyettesek</v>
          </cell>
        </row>
        <row r="1263">
          <cell r="A1263" t="str">
            <v>128</v>
          </cell>
          <cell r="B1263" t="str">
            <v>44</v>
          </cell>
          <cell r="C1263" t="str">
            <v>1</v>
          </cell>
          <cell r="D1263" t="str">
            <v>B</v>
          </cell>
          <cell r="E1263">
            <v>1</v>
          </cell>
          <cell r="F1263" t="str">
            <v>4900000        Diplomáciai szolgálatot teljesitök</v>
          </cell>
        </row>
        <row r="1264">
          <cell r="A1264" t="str">
            <v>129</v>
          </cell>
          <cell r="B1264" t="str">
            <v>44</v>
          </cell>
          <cell r="C1264" t="str">
            <v>1</v>
          </cell>
          <cell r="D1264" t="str">
            <v>B</v>
          </cell>
          <cell r="E1264">
            <v>1</v>
          </cell>
          <cell r="F1264" t="str">
            <v>4000000        Szerzödéses sorkatonák</v>
          </cell>
        </row>
        <row r="1265">
          <cell r="A1265" t="str">
            <v>130</v>
          </cell>
          <cell r="B1265" t="str">
            <v>44</v>
          </cell>
          <cell r="C1265" t="str">
            <v>1</v>
          </cell>
          <cell r="D1265" t="str">
            <v>B</v>
          </cell>
          <cell r="E1265">
            <v>1</v>
          </cell>
          <cell r="F1265" t="str">
            <v>Honvédelmi Minisztérium szervei összesen (126+...+129)</v>
          </cell>
        </row>
        <row r="1266">
          <cell r="A1266" t="str">
            <v>131</v>
          </cell>
          <cell r="B1266" t="str">
            <v>44</v>
          </cell>
          <cell r="C1266" t="str">
            <v>1</v>
          </cell>
          <cell r="D1266" t="str">
            <v>B</v>
          </cell>
          <cell r="E1266">
            <v>1</v>
          </cell>
          <cell r="F1266" t="str">
            <v>800120        osztályvezetö (ÁSZ,GV)</v>
          </cell>
        </row>
        <row r="1267">
          <cell r="A1267" t="str">
            <v>132</v>
          </cell>
          <cell r="B1267" t="str">
            <v>44</v>
          </cell>
          <cell r="C1267" t="str">
            <v>1</v>
          </cell>
          <cell r="D1267" t="str">
            <v>B</v>
          </cell>
          <cell r="E1267">
            <v>1</v>
          </cell>
          <cell r="F1267" t="str">
            <v>800410-800420    ügykezelö (ÁSZ,GV)</v>
          </cell>
        </row>
        <row r="1268">
          <cell r="A1268" t="str">
            <v>133</v>
          </cell>
          <cell r="B1268" t="str">
            <v>44</v>
          </cell>
          <cell r="C1268" t="str">
            <v>1</v>
          </cell>
          <cell r="D1268" t="str">
            <v>B</v>
          </cell>
          <cell r="E1268">
            <v>1</v>
          </cell>
          <cell r="F1268" t="str">
            <v>800510,800530,800550,800570  fizikai alkalmazott (ÁSZ,GV)</v>
          </cell>
        </row>
        <row r="1269">
          <cell r="A1269" t="str">
            <v>134</v>
          </cell>
          <cell r="B1269" t="str">
            <v>44</v>
          </cell>
          <cell r="C1269" t="str">
            <v>1</v>
          </cell>
          <cell r="D1269" t="str">
            <v>B</v>
          </cell>
          <cell r="E1269">
            <v>1</v>
          </cell>
          <cell r="F1269" t="str">
            <v>810120        osztályvezetö</v>
          </cell>
        </row>
        <row r="1270">
          <cell r="A1270" t="str">
            <v>135</v>
          </cell>
          <cell r="B1270" t="str">
            <v>44</v>
          </cell>
          <cell r="C1270" t="str">
            <v>1</v>
          </cell>
          <cell r="D1270" t="str">
            <v>B</v>
          </cell>
          <cell r="E1270">
            <v>1</v>
          </cell>
          <cell r="F1270" t="str">
            <v>810410-810420    ügykezelö</v>
          </cell>
        </row>
        <row r="1271">
          <cell r="A1271" t="str">
            <v>136</v>
          </cell>
          <cell r="B1271" t="str">
            <v>44</v>
          </cell>
          <cell r="C1271" t="str">
            <v>1</v>
          </cell>
          <cell r="D1271" t="str">
            <v>B</v>
          </cell>
          <cell r="E1271">
            <v>1</v>
          </cell>
          <cell r="F1271" t="str">
            <v>810510,810530,810550,810570  fizikai alkalmazott</v>
          </cell>
        </row>
        <row r="1272">
          <cell r="A1272" t="str">
            <v>137</v>
          </cell>
          <cell r="B1272" t="str">
            <v>44</v>
          </cell>
          <cell r="C1272" t="str">
            <v>1</v>
          </cell>
          <cell r="D1272" t="str">
            <v>B</v>
          </cell>
          <cell r="E1272">
            <v>1</v>
          </cell>
          <cell r="F1272" t="str">
            <v>820120        osztályvezetö (területi szerv)</v>
          </cell>
        </row>
        <row r="1273">
          <cell r="A1273" t="str">
            <v>138</v>
          </cell>
          <cell r="B1273" t="str">
            <v>44</v>
          </cell>
          <cell r="C1273" t="str">
            <v>1</v>
          </cell>
          <cell r="D1273" t="str">
            <v>B</v>
          </cell>
          <cell r="E1273">
            <v>1</v>
          </cell>
          <cell r="F1273" t="str">
            <v>820410-820420    ügykezelö (területi szerv)</v>
          </cell>
        </row>
        <row r="1274">
          <cell r="A1274" t="str">
            <v>139</v>
          </cell>
          <cell r="B1274" t="str">
            <v>44</v>
          </cell>
          <cell r="C1274" t="str">
            <v>1</v>
          </cell>
          <cell r="D1274" t="str">
            <v>B</v>
          </cell>
          <cell r="E1274">
            <v>1</v>
          </cell>
          <cell r="F1274" t="str">
            <v>820510,820530,820550,820570  fizikai alkalmazott (területi)</v>
          </cell>
        </row>
        <row r="1275">
          <cell r="A1275" t="str">
            <v>140</v>
          </cell>
          <cell r="B1275" t="str">
            <v>44</v>
          </cell>
          <cell r="C1275" t="str">
            <v>1</v>
          </cell>
          <cell r="D1275" t="str">
            <v>B</v>
          </cell>
          <cell r="E1275">
            <v>1</v>
          </cell>
          <cell r="F1275" t="str">
            <v>830120        osztályvezetö (helyi szerv)</v>
          </cell>
        </row>
        <row r="1276">
          <cell r="A1276" t="str">
            <v>141</v>
          </cell>
          <cell r="B1276" t="str">
            <v>44</v>
          </cell>
          <cell r="C1276" t="str">
            <v>1</v>
          </cell>
          <cell r="D1276" t="str">
            <v>B</v>
          </cell>
          <cell r="E1276">
            <v>1</v>
          </cell>
          <cell r="F1276" t="str">
            <v>830410-830420    ügykezelö (helyi szerv)</v>
          </cell>
        </row>
        <row r="1277">
          <cell r="A1277" t="str">
            <v>142</v>
          </cell>
          <cell r="B1277" t="str">
            <v>44</v>
          </cell>
          <cell r="C1277" t="str">
            <v>1</v>
          </cell>
          <cell r="D1277" t="str">
            <v>B</v>
          </cell>
          <cell r="E1277">
            <v>1</v>
          </cell>
          <cell r="F1277" t="str">
            <v>830510,830530,830550,830570 fizikai alkalmazott(helyi szerv)</v>
          </cell>
        </row>
        <row r="1278">
          <cell r="A1278" t="str">
            <v>143</v>
          </cell>
          <cell r="B1278" t="str">
            <v>44</v>
          </cell>
          <cell r="C1278" t="str">
            <v>1</v>
          </cell>
          <cell r="D1278" t="str">
            <v>B</v>
          </cell>
          <cell r="E1278">
            <v>1</v>
          </cell>
          <cell r="F1278" t="str">
            <v>877777        polgári szolgálatot teljesitö</v>
          </cell>
        </row>
        <row r="1279">
          <cell r="A1279" t="str">
            <v>144</v>
          </cell>
          <cell r="B1279" t="str">
            <v>44</v>
          </cell>
          <cell r="C1279" t="str">
            <v>1</v>
          </cell>
          <cell r="D1279" t="str">
            <v>B</v>
          </cell>
          <cell r="E1279">
            <v>1</v>
          </cell>
          <cell r="F1279" t="str">
            <v>888888        közhasznu és közmunkát végzö</v>
          </cell>
        </row>
        <row r="1280">
          <cell r="A1280" t="str">
            <v>145</v>
          </cell>
          <cell r="B1280" t="str">
            <v>44</v>
          </cell>
          <cell r="C1280" t="str">
            <v>1</v>
          </cell>
          <cell r="D1280" t="str">
            <v>B</v>
          </cell>
          <cell r="E1280">
            <v>1</v>
          </cell>
          <cell r="F1280" t="str">
            <v>Központi szervek egyéb bérrendszer összesen:(131+...+144)</v>
          </cell>
        </row>
        <row r="1281">
          <cell r="A1281" t="str">
            <v>146</v>
          </cell>
          <cell r="B1281" t="str">
            <v>44</v>
          </cell>
          <cell r="C1281" t="str">
            <v>1</v>
          </cell>
          <cell r="D1281" t="str">
            <v>B</v>
          </cell>
          <cell r="E1281">
            <v>1</v>
          </cell>
          <cell r="F1281" t="str">
            <v>840120        osztályvezetö</v>
          </cell>
        </row>
        <row r="1282">
          <cell r="A1282" t="str">
            <v>147</v>
          </cell>
          <cell r="B1282" t="str">
            <v>44</v>
          </cell>
          <cell r="C1282" t="str">
            <v>1</v>
          </cell>
          <cell r="D1282" t="str">
            <v>B</v>
          </cell>
          <cell r="E1282">
            <v>1</v>
          </cell>
          <cell r="F1282" t="str">
            <v>840410-840420    ügyintézö</v>
          </cell>
        </row>
        <row r="1283">
          <cell r="A1283" t="str">
            <v>148</v>
          </cell>
          <cell r="B1283" t="str">
            <v>44</v>
          </cell>
          <cell r="C1283" t="str">
            <v>1</v>
          </cell>
          <cell r="D1283" t="str">
            <v>B</v>
          </cell>
          <cell r="E1283">
            <v>1</v>
          </cell>
          <cell r="F1283" t="str">
            <v>840510,840530,840550,840570  fizikai alkalmazott</v>
          </cell>
        </row>
        <row r="1284">
          <cell r="A1284" t="str">
            <v>149</v>
          </cell>
          <cell r="B1284" t="str">
            <v>44</v>
          </cell>
          <cell r="C1284" t="str">
            <v>1</v>
          </cell>
          <cell r="D1284" t="str">
            <v>B</v>
          </cell>
          <cell r="E1284">
            <v>1</v>
          </cell>
          <cell r="F1284" t="str">
            <v>850120        osztályvezetö (körjegyzöség)</v>
          </cell>
        </row>
        <row r="1285">
          <cell r="A1285" t="str">
            <v>150</v>
          </cell>
          <cell r="B1285" t="str">
            <v>44</v>
          </cell>
          <cell r="C1285" t="str">
            <v>1</v>
          </cell>
          <cell r="D1285" t="str">
            <v>B</v>
          </cell>
          <cell r="E1285">
            <v>1</v>
          </cell>
          <cell r="F1285" t="str">
            <v>850410-850420    ügyintézö (körjegyzöség)</v>
          </cell>
        </row>
        <row r="1286">
          <cell r="A1286" t="str">
            <v>151</v>
          </cell>
          <cell r="B1286" t="str">
            <v>44</v>
          </cell>
          <cell r="C1286" t="str">
            <v>1</v>
          </cell>
          <cell r="D1286" t="str">
            <v>B</v>
          </cell>
          <cell r="E1286">
            <v>1</v>
          </cell>
          <cell r="F1286" t="str">
            <v>850510,850530,850550,850570 fizikai alkalmaz. (körjegyzöség)</v>
          </cell>
        </row>
        <row r="1287">
          <cell r="A1287" t="str">
            <v>152</v>
          </cell>
          <cell r="B1287" t="str">
            <v>44</v>
          </cell>
          <cell r="C1287" t="str">
            <v>1</v>
          </cell>
          <cell r="D1287" t="str">
            <v>B</v>
          </cell>
          <cell r="E1287">
            <v>1</v>
          </cell>
          <cell r="F1287" t="str">
            <v>877777        polgári szolgálatot teljesitö(körjegyzöség)</v>
          </cell>
        </row>
        <row r="1288">
          <cell r="A1288" t="str">
            <v>153</v>
          </cell>
          <cell r="B1288" t="str">
            <v>44</v>
          </cell>
          <cell r="C1288" t="str">
            <v>1</v>
          </cell>
          <cell r="D1288" t="str">
            <v>B</v>
          </cell>
          <cell r="E1288">
            <v>1</v>
          </cell>
          <cell r="F1288" t="str">
            <v>888888        közhasznu és közmunkát végzö (körjegyzöség)</v>
          </cell>
        </row>
        <row r="1289">
          <cell r="A1289" t="str">
            <v>154</v>
          </cell>
          <cell r="B1289" t="str">
            <v>44</v>
          </cell>
          <cell r="C1289" t="str">
            <v>1</v>
          </cell>
          <cell r="D1289" t="str">
            <v>B</v>
          </cell>
          <cell r="E1289">
            <v>1</v>
          </cell>
          <cell r="F1289" t="str">
            <v>Önkormányzati szervek egyéb bérrend.össz.: (146+...+153)</v>
          </cell>
        </row>
        <row r="1290">
          <cell r="A1290" t="str">
            <v>155</v>
          </cell>
          <cell r="B1290" t="str">
            <v>44</v>
          </cell>
          <cell r="C1290" t="str">
            <v>1</v>
          </cell>
          <cell r="D1290" t="str">
            <v>B</v>
          </cell>
          <cell r="E1290">
            <v>1</v>
          </cell>
          <cell r="F1290" t="str">
            <v>Egyéb bérrendszer összesen:                    (145+154)</v>
          </cell>
        </row>
        <row r="1291">
          <cell r="A1291" t="str">
            <v>156</v>
          </cell>
          <cell r="B1291" t="str">
            <v>44</v>
          </cell>
          <cell r="C1291" t="str">
            <v>1</v>
          </cell>
          <cell r="D1291" t="str">
            <v>B</v>
          </cell>
          <cell r="E1291">
            <v>1</v>
          </cell>
          <cell r="F1291" t="str">
            <v>I.Telj.munkaidös:(18+24+33+38+62+74+96+107+114+125+130+155)</v>
          </cell>
        </row>
        <row r="1292">
          <cell r="A1292" t="str">
            <v>157</v>
          </cell>
          <cell r="B1292" t="str">
            <v>44</v>
          </cell>
          <cell r="C1292" t="str">
            <v>1</v>
          </cell>
          <cell r="D1292" t="str">
            <v>B</v>
          </cell>
          <cell r="E1292">
            <v>1</v>
          </cell>
          <cell r="F1292" t="str">
            <v>II.Részmunkaidöben fogl.- köztisztviselök összesen</v>
          </cell>
        </row>
        <row r="1293">
          <cell r="A1293" t="str">
            <v>158</v>
          </cell>
          <cell r="B1293" t="str">
            <v>44</v>
          </cell>
          <cell r="C1293" t="str">
            <v>1</v>
          </cell>
          <cell r="D1293" t="str">
            <v>B</v>
          </cell>
          <cell r="E1293">
            <v>1</v>
          </cell>
          <cell r="F1293" t="str">
            <v>II.Részmunkaidöben fogl.- közalkamazottak összesen</v>
          </cell>
        </row>
        <row r="1294">
          <cell r="A1294" t="str">
            <v>159</v>
          </cell>
          <cell r="B1294" t="str">
            <v>44</v>
          </cell>
          <cell r="C1294" t="str">
            <v>1</v>
          </cell>
          <cell r="D1294" t="str">
            <v>B</v>
          </cell>
          <cell r="E1294">
            <v>1</v>
          </cell>
          <cell r="F1294" t="str">
            <v>II.Részmunkaidöben fogl.- birák,ügyészek,igazságügyi alk.</v>
          </cell>
        </row>
        <row r="1295">
          <cell r="A1295" t="str">
            <v>160</v>
          </cell>
          <cell r="B1295" t="str">
            <v>44</v>
          </cell>
          <cell r="C1295" t="str">
            <v>1</v>
          </cell>
          <cell r="D1295" t="str">
            <v>B</v>
          </cell>
          <cell r="E1295">
            <v>1</v>
          </cell>
          <cell r="F1295" t="str">
            <v>II.Részmunkaidöben fogl.- fegyv.erök,rendvéd.szerv.hiv.áll.</v>
          </cell>
        </row>
        <row r="1296">
          <cell r="A1296" t="str">
            <v>161</v>
          </cell>
          <cell r="B1296" t="str">
            <v>44</v>
          </cell>
          <cell r="C1296" t="str">
            <v>1</v>
          </cell>
          <cell r="D1296" t="str">
            <v>B</v>
          </cell>
          <cell r="E1296">
            <v>1</v>
          </cell>
          <cell r="F1296" t="str">
            <v>II.Részmunkaidöben fogl.- egyéb bérrendszer összesen</v>
          </cell>
        </row>
        <row r="1297">
          <cell r="A1297" t="str">
            <v>162</v>
          </cell>
          <cell r="B1297" t="str">
            <v>44</v>
          </cell>
          <cell r="C1297" t="str">
            <v>1</v>
          </cell>
          <cell r="D1297" t="str">
            <v>B</v>
          </cell>
          <cell r="E1297">
            <v>1</v>
          </cell>
          <cell r="F1297" t="str">
            <v>II.Részmunkaidöben foglalkoztatottak összesen: (157+...+161)</v>
          </cell>
        </row>
        <row r="1298">
          <cell r="A1298" t="str">
            <v>163</v>
          </cell>
          <cell r="B1298" t="str">
            <v>44</v>
          </cell>
          <cell r="C1298" t="str">
            <v>1</v>
          </cell>
          <cell r="D1298" t="str">
            <v>B</v>
          </cell>
          <cell r="E1298">
            <v>1</v>
          </cell>
          <cell r="F1298" t="str">
            <v>I+II. Mindösszesen:      (156+162)</v>
          </cell>
        </row>
        <row r="1299">
          <cell r="A1299" t="str">
            <v>1</v>
          </cell>
          <cell r="B1299" t="str">
            <v>50</v>
          </cell>
          <cell r="C1299" t="str">
            <v>1</v>
          </cell>
          <cell r="D1299" t="str">
            <v>B</v>
          </cell>
          <cell r="E1299">
            <v>1</v>
          </cell>
          <cell r="F1299" t="str">
            <v>Helyben marado SZJA (5%)                             A=B=C</v>
          </cell>
        </row>
        <row r="1300">
          <cell r="A1300" t="str">
            <v>2</v>
          </cell>
          <cell r="B1300" t="str">
            <v>50</v>
          </cell>
          <cell r="C1300" t="str">
            <v>1</v>
          </cell>
          <cell r="D1300" t="str">
            <v>B</v>
          </cell>
          <cell r="E1300">
            <v>1</v>
          </cell>
          <cell r="F1300" t="str">
            <v>Számitott adoeröképesség                             A=B=C</v>
          </cell>
        </row>
        <row r="1301">
          <cell r="A1301" t="str">
            <v>3</v>
          </cell>
          <cell r="B1301" t="str">
            <v>50</v>
          </cell>
          <cell r="C1301" t="str">
            <v>1</v>
          </cell>
          <cell r="D1301" t="str">
            <v>B</v>
          </cell>
          <cell r="E1301">
            <v>1</v>
          </cell>
          <cell r="F1301" t="str">
            <v>Adobevétel(100%)</v>
          </cell>
        </row>
        <row r="1302">
          <cell r="A1302" t="str">
            <v>4</v>
          </cell>
          <cell r="B1302" t="str">
            <v>50</v>
          </cell>
          <cell r="C1302" t="str">
            <v>1</v>
          </cell>
          <cell r="D1302" t="str">
            <v>B</v>
          </cell>
          <cell r="E1302">
            <v>1</v>
          </cell>
          <cell r="F1302" t="str">
            <v>Adobevétel 60%-a                                   03x0,60</v>
          </cell>
        </row>
        <row r="1303">
          <cell r="A1303" t="str">
            <v>5</v>
          </cell>
          <cell r="B1303" t="str">
            <v>50</v>
          </cell>
          <cell r="C1303" t="str">
            <v>1</v>
          </cell>
          <cell r="D1303" t="str">
            <v>B</v>
          </cell>
          <cell r="E1303">
            <v>1</v>
          </cell>
          <cell r="F1303" t="str">
            <v>----------------------------------------------------------</v>
          </cell>
        </row>
        <row r="1304">
          <cell r="A1304" t="str">
            <v>6</v>
          </cell>
          <cell r="B1304" t="str">
            <v>50</v>
          </cell>
          <cell r="C1304" t="str">
            <v>1</v>
          </cell>
          <cell r="D1304" t="str">
            <v>B</v>
          </cell>
          <cell r="E1304">
            <v>1</v>
          </cell>
          <cell r="F1304" t="str">
            <v>Iparüzési adoerökép.(=02 04&lt;02&lt;03)(=03 02&gt;=03)(=04 02&lt;=04)</v>
          </cell>
        </row>
        <row r="1305">
          <cell r="A1305" t="str">
            <v>7</v>
          </cell>
          <cell r="B1305" t="str">
            <v>50</v>
          </cell>
          <cell r="C1305" t="str">
            <v>1</v>
          </cell>
          <cell r="D1305" t="str">
            <v>B</v>
          </cell>
          <cell r="E1305">
            <v>1</v>
          </cell>
          <cell r="F1305" t="str">
            <v>Lakosok száma                                        A=B=C</v>
          </cell>
        </row>
        <row r="1306">
          <cell r="A1306" t="str">
            <v>8</v>
          </cell>
          <cell r="B1306" t="str">
            <v>50</v>
          </cell>
          <cell r="C1306" t="str">
            <v>1</v>
          </cell>
          <cell r="D1306" t="str">
            <v>B</v>
          </cell>
          <cell r="E1306">
            <v>1</v>
          </cell>
          <cell r="F1306" t="str">
            <v>Jövedelemkülönbség mérséklés önkorm.szintje     (01+06):07</v>
          </cell>
        </row>
        <row r="1307">
          <cell r="A1307" t="str">
            <v>9</v>
          </cell>
          <cell r="B1307" t="str">
            <v>50</v>
          </cell>
          <cell r="C1307" t="str">
            <v>1</v>
          </cell>
          <cell r="D1307" t="str">
            <v>B</v>
          </cell>
          <cell r="E1307">
            <v>1</v>
          </cell>
          <cell r="F1307" t="str">
            <v>Jövedelemkülönbség mérséklés értékhatára             A=B=C</v>
          </cell>
        </row>
        <row r="1308">
          <cell r="A1308" t="str">
            <v>10</v>
          </cell>
          <cell r="B1308" t="str">
            <v>50</v>
          </cell>
          <cell r="C1308" t="str">
            <v>1</v>
          </cell>
          <cell r="D1308" t="str">
            <v>B</v>
          </cell>
          <cell r="E1308">
            <v>1</v>
          </cell>
          <cell r="F1308" t="str">
            <v>Kiegészités egy före                     (=09-08 ha 08&lt;09)</v>
          </cell>
        </row>
        <row r="1309">
          <cell r="A1309" t="str">
            <v>11</v>
          </cell>
          <cell r="B1309" t="str">
            <v>50</v>
          </cell>
          <cell r="C1309" t="str">
            <v>1</v>
          </cell>
          <cell r="D1309" t="str">
            <v>B</v>
          </cell>
          <cell r="E1309">
            <v>1</v>
          </cell>
          <cell r="F1309" t="str">
            <v>Levonás egy före                           (ha 08&gt;09x1,25)</v>
          </cell>
        </row>
        <row r="1310">
          <cell r="A1310" t="str">
            <v>12</v>
          </cell>
          <cell r="B1310" t="str">
            <v>50</v>
          </cell>
          <cell r="C1310" t="str">
            <v>1</v>
          </cell>
          <cell r="D1310" t="str">
            <v>B</v>
          </cell>
          <cell r="E1310">
            <v>1</v>
          </cell>
          <cell r="F1310" t="str">
            <v>Kiegészités                                        (10x07)</v>
          </cell>
        </row>
        <row r="1311">
          <cell r="A1311" t="str">
            <v>13</v>
          </cell>
          <cell r="B1311" t="str">
            <v>50</v>
          </cell>
          <cell r="C1311" t="str">
            <v>1</v>
          </cell>
          <cell r="D1311" t="str">
            <v>B</v>
          </cell>
          <cell r="E1311">
            <v>1</v>
          </cell>
          <cell r="F1311" t="str">
            <v>Levonási korlát                                      A=B=C</v>
          </cell>
        </row>
        <row r="1312">
          <cell r="A1312" t="str">
            <v>14</v>
          </cell>
          <cell r="B1312" t="str">
            <v>50</v>
          </cell>
          <cell r="C1312" t="str">
            <v>1</v>
          </cell>
          <cell r="D1312" t="str">
            <v>B</v>
          </cell>
          <cell r="E1312">
            <v>1</v>
          </cell>
          <cell r="F1312" t="str">
            <v>Levonás            (=13 ha 11x07&gt;=13) (=11x07 ha 11x07&lt;13)</v>
          </cell>
        </row>
        <row r="1313">
          <cell r="A1313" t="str">
            <v>15</v>
          </cell>
          <cell r="B1313" t="str">
            <v>50</v>
          </cell>
          <cell r="C1313" t="str">
            <v>1</v>
          </cell>
          <cell r="D1313" t="str">
            <v>B</v>
          </cell>
          <cell r="E1313">
            <v>1</v>
          </cell>
          <cell r="F1313" t="str">
            <v>Önkormányzat által fizetendö</v>
          </cell>
        </row>
        <row r="1314">
          <cell r="A1314" t="str">
            <v>16</v>
          </cell>
          <cell r="B1314" t="str">
            <v>50</v>
          </cell>
          <cell r="C1314" t="str">
            <v>1</v>
          </cell>
          <cell r="D1314" t="str">
            <v>B</v>
          </cell>
          <cell r="E1314">
            <v>1</v>
          </cell>
          <cell r="F1314" t="str">
            <v>Fizetendö kamat összege</v>
          </cell>
        </row>
        <row r="1315">
          <cell r="A1315" t="str">
            <v>1</v>
          </cell>
          <cell r="B1315" t="str">
            <v>51</v>
          </cell>
          <cell r="C1315" t="str">
            <v>1</v>
          </cell>
          <cell r="D1315" t="str">
            <v>B</v>
          </cell>
          <cell r="E1315">
            <v>1</v>
          </cell>
          <cell r="F1315" t="str">
            <v>Éves kltg-i törv.tervezett - mutatoszám</v>
          </cell>
        </row>
        <row r="1316">
          <cell r="A1316" t="str">
            <v>2</v>
          </cell>
          <cell r="B1316" t="str">
            <v>51</v>
          </cell>
          <cell r="C1316" t="str">
            <v>1</v>
          </cell>
          <cell r="D1316" t="str">
            <v>B</v>
          </cell>
          <cell r="E1316">
            <v>1</v>
          </cell>
          <cell r="F1316" t="str">
            <v>Éves kltg-i törv.tervezett - áll.hozzájárulás</v>
          </cell>
        </row>
        <row r="1317">
          <cell r="A1317" t="str">
            <v>3</v>
          </cell>
          <cell r="B1317" t="str">
            <v>51</v>
          </cell>
          <cell r="C1317" t="str">
            <v>1</v>
          </cell>
          <cell r="D1317" t="str">
            <v>B</v>
          </cell>
          <cell r="E1317">
            <v>1</v>
          </cell>
          <cell r="F1317" t="str">
            <v>Évközi változások (+-) - mutatoszám</v>
          </cell>
        </row>
        <row r="1318">
          <cell r="A1318" t="str">
            <v>4</v>
          </cell>
          <cell r="B1318" t="str">
            <v>51</v>
          </cell>
          <cell r="C1318" t="str">
            <v>1</v>
          </cell>
          <cell r="D1318" t="str">
            <v>B</v>
          </cell>
          <cell r="E1318">
            <v>1</v>
          </cell>
          <cell r="F1318" t="str">
            <v>Évközi változások (+-) - állami hozzájárulás</v>
          </cell>
        </row>
        <row r="1319">
          <cell r="A1319" t="str">
            <v>5</v>
          </cell>
          <cell r="B1319" t="str">
            <v>51</v>
          </cell>
          <cell r="C1319" t="str">
            <v>1</v>
          </cell>
          <cell r="D1319" t="str">
            <v>B</v>
          </cell>
          <cell r="E1319">
            <v>1</v>
          </cell>
          <cell r="F1319" t="str">
            <v>Tényleges - mutatoszám</v>
          </cell>
        </row>
        <row r="1320">
          <cell r="A1320" t="str">
            <v>6</v>
          </cell>
          <cell r="B1320" t="str">
            <v>51</v>
          </cell>
          <cell r="C1320" t="str">
            <v>1</v>
          </cell>
          <cell r="D1320" t="str">
            <v>B</v>
          </cell>
          <cell r="E1320">
            <v>1</v>
          </cell>
          <cell r="F1320" t="str">
            <v>Tényleges - állami hozzájárulás</v>
          </cell>
        </row>
        <row r="1321">
          <cell r="A1321" t="str">
            <v>7</v>
          </cell>
          <cell r="B1321" t="str">
            <v>51</v>
          </cell>
          <cell r="C1321" t="str">
            <v>1</v>
          </cell>
          <cell r="D1321" t="str">
            <v>B</v>
          </cell>
          <cell r="E1321">
            <v>1</v>
          </cell>
          <cell r="F1321" t="str">
            <v>Eltérés (+-) - mutatoszám (6-2-4)</v>
          </cell>
        </row>
        <row r="1322">
          <cell r="A1322" t="str">
            <v>8</v>
          </cell>
          <cell r="B1322" t="str">
            <v>51</v>
          </cell>
          <cell r="C1322" t="str">
            <v>1</v>
          </cell>
          <cell r="D1322" t="str">
            <v>B</v>
          </cell>
          <cell r="E1322">
            <v>1</v>
          </cell>
          <cell r="F1322" t="str">
            <v>Eltérés (+-) - állami hozzájárulás (7-3-5)</v>
          </cell>
        </row>
        <row r="1323">
          <cell r="A1323" t="str">
            <v>9</v>
          </cell>
          <cell r="B1323" t="str">
            <v>51</v>
          </cell>
          <cell r="C1323" t="str">
            <v>1</v>
          </cell>
          <cell r="D1323" t="str">
            <v>B</v>
          </cell>
          <cell r="E1323">
            <v>1</v>
          </cell>
          <cell r="F1323" t="str">
            <v>Önkorm.- adott célra dec.31-ig felh.összeg</v>
          </cell>
        </row>
        <row r="1324">
          <cell r="A1324" t="str">
            <v>10</v>
          </cell>
          <cell r="B1324" t="str">
            <v>51</v>
          </cell>
          <cell r="C1324" t="str">
            <v>1</v>
          </cell>
          <cell r="D1324" t="str">
            <v>B</v>
          </cell>
          <cell r="E1324">
            <v>1</v>
          </cell>
          <cell r="F1324" t="str">
            <v>Önkorm.- felad.terhelt de fel nem haszn.össz.</v>
          </cell>
        </row>
        <row r="1325">
          <cell r="A1325" t="str">
            <v>11</v>
          </cell>
          <cell r="B1325" t="str">
            <v>51</v>
          </cell>
          <cell r="C1325" t="str">
            <v>1</v>
          </cell>
          <cell r="D1325" t="str">
            <v>B</v>
          </cell>
          <cell r="E1325">
            <v>1</v>
          </cell>
          <cell r="F1325" t="str">
            <v>E l t é r é s állami hozzájárulás(9-7-10-11)</v>
          </cell>
        </row>
        <row r="1326">
          <cell r="A1326" t="str">
            <v>1</v>
          </cell>
          <cell r="B1326" t="str">
            <v>52</v>
          </cell>
          <cell r="C1326" t="str">
            <v>1</v>
          </cell>
          <cell r="D1326" t="str">
            <v>B</v>
          </cell>
          <cell r="E1326">
            <v>1</v>
          </cell>
          <cell r="F1326" t="str">
            <v>Helyben marado SZJA (5%)</v>
          </cell>
        </row>
        <row r="1327">
          <cell r="A1327" t="str">
            <v>2</v>
          </cell>
          <cell r="B1327" t="str">
            <v>52</v>
          </cell>
          <cell r="C1327" t="str">
            <v>1</v>
          </cell>
          <cell r="D1327" t="str">
            <v>B</v>
          </cell>
          <cell r="E1327">
            <v>1</v>
          </cell>
          <cell r="F1327" t="str">
            <v>Számitott iparüzési adoerö-képesség</v>
          </cell>
        </row>
        <row r="1328">
          <cell r="A1328" t="str">
            <v>3</v>
          </cell>
          <cell r="B1328" t="str">
            <v>52</v>
          </cell>
          <cell r="C1328" t="str">
            <v>1</v>
          </cell>
          <cell r="D1328" t="str">
            <v>B</v>
          </cell>
          <cell r="E1328">
            <v>1</v>
          </cell>
          <cell r="F1328" t="str">
            <v>Tényleges adobevétel</v>
          </cell>
        </row>
        <row r="1329">
          <cell r="A1329" t="str">
            <v>4</v>
          </cell>
          <cell r="B1329" t="str">
            <v>52</v>
          </cell>
          <cell r="C1329" t="str">
            <v>1</v>
          </cell>
          <cell r="D1329" t="str">
            <v>B</v>
          </cell>
          <cell r="E1329">
            <v>1</v>
          </cell>
          <cell r="F1329" t="str">
            <v>Számitott,korrigált iparüzésiado-bevétel</v>
          </cell>
        </row>
        <row r="1330">
          <cell r="A1330" t="str">
            <v>5</v>
          </cell>
          <cell r="B1330" t="str">
            <v>52</v>
          </cell>
          <cell r="C1330" t="str">
            <v>1</v>
          </cell>
          <cell r="D1330" t="str">
            <v>B</v>
          </cell>
          <cell r="E1330">
            <v>1</v>
          </cell>
          <cell r="F1330" t="str">
            <v>Számitott,korrigált iparüzésiado-bevétel 60%-a(04x0,6)</v>
          </cell>
        </row>
        <row r="1331">
          <cell r="A1331" t="str">
            <v>6</v>
          </cell>
          <cell r="B1331" t="str">
            <v>52</v>
          </cell>
          <cell r="C1331" t="str">
            <v>1</v>
          </cell>
          <cell r="D1331" t="str">
            <v>B</v>
          </cell>
          <cell r="E1331">
            <v>1</v>
          </cell>
          <cell r="F1331" t="str">
            <v>-------------------------------------------------------</v>
          </cell>
        </row>
        <row r="1332">
          <cell r="A1332" t="str">
            <v>7</v>
          </cell>
          <cell r="B1332" t="str">
            <v>52</v>
          </cell>
          <cell r="C1332" t="str">
            <v>1</v>
          </cell>
          <cell r="D1332" t="str">
            <v>B</v>
          </cell>
          <cell r="E1332">
            <v>1</v>
          </cell>
          <cell r="F1332" t="str">
            <v>Iparüzési adoerö-képesség</v>
          </cell>
        </row>
        <row r="1333">
          <cell r="A1333" t="str">
            <v>8</v>
          </cell>
          <cell r="B1333" t="str">
            <v>52</v>
          </cell>
          <cell r="C1333" t="str">
            <v>1</v>
          </cell>
          <cell r="D1333" t="str">
            <v>B</v>
          </cell>
          <cell r="E1333">
            <v>1</v>
          </cell>
          <cell r="F1333" t="str">
            <v>Lakosok száma (fö)</v>
          </cell>
        </row>
        <row r="1334">
          <cell r="A1334" t="str">
            <v>9</v>
          </cell>
          <cell r="B1334" t="str">
            <v>52</v>
          </cell>
          <cell r="C1334" t="str">
            <v>1</v>
          </cell>
          <cell r="D1334" t="str">
            <v>B</v>
          </cell>
          <cell r="E1334">
            <v>1</v>
          </cell>
          <cell r="F1334" t="str">
            <v>Jövedelemkülönbségmérséklés önkorm.szintje (01+07):08</v>
          </cell>
        </row>
        <row r="1335">
          <cell r="A1335" t="str">
            <v>10</v>
          </cell>
          <cell r="B1335" t="str">
            <v>52</v>
          </cell>
          <cell r="C1335" t="str">
            <v>1</v>
          </cell>
          <cell r="D1335" t="str">
            <v>B</v>
          </cell>
          <cell r="E1335">
            <v>1</v>
          </cell>
          <cell r="F1335" t="str">
            <v>Jövedelemkülönbség-mérséklés értékhatára</v>
          </cell>
        </row>
        <row r="1336">
          <cell r="A1336" t="str">
            <v>11</v>
          </cell>
          <cell r="B1336" t="str">
            <v>52</v>
          </cell>
          <cell r="C1336" t="str">
            <v>1</v>
          </cell>
          <cell r="D1336" t="str">
            <v>B</v>
          </cell>
          <cell r="E1336">
            <v>1</v>
          </cell>
          <cell r="F1336" t="str">
            <v>Levonás egy före                      (ha 09&gt;10x1,25)</v>
          </cell>
        </row>
        <row r="1337">
          <cell r="A1337" t="str">
            <v>12</v>
          </cell>
          <cell r="B1337" t="str">
            <v>52</v>
          </cell>
          <cell r="C1337" t="str">
            <v>1</v>
          </cell>
          <cell r="D1337" t="str">
            <v>B</v>
          </cell>
          <cell r="E1337">
            <v>1</v>
          </cell>
          <cell r="F1337" t="str">
            <v>Levonás összesen                              (11x08)</v>
          </cell>
        </row>
        <row r="1338">
          <cell r="A1338" t="str">
            <v>13</v>
          </cell>
          <cell r="B1338" t="str">
            <v>52</v>
          </cell>
          <cell r="C1338" t="str">
            <v>1</v>
          </cell>
          <cell r="D1338" t="str">
            <v>B</v>
          </cell>
          <cell r="E1338">
            <v>1</v>
          </cell>
          <cell r="F1338" t="str">
            <v>Tervezett levonási korlát (elöirányzat)</v>
          </cell>
        </row>
        <row r="1339">
          <cell r="A1339" t="str">
            <v>14</v>
          </cell>
          <cell r="B1339" t="str">
            <v>52</v>
          </cell>
          <cell r="C1339" t="str">
            <v>1</v>
          </cell>
          <cell r="D1339" t="str">
            <v>B</v>
          </cell>
          <cell r="E1339">
            <v>1</v>
          </cell>
          <cell r="F1339" t="str">
            <v>Levonási elöirányzat    (=13 ha 12&gt;=13)(=14 ha 12&lt;13)</v>
          </cell>
        </row>
        <row r="1340">
          <cell r="A1340" t="str">
            <v>15</v>
          </cell>
          <cell r="B1340" t="str">
            <v>52</v>
          </cell>
          <cell r="C1340" t="str">
            <v>1</v>
          </cell>
          <cell r="D1340" t="str">
            <v>B</v>
          </cell>
          <cell r="E1340">
            <v>1</v>
          </cell>
          <cell r="F1340" t="str">
            <v>Tényleges levonási korlát</v>
          </cell>
        </row>
        <row r="1341">
          <cell r="A1341" t="str">
            <v>16</v>
          </cell>
          <cell r="B1341" t="str">
            <v>52</v>
          </cell>
          <cell r="C1341" t="str">
            <v>1</v>
          </cell>
          <cell r="D1341" t="str">
            <v>B</v>
          </cell>
          <cell r="E1341">
            <v>1</v>
          </cell>
          <cell r="F1341" t="str">
            <v>Tényleges levonás (=12 15&gt;12) (=14 15=13) (=15 15&lt;12)</v>
          </cell>
        </row>
        <row r="1342">
          <cell r="A1342" t="str">
            <v>17</v>
          </cell>
          <cell r="B1342" t="str">
            <v>52</v>
          </cell>
          <cell r="C1342" t="str">
            <v>1</v>
          </cell>
          <cell r="D1342" t="str">
            <v>B</v>
          </cell>
          <cell r="E1342">
            <v>1</v>
          </cell>
          <cell r="F1342" t="str">
            <v>Önkormányzat részére fizetendö     (=14-16 ha 16&lt;=14)</v>
          </cell>
        </row>
        <row r="1343">
          <cell r="A1343" t="str">
            <v>18</v>
          </cell>
          <cell r="B1343" t="str">
            <v>52</v>
          </cell>
          <cell r="C1343" t="str">
            <v>1</v>
          </cell>
          <cell r="D1343" t="str">
            <v>B</v>
          </cell>
          <cell r="E1343">
            <v>1</v>
          </cell>
          <cell r="F1343" t="str">
            <v>Önkormányzat által fizetendö       (=16-14 ha 16&gt; 14)</v>
          </cell>
        </row>
        <row r="1344">
          <cell r="A1344" t="str">
            <v>1</v>
          </cell>
          <cell r="B1344" t="str">
            <v>53</v>
          </cell>
          <cell r="C1344" t="str">
            <v>1</v>
          </cell>
          <cell r="D1344" t="str">
            <v>B</v>
          </cell>
          <cell r="E1344">
            <v>1</v>
          </cell>
          <cell r="F1344" t="str">
            <v>Betegszabadsággal összefüggö:-munkáltatoi kifizetés</v>
          </cell>
        </row>
        <row r="1345">
          <cell r="A1345" t="str">
            <v>2</v>
          </cell>
          <cell r="B1345" t="str">
            <v>53</v>
          </cell>
          <cell r="C1345" t="str">
            <v>1</v>
          </cell>
          <cell r="D1345" t="str">
            <v>B</v>
          </cell>
          <cell r="E1345">
            <v>1</v>
          </cell>
          <cell r="F1345" t="str">
            <v>Betegszabadsággal összefüggö:-kifizetésben részesülök (fö)</v>
          </cell>
        </row>
        <row r="1346">
          <cell r="A1346" t="str">
            <v>3</v>
          </cell>
          <cell r="B1346" t="str">
            <v>53</v>
          </cell>
          <cell r="C1346" t="str">
            <v>1</v>
          </cell>
          <cell r="D1346" t="str">
            <v>B</v>
          </cell>
          <cell r="E1346">
            <v>1</v>
          </cell>
          <cell r="F1346" t="str">
            <v>Munkáltato ált.levont,átutalt:-személyi jövedelemado össz.</v>
          </cell>
        </row>
        <row r="1347">
          <cell r="A1347" t="str">
            <v>4</v>
          </cell>
          <cell r="B1347" t="str">
            <v>53</v>
          </cell>
          <cell r="C1347" t="str">
            <v>1</v>
          </cell>
          <cell r="D1347" t="str">
            <v>B</v>
          </cell>
          <cell r="E1347">
            <v>1</v>
          </cell>
          <cell r="F1347" t="str">
            <v>Munkáltato ált.levont,átutalt:-nyugdijjárulék összege</v>
          </cell>
        </row>
        <row r="1348">
          <cell r="A1348" t="str">
            <v>5</v>
          </cell>
          <cell r="B1348" t="str">
            <v>53</v>
          </cell>
          <cell r="C1348" t="str">
            <v>1</v>
          </cell>
          <cell r="D1348" t="str">
            <v>B</v>
          </cell>
          <cell r="E1348">
            <v>1</v>
          </cell>
          <cell r="F1348" t="str">
            <v>Munkáltato ált.levont,átutalt:-egészségbiztositási járulék</v>
          </cell>
        </row>
        <row r="1349">
          <cell r="A1349" t="str">
            <v>6</v>
          </cell>
          <cell r="B1349" t="str">
            <v>53</v>
          </cell>
          <cell r="C1349" t="str">
            <v>1</v>
          </cell>
          <cell r="D1349" t="str">
            <v>B</v>
          </cell>
          <cell r="E1349">
            <v>1</v>
          </cell>
          <cell r="F1349" t="str">
            <v>Munkáltato ált.levont,átutalt:-magánnyugdij-pénztári tagdij</v>
          </cell>
        </row>
        <row r="1350">
          <cell r="A1350" t="str">
            <v>7</v>
          </cell>
          <cell r="B1350" t="str">
            <v>53</v>
          </cell>
          <cell r="C1350" t="str">
            <v>1</v>
          </cell>
          <cell r="D1350" t="str">
            <v>B</v>
          </cell>
          <cell r="E1350">
            <v>1</v>
          </cell>
          <cell r="F1350" t="str">
            <v>TB kifizetöhely által folyositott:-családi potlék összege</v>
          </cell>
        </row>
        <row r="1351">
          <cell r="A1351" t="str">
            <v>8</v>
          </cell>
          <cell r="B1351" t="str">
            <v>53</v>
          </cell>
          <cell r="C1351" t="str">
            <v>1</v>
          </cell>
          <cell r="D1351" t="str">
            <v>B</v>
          </cell>
          <cell r="E1351">
            <v>1</v>
          </cell>
          <cell r="F1351" t="str">
            <v>TB kifizetöhely által folyositott:-táppénz összege</v>
          </cell>
        </row>
        <row r="1352">
          <cell r="A1352" t="str">
            <v>9</v>
          </cell>
          <cell r="B1352" t="str">
            <v>53</v>
          </cell>
          <cell r="C1352" t="str">
            <v>1</v>
          </cell>
          <cell r="D1352" t="str">
            <v>B</v>
          </cell>
          <cell r="E1352">
            <v>1</v>
          </cell>
          <cell r="F1352" t="str">
            <v>TB kifizetöhely által folyositott:-egyéb TB juttatás össz.</v>
          </cell>
        </row>
        <row r="1353">
          <cell r="A1353" t="str">
            <v>10</v>
          </cell>
          <cell r="B1353" t="str">
            <v>53</v>
          </cell>
          <cell r="C1353" t="str">
            <v>1</v>
          </cell>
          <cell r="D1353" t="str">
            <v>B</v>
          </cell>
          <cell r="E1353">
            <v>1</v>
          </cell>
          <cell r="F1353" t="str">
            <v>TB kifizetöhely által az ellátás után kapott térités össz.</v>
          </cell>
        </row>
        <row r="1354">
          <cell r="A1354" t="str">
            <v>11</v>
          </cell>
          <cell r="B1354" t="str">
            <v>53</v>
          </cell>
          <cell r="C1354" t="str">
            <v>1</v>
          </cell>
          <cell r="D1354" t="str">
            <v>B</v>
          </cell>
          <cell r="E1354">
            <v>1</v>
          </cell>
          <cell r="F1354" t="str">
            <v>Biztositási kiadások: - életbiztositás</v>
          </cell>
        </row>
        <row r="1355">
          <cell r="A1355" t="str">
            <v>12</v>
          </cell>
          <cell r="B1355" t="str">
            <v>53</v>
          </cell>
          <cell r="C1355" t="str">
            <v>1</v>
          </cell>
          <cell r="D1355" t="str">
            <v>B</v>
          </cell>
          <cell r="E1355">
            <v>1</v>
          </cell>
          <cell r="F1355" t="str">
            <v>Biztositási kiadások: - vagyonbiztositás</v>
          </cell>
        </row>
        <row r="1356">
          <cell r="A1356" t="str">
            <v>13</v>
          </cell>
          <cell r="B1356" t="str">
            <v>53</v>
          </cell>
          <cell r="C1356" t="str">
            <v>1</v>
          </cell>
          <cell r="D1356" t="str">
            <v>B</v>
          </cell>
          <cell r="E1356">
            <v>1</v>
          </cell>
          <cell r="F1356" t="str">
            <v>Munkáltato által levont munkavállaloi járulék</v>
          </cell>
        </row>
        <row r="1357">
          <cell r="A1357" t="str">
            <v>14</v>
          </cell>
          <cell r="B1357" t="str">
            <v>53</v>
          </cell>
          <cell r="C1357" t="str">
            <v>1</v>
          </cell>
          <cell r="D1357" t="str">
            <v>B</v>
          </cell>
          <cell r="E1357">
            <v>1</v>
          </cell>
          <cell r="F1357" t="str">
            <v>Személyi juttatások:-2001.jan.telj.51-52.szla.brutto szem.j</v>
          </cell>
        </row>
        <row r="1358">
          <cell r="A1358" t="str">
            <v>15</v>
          </cell>
          <cell r="B1358" t="str">
            <v>53</v>
          </cell>
          <cell r="C1358" t="str">
            <v>1</v>
          </cell>
          <cell r="D1358" t="str">
            <v>B</v>
          </cell>
          <cell r="E1358">
            <v>1</v>
          </cell>
          <cell r="F1358" t="str">
            <v>Személyi juttatások:-2002.jan.telj.51-52.szla.brutto szem.j</v>
          </cell>
        </row>
        <row r="1359">
          <cell r="A1359" t="str">
            <v>16</v>
          </cell>
          <cell r="B1359" t="str">
            <v>53</v>
          </cell>
          <cell r="C1359" t="str">
            <v>1</v>
          </cell>
          <cell r="D1359" t="str">
            <v>B</v>
          </cell>
          <cell r="E1359">
            <v>1</v>
          </cell>
          <cell r="F1359" t="str">
            <v>TB járulék:-2001.jan.telj.531.szla elsz.-járulék</v>
          </cell>
        </row>
        <row r="1360">
          <cell r="A1360" t="str">
            <v>17</v>
          </cell>
          <cell r="B1360" t="str">
            <v>53</v>
          </cell>
          <cell r="C1360" t="str">
            <v>1</v>
          </cell>
          <cell r="D1360" t="str">
            <v>B</v>
          </cell>
          <cell r="E1360">
            <v>1</v>
          </cell>
          <cell r="F1360" t="str">
            <v>TB járulék:-2002.jan.telj.531.szla elsz.-járulék</v>
          </cell>
        </row>
        <row r="1361">
          <cell r="A1361" t="str">
            <v>18</v>
          </cell>
          <cell r="B1361" t="str">
            <v>53</v>
          </cell>
          <cell r="C1361" t="str">
            <v>1</v>
          </cell>
          <cell r="D1361" t="str">
            <v>B</v>
          </cell>
          <cell r="E1361">
            <v>1</v>
          </cell>
          <cell r="F1361" t="str">
            <v>Munkaadoi járulék:-2001.jan.telj.532.szla elsz.-járulék</v>
          </cell>
        </row>
        <row r="1362">
          <cell r="A1362" t="str">
            <v>19</v>
          </cell>
          <cell r="B1362" t="str">
            <v>53</v>
          </cell>
          <cell r="C1362" t="str">
            <v>1</v>
          </cell>
          <cell r="D1362" t="str">
            <v>B</v>
          </cell>
          <cell r="E1362">
            <v>1</v>
          </cell>
          <cell r="F1362" t="str">
            <v>Munkaadoi járulék:-2002.jan.telj.532.szla elsz.-járulék</v>
          </cell>
        </row>
        <row r="1363">
          <cell r="A1363" t="str">
            <v>20</v>
          </cell>
          <cell r="B1363" t="str">
            <v>53</v>
          </cell>
          <cell r="C1363" t="str">
            <v>1</v>
          </cell>
          <cell r="D1363" t="str">
            <v>B</v>
          </cell>
          <cell r="E1363">
            <v>1</v>
          </cell>
          <cell r="F1363" t="str">
            <v>Eg.bizt.hozzájárulás:-2001.jan.telj.533.szla elsz.-járulék</v>
          </cell>
        </row>
        <row r="1364">
          <cell r="A1364" t="str">
            <v>21</v>
          </cell>
          <cell r="B1364" t="str">
            <v>53</v>
          </cell>
          <cell r="C1364" t="str">
            <v>1</v>
          </cell>
          <cell r="D1364" t="str">
            <v>B</v>
          </cell>
          <cell r="E1364">
            <v>1</v>
          </cell>
          <cell r="F1364" t="str">
            <v>Eg.bizt.hozzájárulás:-2002.jan.telj.533.szla elsz.-járulék</v>
          </cell>
        </row>
        <row r="1365">
          <cell r="A1365" t="str">
            <v>22</v>
          </cell>
          <cell r="B1365" t="str">
            <v>53</v>
          </cell>
          <cell r="C1365" t="str">
            <v>1</v>
          </cell>
          <cell r="D1365" t="str">
            <v>B</v>
          </cell>
          <cell r="E1365">
            <v>1</v>
          </cell>
          <cell r="F1365" t="str">
            <v>Kamatkiadások:-2001.telj.573.szla elsz.-nem tárgyévre kamat</v>
          </cell>
        </row>
        <row r="1366">
          <cell r="A1366" t="str">
            <v>23</v>
          </cell>
          <cell r="B1366" t="str">
            <v>53</v>
          </cell>
          <cell r="C1366" t="str">
            <v>1</v>
          </cell>
          <cell r="D1366" t="str">
            <v>B</v>
          </cell>
          <cell r="E1366">
            <v>1</v>
          </cell>
          <cell r="F1366" t="str">
            <v>Kamatkiadások:-2001.terhelö,de tárgyévben meg nem fiz.kamat</v>
          </cell>
        </row>
        <row r="1367">
          <cell r="A1367" t="str">
            <v>24</v>
          </cell>
          <cell r="B1367" t="str">
            <v>53</v>
          </cell>
          <cell r="C1367" t="str">
            <v>1</v>
          </cell>
          <cell r="D1367" t="str">
            <v>B</v>
          </cell>
          <cell r="E1367">
            <v>1</v>
          </cell>
          <cell r="F1367" t="str">
            <v>Kamatbevételek:-2001.bef.916.szla elsz.-nem tárgyévre kamat</v>
          </cell>
        </row>
        <row r="1368">
          <cell r="A1368" t="str">
            <v>25</v>
          </cell>
          <cell r="B1368" t="str">
            <v>53</v>
          </cell>
          <cell r="C1368" t="str">
            <v>1</v>
          </cell>
          <cell r="D1368" t="str">
            <v>B</v>
          </cell>
          <cell r="E1368">
            <v>1</v>
          </cell>
          <cell r="F1368" t="str">
            <v>Kamatbevételek:-2001.járo,de be nem folyt kamat összege</v>
          </cell>
        </row>
        <row r="1369">
          <cell r="A1369" t="str">
            <v>26</v>
          </cell>
          <cell r="B1369" t="str">
            <v>53</v>
          </cell>
          <cell r="C1369" t="str">
            <v>1</v>
          </cell>
          <cell r="D1369" t="str">
            <v>B</v>
          </cell>
          <cell r="E1369">
            <v>1</v>
          </cell>
          <cell r="F1369" t="str">
            <v>Bevételként elszámolt árfolyamnyereség</v>
          </cell>
        </row>
        <row r="1370">
          <cell r="A1370" t="str">
            <v>27</v>
          </cell>
          <cell r="B1370" t="str">
            <v>53</v>
          </cell>
          <cell r="C1370" t="str">
            <v>1</v>
          </cell>
          <cell r="D1370" t="str">
            <v>B</v>
          </cell>
          <cell r="E1370">
            <v>1</v>
          </cell>
          <cell r="F1370" t="str">
            <v>Kiadásként elszámolt árfolyamveszteség</v>
          </cell>
        </row>
        <row r="1371">
          <cell r="A1371" t="str">
            <v>28</v>
          </cell>
          <cell r="B1371" t="str">
            <v>53</v>
          </cell>
          <cell r="C1371" t="str">
            <v>1</v>
          </cell>
          <cell r="D1371" t="str">
            <v>B</v>
          </cell>
          <cell r="E1371">
            <v>1</v>
          </cell>
          <cell r="F1371" t="str">
            <v>Technikai összesen       (01+...+27)</v>
          </cell>
        </row>
        <row r="1372">
          <cell r="A1372" t="str">
            <v>1</v>
          </cell>
          <cell r="B1372" t="str">
            <v>54</v>
          </cell>
          <cell r="C1372" t="str">
            <v>1</v>
          </cell>
          <cell r="D1372" t="str">
            <v>B</v>
          </cell>
          <cell r="E1372">
            <v>1</v>
          </cell>
          <cell r="F1372" t="str">
            <v>Községek általános feladatai</v>
          </cell>
          <cell r="G1372" t="str">
            <v>17.819</v>
          </cell>
          <cell r="H1372" t="str">
            <v>82.181</v>
          </cell>
        </row>
        <row r="1373">
          <cell r="A1373" t="str">
            <v>2</v>
          </cell>
          <cell r="B1373" t="str">
            <v>54</v>
          </cell>
          <cell r="C1373" t="str">
            <v>1</v>
          </cell>
          <cell r="D1373" t="str">
            <v>B</v>
          </cell>
          <cell r="E1373">
            <v>1</v>
          </cell>
          <cell r="F1373" t="str">
            <v>Települési igazgatási, kommunális és sportfeladatok</v>
          </cell>
          <cell r="G1373" t="str">
            <v>16.184</v>
          </cell>
          <cell r="H1373" t="str">
            <v>83.816</v>
          </cell>
        </row>
        <row r="1374">
          <cell r="A1374" t="str">
            <v>3</v>
          </cell>
          <cell r="B1374" t="str">
            <v>54</v>
          </cell>
          <cell r="C1374" t="str">
            <v>1</v>
          </cell>
          <cell r="D1374" t="str">
            <v>B</v>
          </cell>
          <cell r="E1374">
            <v>1</v>
          </cell>
          <cell r="F1374" t="str">
            <v>Körjegyzöség müködése</v>
          </cell>
          <cell r="G1374" t="str">
            <v>24.379</v>
          </cell>
          <cell r="H1374" t="str">
            <v>75.621</v>
          </cell>
        </row>
        <row r="1375">
          <cell r="A1375" t="str">
            <v>4</v>
          </cell>
          <cell r="B1375" t="str">
            <v>54</v>
          </cell>
          <cell r="C1375" t="str">
            <v>1</v>
          </cell>
          <cell r="D1375" t="str">
            <v>B</v>
          </cell>
          <cell r="E1375">
            <v>1</v>
          </cell>
          <cell r="F1375" t="str">
            <v>Lakott külterületekkel kapcsolatos feladatok</v>
          </cell>
          <cell r="G1375" t="str">
            <v>0</v>
          </cell>
          <cell r="H1375" t="str">
            <v>100</v>
          </cell>
        </row>
        <row r="1376">
          <cell r="A1376" t="str">
            <v>5</v>
          </cell>
          <cell r="B1376" t="str">
            <v>54</v>
          </cell>
          <cell r="C1376" t="str">
            <v>1</v>
          </cell>
          <cell r="D1376" t="str">
            <v>B</v>
          </cell>
          <cell r="E1376">
            <v>1</v>
          </cell>
          <cell r="F1376" t="str">
            <v>Körzeti igazgatási feladatok</v>
          </cell>
          <cell r="G1376" t="str">
            <v>0</v>
          </cell>
          <cell r="H1376" t="str">
            <v>100</v>
          </cell>
        </row>
        <row r="1377">
          <cell r="A1377" t="str">
            <v>6</v>
          </cell>
          <cell r="B1377" t="str">
            <v>54</v>
          </cell>
          <cell r="C1377" t="str">
            <v>1</v>
          </cell>
          <cell r="D1377" t="str">
            <v>B</v>
          </cell>
          <cell r="E1377">
            <v>1</v>
          </cell>
          <cell r="F1377" t="str">
            <v>Megyei, fövárosi igazgatási és sportfeladatok</v>
          </cell>
          <cell r="G1377" t="str">
            <v>0</v>
          </cell>
          <cell r="H1377" t="str">
            <v>100</v>
          </cell>
        </row>
        <row r="1378">
          <cell r="A1378" t="str">
            <v>7</v>
          </cell>
          <cell r="B1378" t="str">
            <v>54</v>
          </cell>
          <cell r="C1378" t="str">
            <v>1</v>
          </cell>
          <cell r="D1378" t="str">
            <v>B</v>
          </cell>
          <cell r="E1378">
            <v>1</v>
          </cell>
          <cell r="F1378" t="str">
            <v>Üdülöhelyi feladatok</v>
          </cell>
          <cell r="G1378" t="str">
            <v>29.536</v>
          </cell>
          <cell r="H1378" t="str">
            <v>70.464</v>
          </cell>
        </row>
        <row r="1379">
          <cell r="A1379" t="str">
            <v>8</v>
          </cell>
          <cell r="B1379" t="str">
            <v>54</v>
          </cell>
          <cell r="C1379" t="str">
            <v>1</v>
          </cell>
          <cell r="D1379" t="str">
            <v>B</v>
          </cell>
          <cell r="E1379">
            <v>1</v>
          </cell>
          <cell r="F1379" t="str">
            <v>A társadalmi-gazdasági, infrastrukt.elmaradott.önk.támog.</v>
          </cell>
          <cell r="G1379" t="str">
            <v>0</v>
          </cell>
          <cell r="H1379" t="str">
            <v>100</v>
          </cell>
        </row>
        <row r="1380">
          <cell r="A1380" t="str">
            <v>9</v>
          </cell>
          <cell r="B1380" t="str">
            <v>54</v>
          </cell>
          <cell r="C1380" t="str">
            <v>1</v>
          </cell>
          <cell r="D1380" t="str">
            <v>B</v>
          </cell>
          <cell r="E1380">
            <v>1</v>
          </cell>
          <cell r="F1380" t="str">
            <v>Pénzbeli, természetbeli szociális és gyermekjoléti támogatás</v>
          </cell>
          <cell r="G1380" t="str">
            <v>0</v>
          </cell>
          <cell r="H1380" t="str">
            <v>100</v>
          </cell>
        </row>
        <row r="1381">
          <cell r="A1381" t="str">
            <v>10</v>
          </cell>
          <cell r="B1381" t="str">
            <v>54</v>
          </cell>
          <cell r="C1381" t="str">
            <v>1</v>
          </cell>
          <cell r="D1381" t="str">
            <v>B</v>
          </cell>
          <cell r="E1381">
            <v>1</v>
          </cell>
          <cell r="F1381" t="str">
            <v>A lakáshoz jutás,lakás fenntartás támogatásának feladatai</v>
          </cell>
          <cell r="G1381" t="str">
            <v>0</v>
          </cell>
          <cell r="H1381" t="str">
            <v>100</v>
          </cell>
        </row>
        <row r="1382">
          <cell r="A1382" t="str">
            <v>11</v>
          </cell>
          <cell r="B1382" t="str">
            <v>54</v>
          </cell>
          <cell r="C1382" t="str">
            <v>1</v>
          </cell>
          <cell r="D1382" t="str">
            <v>B</v>
          </cell>
          <cell r="E1382">
            <v>1</v>
          </cell>
          <cell r="F1382" t="str">
            <v>Szociális és gyermekjoléti alapszolgáltatási feledatok</v>
          </cell>
          <cell r="G1382" t="str">
            <v>25.241</v>
          </cell>
          <cell r="H1382" t="str">
            <v>74.759</v>
          </cell>
        </row>
        <row r="1383">
          <cell r="A1383" t="str">
            <v>12</v>
          </cell>
          <cell r="B1383" t="str">
            <v>54</v>
          </cell>
          <cell r="C1383" t="str">
            <v>1</v>
          </cell>
          <cell r="D1383" t="str">
            <v>B</v>
          </cell>
          <cell r="E1383">
            <v>1</v>
          </cell>
          <cell r="F1383" t="str">
            <v>Gyermekvédelmi szakellátás</v>
          </cell>
          <cell r="G1383" t="str">
            <v>25.241</v>
          </cell>
          <cell r="H1383" t="str">
            <v>74.759</v>
          </cell>
        </row>
        <row r="1384">
          <cell r="A1384" t="str">
            <v>13</v>
          </cell>
          <cell r="B1384" t="str">
            <v>54</v>
          </cell>
          <cell r="C1384" t="str">
            <v>1</v>
          </cell>
          <cell r="D1384" t="str">
            <v>B</v>
          </cell>
          <cell r="E1384">
            <v>1</v>
          </cell>
          <cell r="F1384" t="str">
            <v>Bentlakásos és átmeneti elhelyezést nyujto intézményi ellát.</v>
          </cell>
          <cell r="G1384" t="str">
            <v>25.241</v>
          </cell>
          <cell r="H1384" t="str">
            <v>74.759</v>
          </cell>
        </row>
        <row r="1385">
          <cell r="A1385" t="str">
            <v>14</v>
          </cell>
          <cell r="B1385" t="str">
            <v>54</v>
          </cell>
          <cell r="C1385" t="str">
            <v>1</v>
          </cell>
          <cell r="D1385" t="str">
            <v>B</v>
          </cell>
          <cell r="E1385">
            <v>1</v>
          </cell>
          <cell r="F1385" t="str">
            <v>Nappali szociális intézményi ellátás</v>
          </cell>
          <cell r="G1385" t="str">
            <v>25.241</v>
          </cell>
          <cell r="H1385" t="str">
            <v>74.759</v>
          </cell>
        </row>
        <row r="1386">
          <cell r="A1386" t="str">
            <v>15</v>
          </cell>
          <cell r="B1386" t="str">
            <v>54</v>
          </cell>
          <cell r="C1386" t="str">
            <v>1</v>
          </cell>
          <cell r="D1386" t="str">
            <v>B</v>
          </cell>
          <cell r="E1386">
            <v>1</v>
          </cell>
          <cell r="F1386" t="str">
            <v>Hajléktalanok átmeneti intézményei</v>
          </cell>
          <cell r="G1386" t="str">
            <v>25.241</v>
          </cell>
          <cell r="H1386" t="str">
            <v>74.759</v>
          </cell>
        </row>
        <row r="1387">
          <cell r="A1387" t="str">
            <v>16</v>
          </cell>
          <cell r="B1387" t="str">
            <v>54</v>
          </cell>
          <cell r="C1387" t="str">
            <v>1</v>
          </cell>
          <cell r="D1387" t="str">
            <v>B</v>
          </cell>
          <cell r="E1387">
            <v>1</v>
          </cell>
          <cell r="F1387" t="str">
            <v>Pszich.és szenvedélybetegek, fogyatékosok bentlak.int.ellát.</v>
          </cell>
          <cell r="G1387" t="str">
            <v>25.239</v>
          </cell>
          <cell r="H1387" t="str">
            <v>74.761</v>
          </cell>
        </row>
        <row r="1388">
          <cell r="A1388" t="str">
            <v>17</v>
          </cell>
          <cell r="B1388" t="str">
            <v>54</v>
          </cell>
          <cell r="C1388" t="str">
            <v>1</v>
          </cell>
          <cell r="D1388" t="str">
            <v>B</v>
          </cell>
          <cell r="E1388">
            <v>1</v>
          </cell>
          <cell r="F1388" t="str">
            <v>Bölcsödei ellátás</v>
          </cell>
          <cell r="G1388" t="str">
            <v>25.241</v>
          </cell>
          <cell r="H1388" t="str">
            <v>74.759</v>
          </cell>
        </row>
        <row r="1389">
          <cell r="A1389" t="str">
            <v>18</v>
          </cell>
          <cell r="B1389" t="str">
            <v>54</v>
          </cell>
          <cell r="C1389" t="str">
            <v>1</v>
          </cell>
          <cell r="D1389" t="str">
            <v>B</v>
          </cell>
          <cell r="E1389">
            <v>1</v>
          </cell>
          <cell r="F1389" t="str">
            <v>Szociális intézményi modszertani feladatok</v>
          </cell>
          <cell r="G1389" t="str">
            <v>25.241</v>
          </cell>
          <cell r="H1389" t="str">
            <v>74.759</v>
          </cell>
        </row>
        <row r="1390">
          <cell r="A1390" t="str">
            <v>19</v>
          </cell>
          <cell r="B1390" t="str">
            <v>54</v>
          </cell>
          <cell r="C1390" t="str">
            <v>1</v>
          </cell>
          <cell r="D1390" t="str">
            <v>B</v>
          </cell>
          <cell r="E1390">
            <v>1</v>
          </cell>
          <cell r="F1390" t="str">
            <v>Ovodai ellátás</v>
          </cell>
          <cell r="G1390" t="str">
            <v>100</v>
          </cell>
          <cell r="H1390" t="str">
            <v>0</v>
          </cell>
        </row>
        <row r="1391">
          <cell r="A1391" t="str">
            <v>20</v>
          </cell>
          <cell r="B1391" t="str">
            <v>54</v>
          </cell>
          <cell r="C1391" t="str">
            <v>1</v>
          </cell>
          <cell r="D1391" t="str">
            <v>B</v>
          </cell>
          <cell r="E1391">
            <v>1</v>
          </cell>
          <cell r="F1391" t="str">
            <v>Iskolai oktatás</v>
          </cell>
          <cell r="G1391" t="str">
            <v>100</v>
          </cell>
          <cell r="H1391" t="str">
            <v>0</v>
          </cell>
        </row>
        <row r="1392">
          <cell r="A1392" t="str">
            <v>21</v>
          </cell>
          <cell r="B1392" t="str">
            <v>54</v>
          </cell>
          <cell r="C1392" t="str">
            <v>1</v>
          </cell>
          <cell r="D1392" t="str">
            <v>B</v>
          </cell>
          <cell r="E1392">
            <v>1</v>
          </cell>
          <cell r="F1392" t="str">
            <v>Különleges gondozás keretében nyujtott ellátás</v>
          </cell>
          <cell r="G1392" t="str">
            <v>100</v>
          </cell>
          <cell r="H1392" t="str">
            <v>0</v>
          </cell>
        </row>
        <row r="1393">
          <cell r="A1393" t="str">
            <v>22</v>
          </cell>
          <cell r="B1393" t="str">
            <v>54</v>
          </cell>
          <cell r="C1393" t="str">
            <v>1</v>
          </cell>
          <cell r="D1393" t="str">
            <v>B</v>
          </cell>
          <cell r="E1393">
            <v>1</v>
          </cell>
          <cell r="F1393" t="str">
            <v>Alapfoku müvészetoktatás</v>
          </cell>
          <cell r="G1393" t="str">
            <v>100</v>
          </cell>
          <cell r="H1393" t="str">
            <v>0</v>
          </cell>
        </row>
        <row r="1394">
          <cell r="A1394" t="str">
            <v>23</v>
          </cell>
          <cell r="B1394" t="str">
            <v>54</v>
          </cell>
          <cell r="C1394" t="str">
            <v>1</v>
          </cell>
          <cell r="D1394" t="str">
            <v>B</v>
          </cell>
          <cell r="E1394">
            <v>1</v>
          </cell>
          <cell r="F1394" t="str">
            <v>Bentlakásos közoktatási intézményi ellátás</v>
          </cell>
          <cell r="G1394" t="str">
            <v>100</v>
          </cell>
          <cell r="H1394" t="str">
            <v>0</v>
          </cell>
        </row>
        <row r="1395">
          <cell r="A1395" t="str">
            <v>24</v>
          </cell>
          <cell r="B1395" t="str">
            <v>54</v>
          </cell>
          <cell r="C1395" t="str">
            <v>1</v>
          </cell>
          <cell r="D1395" t="str">
            <v>B</v>
          </cell>
          <cell r="E1395">
            <v>1</v>
          </cell>
          <cell r="F1395" t="str">
            <v>Kieg.hozzájárulás egyéb közoktatási feladatokhoz</v>
          </cell>
          <cell r="G1395" t="str">
            <v>70.524</v>
          </cell>
          <cell r="H1395" t="str">
            <v>29.476</v>
          </cell>
        </row>
        <row r="1396">
          <cell r="A1396" t="str">
            <v>25</v>
          </cell>
          <cell r="B1396" t="str">
            <v>54</v>
          </cell>
          <cell r="C1396" t="str">
            <v>1</v>
          </cell>
          <cell r="D1396" t="str">
            <v>B</v>
          </cell>
          <cell r="E1396">
            <v>1</v>
          </cell>
          <cell r="F1396" t="str">
            <v>Helyi közmüvelödési és közgyüjteményi feladatok ellátása</v>
          </cell>
          <cell r="G1396" t="str">
            <v>0</v>
          </cell>
          <cell r="H1396" t="str">
            <v>100</v>
          </cell>
        </row>
        <row r="1397">
          <cell r="A1397" t="str">
            <v>26</v>
          </cell>
          <cell r="B1397" t="str">
            <v>54</v>
          </cell>
          <cell r="C1397" t="str">
            <v>1</v>
          </cell>
          <cell r="D1397" t="str">
            <v>B</v>
          </cell>
          <cell r="E1397">
            <v>1</v>
          </cell>
          <cell r="F1397" t="str">
            <v>Megyei/fövárosi közmüvelődési,közgyüjteményi feladat ellátás</v>
          </cell>
          <cell r="G1397" t="str">
            <v>0</v>
          </cell>
          <cell r="H1397" t="str">
            <v>100</v>
          </cell>
        </row>
        <row r="1398">
          <cell r="A1398" t="str">
            <v>27</v>
          </cell>
          <cell r="B1398" t="str">
            <v>54</v>
          </cell>
          <cell r="C1398" t="str">
            <v>1</v>
          </cell>
          <cell r="D1398" t="str">
            <v>B</v>
          </cell>
          <cell r="E1398">
            <v>1</v>
          </cell>
          <cell r="F1398" t="str">
            <v>Települési sportfeladatok</v>
          </cell>
          <cell r="G1398" t="str">
            <v>100</v>
          </cell>
          <cell r="H1398" t="str">
            <v>0</v>
          </cell>
        </row>
        <row r="1399">
          <cell r="A1399" t="str">
            <v>28</v>
          </cell>
          <cell r="B1399" t="str">
            <v>54</v>
          </cell>
          <cell r="C1399" t="str">
            <v>1</v>
          </cell>
          <cell r="D1399" t="str">
            <v>B</v>
          </cell>
          <cell r="E1399">
            <v>1</v>
          </cell>
          <cell r="F1399" t="str">
            <v>Normativ hozzájárulások összesen (01+...+27)</v>
          </cell>
        </row>
        <row r="1400">
          <cell r="A1400" t="str">
            <v>29</v>
          </cell>
          <cell r="B1400" t="str">
            <v>54</v>
          </cell>
          <cell r="C1400" t="str">
            <v>1</v>
          </cell>
          <cell r="D1400" t="str">
            <v>B</v>
          </cell>
          <cell r="E1400">
            <v>1</v>
          </cell>
          <cell r="F1400" t="str">
            <v>Helyi önkormányzati hivatásos tüzoltoságok támogatása</v>
          </cell>
          <cell r="G1400" t="str">
            <v>23.298</v>
          </cell>
          <cell r="H1400" t="str">
            <v>76.702</v>
          </cell>
        </row>
        <row r="1401">
          <cell r="A1401" t="str">
            <v>1</v>
          </cell>
          <cell r="B1401" t="str">
            <v>55</v>
          </cell>
          <cell r="C1401" t="str">
            <v>1</v>
          </cell>
          <cell r="D1401" t="str">
            <v>B</v>
          </cell>
          <cell r="E1401">
            <v>1</v>
          </cell>
          <cell r="F1401" t="str">
            <v>Költ.törv.6.sz.m.1.1-6 alpont önk.mind megfel/nem fel.meg</v>
          </cell>
        </row>
        <row r="1402">
          <cell r="A1402" t="str">
            <v>2</v>
          </cell>
          <cell r="B1402" t="str">
            <v>55</v>
          </cell>
          <cell r="C1402" t="str">
            <v>1</v>
          </cell>
          <cell r="D1402" t="str">
            <v>B</v>
          </cell>
          <cell r="E1402">
            <v>1</v>
          </cell>
          <cell r="F1402" t="str">
            <v>Költ.törv.6.sz.m.1.  1 alpont önk. megfelel/nem felel meg</v>
          </cell>
        </row>
        <row r="1403">
          <cell r="A1403" t="str">
            <v>3</v>
          </cell>
          <cell r="B1403" t="str">
            <v>55</v>
          </cell>
          <cell r="C1403" t="str">
            <v>1</v>
          </cell>
          <cell r="D1403" t="str">
            <v>B</v>
          </cell>
          <cell r="E1403">
            <v>1</v>
          </cell>
          <cell r="F1403" t="str">
            <v>Költ.törv.6.sz.m.1.  2 alpont önk. megfelel/nem felel meg</v>
          </cell>
        </row>
        <row r="1404">
          <cell r="A1404" t="str">
            <v>4</v>
          </cell>
          <cell r="B1404" t="str">
            <v>55</v>
          </cell>
          <cell r="C1404" t="str">
            <v>1</v>
          </cell>
          <cell r="D1404" t="str">
            <v>B</v>
          </cell>
          <cell r="E1404">
            <v>1</v>
          </cell>
          <cell r="F1404" t="str">
            <v>Költ.törv.6.sz.m.1.  3 alpont önk. megfelel/nem felel meg</v>
          </cell>
        </row>
        <row r="1405">
          <cell r="A1405" t="str">
            <v>5</v>
          </cell>
          <cell r="B1405" t="str">
            <v>55</v>
          </cell>
          <cell r="C1405" t="str">
            <v>1</v>
          </cell>
          <cell r="D1405" t="str">
            <v>B</v>
          </cell>
          <cell r="E1405">
            <v>1</v>
          </cell>
          <cell r="F1405" t="str">
            <v>Költ.törv.6.sz.m.1.  4 alpont önk. megfelel/nem felel meg</v>
          </cell>
        </row>
        <row r="1406">
          <cell r="A1406" t="str">
            <v>6</v>
          </cell>
          <cell r="B1406" t="str">
            <v>55</v>
          </cell>
          <cell r="C1406" t="str">
            <v>1</v>
          </cell>
          <cell r="D1406" t="str">
            <v>B</v>
          </cell>
          <cell r="E1406">
            <v>1</v>
          </cell>
          <cell r="F1406" t="str">
            <v>Költ.törv.6.sz.m.1.  5 alpont önk. megfelel/nem felel meg</v>
          </cell>
        </row>
        <row r="1407">
          <cell r="A1407" t="str">
            <v>7</v>
          </cell>
          <cell r="B1407" t="str">
            <v>55</v>
          </cell>
          <cell r="C1407" t="str">
            <v>1</v>
          </cell>
          <cell r="D1407" t="str">
            <v>B</v>
          </cell>
          <cell r="E1407">
            <v>1</v>
          </cell>
          <cell r="F1407" t="str">
            <v>Költ.törv.6.sz.m.1.  6 alpont önk. megfelel/nem felel meg</v>
          </cell>
        </row>
        <row r="1408">
          <cell r="A1408" t="str">
            <v>8</v>
          </cell>
          <cell r="B1408" t="str">
            <v>55</v>
          </cell>
          <cell r="C1408" t="str">
            <v>1</v>
          </cell>
          <cell r="D1408" t="str">
            <v>B</v>
          </cell>
          <cell r="E1408">
            <v>1</v>
          </cell>
          <cell r="F1408" t="str">
            <v>Önkorm. 2001.évi I-II.ütemü együttes támogatása (ezer Ft)</v>
          </cell>
        </row>
        <row r="1409">
          <cell r="A1409" t="str">
            <v>1</v>
          </cell>
          <cell r="B1409" t="str">
            <v>56</v>
          </cell>
          <cell r="C1409" t="str">
            <v>1</v>
          </cell>
          <cell r="D1409" t="str">
            <v>B</v>
          </cell>
          <cell r="E1409">
            <v>1</v>
          </cell>
          <cell r="F1409" t="str">
            <v>Tárgyévi nyitobol - oktatási rendeltetésü intézményekben</v>
          </cell>
        </row>
        <row r="1410">
          <cell r="A1410" t="str">
            <v>2</v>
          </cell>
          <cell r="B1410" t="str">
            <v>56</v>
          </cell>
          <cell r="C1410" t="str">
            <v>1</v>
          </cell>
          <cell r="D1410" t="str">
            <v>B</v>
          </cell>
          <cell r="E1410">
            <v>1</v>
          </cell>
          <cell r="F1410" t="str">
            <v>Tárgyévi nyitobol - müvelödési rendeltetésü intézményekben</v>
          </cell>
        </row>
        <row r="1411">
          <cell r="A1411" t="str">
            <v>3</v>
          </cell>
          <cell r="B1411" t="str">
            <v>56</v>
          </cell>
          <cell r="C1411" t="str">
            <v>1</v>
          </cell>
          <cell r="D1411" t="str">
            <v>B</v>
          </cell>
          <cell r="E1411">
            <v>1</v>
          </cell>
          <cell r="F1411" t="str">
            <v>Tárgyévi nyitobol - sport-és szabadidö intézményekben</v>
          </cell>
        </row>
        <row r="1412">
          <cell r="A1412" t="str">
            <v>4</v>
          </cell>
          <cell r="B1412" t="str">
            <v>56</v>
          </cell>
          <cell r="C1412" t="str">
            <v>1</v>
          </cell>
          <cell r="D1412" t="str">
            <v>B</v>
          </cell>
          <cell r="E1412">
            <v>1</v>
          </cell>
          <cell r="F1412" t="str">
            <v>Tárgyévi nyitobol - szociális és egészségügyi intézményekben</v>
          </cell>
        </row>
        <row r="1413">
          <cell r="A1413" t="str">
            <v>5</v>
          </cell>
          <cell r="B1413" t="str">
            <v>56</v>
          </cell>
          <cell r="C1413" t="str">
            <v>1</v>
          </cell>
          <cell r="D1413" t="str">
            <v>B</v>
          </cell>
          <cell r="E1413">
            <v>1</v>
          </cell>
          <cell r="F1413" t="str">
            <v>Tárgyévi nyitobol - igazgatási feladatot elláto intézményekben</v>
          </cell>
        </row>
        <row r="1414">
          <cell r="A1414" t="str">
            <v>6</v>
          </cell>
          <cell r="B1414" t="str">
            <v>56</v>
          </cell>
          <cell r="C1414" t="str">
            <v>1</v>
          </cell>
          <cell r="D1414" t="str">
            <v>B</v>
          </cell>
          <cell r="E1414">
            <v>1</v>
          </cell>
          <cell r="F1414" t="str">
            <v>Tárgyévi nyitobol - viziközmüvekben(vizellátás,szenyviz kezel.)</v>
          </cell>
        </row>
        <row r="1415">
          <cell r="A1415" t="str">
            <v>7</v>
          </cell>
          <cell r="B1415" t="str">
            <v>56</v>
          </cell>
          <cell r="C1415" t="str">
            <v>1</v>
          </cell>
          <cell r="D1415" t="str">
            <v>B</v>
          </cell>
          <cell r="E1415">
            <v>1</v>
          </cell>
          <cell r="F1415" t="str">
            <v>Tárgyévi nyitobol - távfütö müvekben</v>
          </cell>
        </row>
        <row r="1416">
          <cell r="A1416" t="str">
            <v>8</v>
          </cell>
          <cell r="B1416" t="str">
            <v>56</v>
          </cell>
          <cell r="C1416" t="str">
            <v>1</v>
          </cell>
          <cell r="D1416" t="str">
            <v>B</v>
          </cell>
          <cell r="E1416">
            <v>1</v>
          </cell>
          <cell r="F1416" t="str">
            <v>Tárgyévi nyitobol - egyéb intézményekben,egyéb rendeltetéssel</v>
          </cell>
        </row>
        <row r="1417">
          <cell r="A1417" t="str">
            <v>9</v>
          </cell>
          <cell r="B1417" t="str">
            <v>56</v>
          </cell>
          <cell r="C1417" t="str">
            <v>1</v>
          </cell>
          <cell r="D1417" t="str">
            <v>B</v>
          </cell>
          <cell r="E1417">
            <v>1</v>
          </cell>
          <cell r="F1417" t="str">
            <v>Eszközök összesen (01+...+08)</v>
          </cell>
        </row>
        <row r="1418">
          <cell r="A1418" t="str">
            <v>1</v>
          </cell>
          <cell r="B1418" t="str">
            <v>57</v>
          </cell>
          <cell r="C1418" t="str">
            <v>1</v>
          </cell>
          <cell r="D1418" t="str">
            <v>B</v>
          </cell>
          <cell r="E1418">
            <v>1</v>
          </cell>
          <cell r="F1418" t="str">
            <v>Egyéb tartos részesedés</v>
          </cell>
        </row>
        <row r="1419">
          <cell r="A1419" t="str">
            <v>2</v>
          </cell>
          <cell r="B1419" t="str">
            <v>57</v>
          </cell>
          <cell r="C1419" t="str">
            <v>1</v>
          </cell>
          <cell r="D1419" t="str">
            <v>B</v>
          </cell>
          <cell r="E1419">
            <v>1</v>
          </cell>
          <cell r="F1419" t="str">
            <v>Tartos hitelviszonyt megtestesitö értékpapir</v>
          </cell>
        </row>
        <row r="1420">
          <cell r="A1420" t="str">
            <v>3</v>
          </cell>
          <cell r="B1420" t="str">
            <v>57</v>
          </cell>
          <cell r="C1420" t="str">
            <v>1</v>
          </cell>
          <cell r="D1420" t="str">
            <v>B</v>
          </cell>
          <cell r="E1420">
            <v>1</v>
          </cell>
          <cell r="F1420" t="str">
            <v>Egyéb részesedés</v>
          </cell>
        </row>
        <row r="1421">
          <cell r="A1421" t="str">
            <v>4</v>
          </cell>
          <cell r="B1421" t="str">
            <v>57</v>
          </cell>
          <cell r="C1421" t="str">
            <v>1</v>
          </cell>
          <cell r="D1421" t="str">
            <v>B</v>
          </cell>
          <cell r="E1421">
            <v>1</v>
          </cell>
          <cell r="F1421" t="str">
            <v>Forgatási célu hitelviszonyt megtestesitö értékpapirok</v>
          </cell>
        </row>
        <row r="1422">
          <cell r="A1422" t="str">
            <v>5</v>
          </cell>
          <cell r="B1422" t="str">
            <v>57</v>
          </cell>
          <cell r="C1422" t="str">
            <v>1</v>
          </cell>
          <cell r="D1422" t="str">
            <v>B</v>
          </cell>
          <cell r="E1422">
            <v>1</v>
          </cell>
          <cell r="F1422" t="str">
            <v>Összesen (01+...+04)</v>
          </cell>
        </row>
        <row r="1423">
          <cell r="A1423" t="str">
            <v>1</v>
          </cell>
          <cell r="B1423" t="str">
            <v>58</v>
          </cell>
          <cell r="C1423" t="str">
            <v>1</v>
          </cell>
          <cell r="D1423" t="str">
            <v>B</v>
          </cell>
          <cell r="E1423">
            <v>1</v>
          </cell>
          <cell r="F1423" t="str">
            <v>Intézményi müködési bevételek</v>
          </cell>
        </row>
        <row r="1424">
          <cell r="A1424" t="str">
            <v>2</v>
          </cell>
          <cell r="B1424" t="str">
            <v>58</v>
          </cell>
          <cell r="C1424" t="str">
            <v>1</v>
          </cell>
          <cell r="D1424" t="str">
            <v>B</v>
          </cell>
          <cell r="E1424">
            <v>1</v>
          </cell>
          <cell r="F1424" t="str">
            <v>Önkormányzatok sajátos müködési bevételei</v>
          </cell>
        </row>
        <row r="1425">
          <cell r="A1425" t="str">
            <v>3</v>
          </cell>
          <cell r="B1425" t="str">
            <v>58</v>
          </cell>
          <cell r="C1425" t="str">
            <v>1</v>
          </cell>
          <cell r="D1425" t="str">
            <v>B</v>
          </cell>
          <cell r="E1425">
            <v>1</v>
          </cell>
          <cell r="F1425" t="str">
            <v>ebböl: - illetékek</v>
          </cell>
        </row>
        <row r="1426">
          <cell r="A1426" t="str">
            <v>4</v>
          </cell>
          <cell r="B1426" t="str">
            <v>58</v>
          </cell>
          <cell r="C1426" t="str">
            <v>1</v>
          </cell>
          <cell r="D1426" t="str">
            <v>B</v>
          </cell>
          <cell r="E1426">
            <v>1</v>
          </cell>
          <cell r="F1426" t="str">
            <v>ebböl: - helyi adok</v>
          </cell>
        </row>
        <row r="1427">
          <cell r="A1427" t="str">
            <v>5</v>
          </cell>
          <cell r="B1427" t="str">
            <v>58</v>
          </cell>
          <cell r="C1427" t="str">
            <v>1</v>
          </cell>
          <cell r="D1427" t="str">
            <v>B</v>
          </cell>
          <cell r="E1427">
            <v>1</v>
          </cell>
          <cell r="F1427" t="str">
            <v>Felhalmozási és tökebevételek</v>
          </cell>
        </row>
        <row r="1428">
          <cell r="A1428" t="str">
            <v>6</v>
          </cell>
          <cell r="B1428" t="str">
            <v>58</v>
          </cell>
          <cell r="C1428" t="str">
            <v>1</v>
          </cell>
          <cell r="D1428" t="str">
            <v>B</v>
          </cell>
          <cell r="E1428">
            <v>1</v>
          </cell>
          <cell r="F1428" t="str">
            <v>Központi költségvetésböl kapott támogatás</v>
          </cell>
        </row>
        <row r="1429">
          <cell r="A1429" t="str">
            <v>7</v>
          </cell>
          <cell r="B1429" t="str">
            <v>58</v>
          </cell>
          <cell r="C1429" t="str">
            <v>1</v>
          </cell>
          <cell r="D1429" t="str">
            <v>B</v>
          </cell>
          <cell r="E1429">
            <v>1</v>
          </cell>
          <cell r="F1429" t="str">
            <v>Adott (hoszu lejáratu) kölcsönök</v>
          </cell>
        </row>
        <row r="1430">
          <cell r="A1430" t="str">
            <v>8</v>
          </cell>
          <cell r="B1430" t="str">
            <v>58</v>
          </cell>
          <cell r="C1430" t="str">
            <v>1</v>
          </cell>
          <cell r="D1430" t="str">
            <v>B</v>
          </cell>
          <cell r="E1430">
            <v>1</v>
          </cell>
          <cell r="F1430" t="str">
            <v>Rövid lejáratu hitelek, kölcsönök</v>
          </cell>
        </row>
        <row r="1431">
          <cell r="A1431" t="str">
            <v>9</v>
          </cell>
          <cell r="B1431" t="str">
            <v>58</v>
          </cell>
          <cell r="C1431" t="str">
            <v>1</v>
          </cell>
          <cell r="D1431" t="str">
            <v>B</v>
          </cell>
          <cell r="E1431">
            <v>1</v>
          </cell>
          <cell r="F1431" t="str">
            <v>Technikai összesen:(01+02+05+06+07+08)</v>
          </cell>
        </row>
        <row r="1432">
          <cell r="A1432" t="str">
            <v>1</v>
          </cell>
          <cell r="B1432" t="str">
            <v>59</v>
          </cell>
          <cell r="C1432" t="str">
            <v>1</v>
          </cell>
          <cell r="D1432" t="str">
            <v>B</v>
          </cell>
          <cell r="E1432">
            <v>1</v>
          </cell>
          <cell r="F1432" t="str">
            <v>Beruházással kapcsolatos</v>
          </cell>
        </row>
        <row r="1433">
          <cell r="A1433" t="str">
            <v>2</v>
          </cell>
          <cell r="B1433" t="str">
            <v>59</v>
          </cell>
          <cell r="C1433" t="str">
            <v>1</v>
          </cell>
          <cell r="D1433" t="str">
            <v>B</v>
          </cell>
          <cell r="E1433">
            <v>1</v>
          </cell>
          <cell r="F1433" t="str">
            <v>Felujitással kapcsolatos</v>
          </cell>
        </row>
        <row r="1434">
          <cell r="A1434" t="str">
            <v>3</v>
          </cell>
          <cell r="B1434" t="str">
            <v>59</v>
          </cell>
          <cell r="C1434" t="str">
            <v>1</v>
          </cell>
          <cell r="D1434" t="str">
            <v>B</v>
          </cell>
          <cell r="E1434">
            <v>1</v>
          </cell>
          <cell r="F1434" t="str">
            <v>Termékvásárlással kapcsolatos</v>
          </cell>
        </row>
        <row r="1435">
          <cell r="A1435" t="str">
            <v>4</v>
          </cell>
          <cell r="B1435" t="str">
            <v>59</v>
          </cell>
          <cell r="C1435" t="str">
            <v>1</v>
          </cell>
          <cell r="D1435" t="str">
            <v>B</v>
          </cell>
          <cell r="E1435">
            <v>1</v>
          </cell>
          <cell r="F1435" t="str">
            <v>Szolgáltatás-vásárlással kapcsolatos</v>
          </cell>
        </row>
        <row r="1436">
          <cell r="A1436" t="str">
            <v>5</v>
          </cell>
          <cell r="B1436" t="str">
            <v>59</v>
          </cell>
          <cell r="C1436" t="str">
            <v>1</v>
          </cell>
          <cell r="D1436" t="str">
            <v>B</v>
          </cell>
          <cell r="E1436">
            <v>1</v>
          </cell>
          <cell r="F1436" t="str">
            <v>Személyi kiadások miatt</v>
          </cell>
        </row>
        <row r="1437">
          <cell r="A1437" t="str">
            <v>6</v>
          </cell>
          <cell r="B1437" t="str">
            <v>59</v>
          </cell>
          <cell r="C1437" t="str">
            <v>1</v>
          </cell>
          <cell r="D1437" t="str">
            <v>B</v>
          </cell>
          <cell r="E1437">
            <v>1</v>
          </cell>
          <cell r="F1437" t="str">
            <v>Köztartozások miatt</v>
          </cell>
        </row>
        <row r="1438">
          <cell r="A1438" t="str">
            <v>7</v>
          </cell>
          <cell r="B1438" t="str">
            <v>59</v>
          </cell>
          <cell r="C1438" t="str">
            <v>1</v>
          </cell>
          <cell r="D1438" t="str">
            <v>B</v>
          </cell>
          <cell r="E1438">
            <v>1</v>
          </cell>
          <cell r="F1438" t="str">
            <v>Egyéb kötelezettség</v>
          </cell>
        </row>
        <row r="1439">
          <cell r="A1439" t="str">
            <v>8</v>
          </cell>
          <cell r="B1439" t="str">
            <v>59</v>
          </cell>
          <cell r="C1439" t="str">
            <v>1</v>
          </cell>
          <cell r="D1439" t="str">
            <v>B</v>
          </cell>
          <cell r="E1439">
            <v>1</v>
          </cell>
          <cell r="F1439" t="str">
            <v>Hosszu lejáratu kötelezettségek</v>
          </cell>
        </row>
        <row r="1440">
          <cell r="A1440" t="str">
            <v>9</v>
          </cell>
          <cell r="B1440" t="str">
            <v>59</v>
          </cell>
          <cell r="C1440" t="str">
            <v>1</v>
          </cell>
          <cell r="D1440" t="str">
            <v>B</v>
          </cell>
          <cell r="E1440">
            <v>1</v>
          </cell>
          <cell r="F1440" t="str">
            <v>Rövid lejáratu hitelek,kölcsönök</v>
          </cell>
        </row>
        <row r="1441">
          <cell r="A1441" t="str">
            <v>10</v>
          </cell>
          <cell r="B1441" t="str">
            <v>59</v>
          </cell>
          <cell r="C1441" t="str">
            <v>1</v>
          </cell>
          <cell r="D1441" t="str">
            <v>B</v>
          </cell>
          <cell r="E1441">
            <v>1</v>
          </cell>
          <cell r="F1441" t="str">
            <v>Technikai összesen:(01+...+09)</v>
          </cell>
        </row>
        <row r="1442">
          <cell r="A1442" t="str">
            <v>1</v>
          </cell>
          <cell r="B1442" t="str">
            <v>80</v>
          </cell>
          <cell r="C1442" t="str">
            <v>1</v>
          </cell>
          <cell r="D1442" t="str">
            <v>B</v>
          </cell>
          <cell r="E1442">
            <v>1</v>
          </cell>
          <cell r="F1442" t="str">
            <v>Rendszeres személyi juttatás</v>
          </cell>
        </row>
        <row r="1443">
          <cell r="A1443" t="str">
            <v>2</v>
          </cell>
          <cell r="B1443" t="str">
            <v>80</v>
          </cell>
          <cell r="C1443" t="str">
            <v>1</v>
          </cell>
          <cell r="D1443" t="str">
            <v>B</v>
          </cell>
          <cell r="E1443">
            <v>1</v>
          </cell>
          <cell r="F1443" t="str">
            <v>Nem rendszeres személyi juttatás</v>
          </cell>
        </row>
        <row r="1444">
          <cell r="A1444" t="str">
            <v>3</v>
          </cell>
          <cell r="B1444" t="str">
            <v>80</v>
          </cell>
          <cell r="C1444" t="str">
            <v>1</v>
          </cell>
          <cell r="D1444" t="str">
            <v>B</v>
          </cell>
          <cell r="E1444">
            <v>1</v>
          </cell>
          <cell r="F1444" t="str">
            <v>Külsö személyi juttatások</v>
          </cell>
        </row>
        <row r="1445">
          <cell r="A1445" t="str">
            <v>4</v>
          </cell>
          <cell r="B1445" t="str">
            <v>80</v>
          </cell>
          <cell r="C1445" t="str">
            <v>1</v>
          </cell>
          <cell r="D1445" t="str">
            <v>B</v>
          </cell>
          <cell r="E1445">
            <v>1</v>
          </cell>
          <cell r="F1445" t="str">
            <v>Személyi juttatások  (01+02+03)</v>
          </cell>
        </row>
        <row r="1446">
          <cell r="A1446" t="str">
            <v>5</v>
          </cell>
          <cell r="B1446" t="str">
            <v>80</v>
          </cell>
          <cell r="C1446" t="str">
            <v>1</v>
          </cell>
          <cell r="D1446" t="str">
            <v>B</v>
          </cell>
          <cell r="E1446">
            <v>1</v>
          </cell>
          <cell r="F1446" t="str">
            <v>TB járulék,egészségbizt. és táppénz hozzájárulás</v>
          </cell>
        </row>
        <row r="1447">
          <cell r="A1447" t="str">
            <v>6</v>
          </cell>
          <cell r="B1447" t="str">
            <v>80</v>
          </cell>
          <cell r="C1447" t="str">
            <v>1</v>
          </cell>
          <cell r="D1447" t="str">
            <v>B</v>
          </cell>
          <cell r="E1447">
            <v>1</v>
          </cell>
          <cell r="F1447" t="str">
            <v>Munkaadoi járulék</v>
          </cell>
        </row>
        <row r="1448">
          <cell r="A1448" t="str">
            <v>7</v>
          </cell>
          <cell r="B1448" t="str">
            <v>80</v>
          </cell>
          <cell r="C1448" t="str">
            <v>1</v>
          </cell>
          <cell r="D1448" t="str">
            <v>B</v>
          </cell>
          <cell r="E1448">
            <v>1</v>
          </cell>
          <cell r="F1448" t="str">
            <v>Dologi kiadások</v>
          </cell>
        </row>
        <row r="1449">
          <cell r="A1449" t="str">
            <v>8</v>
          </cell>
          <cell r="B1449" t="str">
            <v>80</v>
          </cell>
          <cell r="C1449" t="str">
            <v>1</v>
          </cell>
          <cell r="D1449" t="str">
            <v>B</v>
          </cell>
          <cell r="E1449">
            <v>1</v>
          </cell>
          <cell r="F1449" t="str">
            <v>Egyéb folyo kiadások (kamatkiadások nélkül)</v>
          </cell>
        </row>
        <row r="1450">
          <cell r="A1450" t="str">
            <v>9</v>
          </cell>
          <cell r="B1450" t="str">
            <v>80</v>
          </cell>
          <cell r="C1450" t="str">
            <v>1</v>
          </cell>
          <cell r="D1450" t="str">
            <v>B</v>
          </cell>
          <cell r="E1450">
            <v>1</v>
          </cell>
          <cell r="F1450" t="str">
            <v>Ellátottak pénzbeli juttatásai</v>
          </cell>
        </row>
        <row r="1451">
          <cell r="A1451" t="str">
            <v>10</v>
          </cell>
          <cell r="B1451" t="str">
            <v>80</v>
          </cell>
          <cell r="C1451" t="str">
            <v>1</v>
          </cell>
          <cell r="D1451" t="str">
            <v>B</v>
          </cell>
          <cell r="E1451">
            <v>1</v>
          </cell>
          <cell r="F1451" t="str">
            <v>Mük.célu pe.átadás központi költségvetési szervnek</v>
          </cell>
        </row>
        <row r="1452">
          <cell r="A1452" t="str">
            <v>11</v>
          </cell>
          <cell r="B1452" t="str">
            <v>80</v>
          </cell>
          <cell r="C1452" t="str">
            <v>1</v>
          </cell>
          <cell r="D1452" t="str">
            <v>B</v>
          </cell>
          <cell r="E1452">
            <v>1</v>
          </cell>
          <cell r="F1452" t="str">
            <v>Mük.célu pe.átadás fejezeti kezelésü elöirányzatnak</v>
          </cell>
        </row>
        <row r="1453">
          <cell r="A1453" t="str">
            <v>12</v>
          </cell>
          <cell r="B1453" t="str">
            <v>80</v>
          </cell>
          <cell r="C1453" t="str">
            <v>1</v>
          </cell>
          <cell r="D1453" t="str">
            <v>B</v>
          </cell>
          <cell r="E1453">
            <v>1</v>
          </cell>
          <cell r="F1453" t="str">
            <v>Mük.célu pe.átadás elkülönitett állami pénzalapnak</v>
          </cell>
        </row>
        <row r="1454">
          <cell r="A1454" t="str">
            <v>13</v>
          </cell>
          <cell r="B1454" t="str">
            <v>80</v>
          </cell>
          <cell r="C1454" t="str">
            <v>1</v>
          </cell>
          <cell r="D1454" t="str">
            <v>B</v>
          </cell>
          <cell r="E1454">
            <v>1</v>
          </cell>
          <cell r="F1454" t="str">
            <v>Mük.célu pe.átadás társadalombiztositási alapnak</v>
          </cell>
        </row>
        <row r="1455">
          <cell r="A1455" t="str">
            <v>14</v>
          </cell>
          <cell r="B1455" t="str">
            <v>80</v>
          </cell>
          <cell r="C1455" t="str">
            <v>1</v>
          </cell>
          <cell r="D1455" t="str">
            <v>B</v>
          </cell>
          <cell r="E1455">
            <v>1</v>
          </cell>
          <cell r="F1455" t="str">
            <v>Mük.célu pe.átadás helyi önkormányzatoknak</v>
          </cell>
        </row>
        <row r="1456">
          <cell r="A1456" t="str">
            <v>15</v>
          </cell>
          <cell r="B1456" t="str">
            <v>80</v>
          </cell>
          <cell r="C1456" t="str">
            <v>1</v>
          </cell>
          <cell r="D1456" t="str">
            <v>B</v>
          </cell>
          <cell r="E1456">
            <v>1</v>
          </cell>
          <cell r="F1456" t="str">
            <v>Mük.célu pe.átadás EU Meg.62.c.önk.többs.tul.egyéb váll.</v>
          </cell>
        </row>
        <row r="1457">
          <cell r="A1457" t="str">
            <v>16</v>
          </cell>
          <cell r="B1457" t="str">
            <v>80</v>
          </cell>
          <cell r="C1457" t="str">
            <v>1</v>
          </cell>
          <cell r="D1457" t="str">
            <v>B</v>
          </cell>
          <cell r="E1457">
            <v>1</v>
          </cell>
          <cell r="F1457" t="str">
            <v>Mük.célu pe.átadás EU Meg.62.c.nem önk.többs.tul.e.váll.</v>
          </cell>
        </row>
        <row r="1458">
          <cell r="A1458" t="str">
            <v>17</v>
          </cell>
          <cell r="B1458" t="str">
            <v>80</v>
          </cell>
          <cell r="C1458" t="str">
            <v>1</v>
          </cell>
          <cell r="D1458" t="str">
            <v>B</v>
          </cell>
          <cell r="E1458">
            <v>1</v>
          </cell>
          <cell r="F1458" t="str">
            <v>Mük.célu pe.átadás EU Meg.62.c.egyéb váll. (15+16)</v>
          </cell>
        </row>
        <row r="1459">
          <cell r="A1459" t="str">
            <v>18</v>
          </cell>
          <cell r="B1459" t="str">
            <v>80</v>
          </cell>
          <cell r="C1459" t="str">
            <v>1</v>
          </cell>
          <cell r="D1459" t="str">
            <v>B</v>
          </cell>
          <cell r="E1459">
            <v>1</v>
          </cell>
          <cell r="F1459" t="str">
            <v>Mük.célu pe.átadás nem 15.sor önk.többs.tul.egyéb.váll.</v>
          </cell>
        </row>
        <row r="1460">
          <cell r="A1460" t="str">
            <v>19</v>
          </cell>
          <cell r="B1460" t="str">
            <v>80</v>
          </cell>
          <cell r="C1460" t="str">
            <v>1</v>
          </cell>
          <cell r="D1460" t="str">
            <v>B</v>
          </cell>
          <cell r="E1460">
            <v>1</v>
          </cell>
          <cell r="F1460" t="str">
            <v>Mük.célu pe.átadás nem 16.sor nem önk.többs.tul.e.váll.</v>
          </cell>
        </row>
        <row r="1461">
          <cell r="A1461" t="str">
            <v>20</v>
          </cell>
          <cell r="B1461" t="str">
            <v>80</v>
          </cell>
          <cell r="C1461" t="str">
            <v>1</v>
          </cell>
          <cell r="D1461" t="str">
            <v>B</v>
          </cell>
          <cell r="E1461">
            <v>1</v>
          </cell>
          <cell r="F1461" t="str">
            <v>Mük. célu pe.átadás egyéb vállalkozásnak (17+18+19)</v>
          </cell>
        </row>
        <row r="1462">
          <cell r="A1462" t="str">
            <v>21</v>
          </cell>
          <cell r="B1462" t="str">
            <v>80</v>
          </cell>
          <cell r="C1462" t="str">
            <v>1</v>
          </cell>
          <cell r="D1462" t="str">
            <v>B</v>
          </cell>
          <cell r="E1462">
            <v>1</v>
          </cell>
          <cell r="F1462" t="str">
            <v>Mük.célu pe.átadás pénzügyi vállalkozásoknak</v>
          </cell>
        </row>
        <row r="1463">
          <cell r="A1463" t="str">
            <v>22</v>
          </cell>
          <cell r="B1463" t="str">
            <v>80</v>
          </cell>
          <cell r="C1463" t="str">
            <v>1</v>
          </cell>
          <cell r="D1463" t="str">
            <v>B</v>
          </cell>
          <cell r="E1463">
            <v>1</v>
          </cell>
          <cell r="F1463" t="str">
            <v>Mük.célu pe.átadás háztartásoknak</v>
          </cell>
        </row>
        <row r="1464">
          <cell r="A1464" t="str">
            <v>23</v>
          </cell>
          <cell r="B1464" t="str">
            <v>80</v>
          </cell>
          <cell r="C1464" t="str">
            <v>1</v>
          </cell>
          <cell r="D1464" t="str">
            <v>B</v>
          </cell>
          <cell r="E1464">
            <v>1</v>
          </cell>
          <cell r="F1464" t="str">
            <v>Mük.célu pe.átadás non-profit szervezeteknek</v>
          </cell>
        </row>
        <row r="1465">
          <cell r="A1465" t="str">
            <v>24</v>
          </cell>
          <cell r="B1465" t="str">
            <v>80</v>
          </cell>
          <cell r="C1465" t="str">
            <v>1</v>
          </cell>
          <cell r="D1465" t="str">
            <v>B</v>
          </cell>
          <cell r="E1465">
            <v>1</v>
          </cell>
          <cell r="F1465" t="str">
            <v>Mük.célu pe.átadás külföldre</v>
          </cell>
        </row>
        <row r="1466">
          <cell r="A1466" t="str">
            <v>25</v>
          </cell>
          <cell r="B1466" t="str">
            <v>80</v>
          </cell>
          <cell r="C1466" t="str">
            <v>1</v>
          </cell>
          <cell r="D1466" t="str">
            <v>B</v>
          </cell>
          <cell r="E1466">
            <v>1</v>
          </cell>
          <cell r="F1466" t="str">
            <v>Társadalom- és szociálpolitikai juttatások</v>
          </cell>
        </row>
        <row r="1467">
          <cell r="A1467" t="str">
            <v>26</v>
          </cell>
          <cell r="B1467" t="str">
            <v>80</v>
          </cell>
          <cell r="C1467" t="str">
            <v>1</v>
          </cell>
          <cell r="D1467" t="str">
            <v>B</v>
          </cell>
          <cell r="E1467">
            <v>1</v>
          </cell>
          <cell r="F1467" t="str">
            <v>Tervezett maradvány,eredmény,tartalék</v>
          </cell>
        </row>
        <row r="1468">
          <cell r="A1468" t="str">
            <v>27</v>
          </cell>
          <cell r="B1468" t="str">
            <v>80</v>
          </cell>
          <cell r="C1468" t="str">
            <v>1</v>
          </cell>
          <cell r="D1468" t="str">
            <v>B</v>
          </cell>
          <cell r="E1468">
            <v>1</v>
          </cell>
          <cell r="F1468" t="str">
            <v>Egyéb mük.célu támog.,kiadások (10+...+14+20+...+26)</v>
          </cell>
        </row>
        <row r="1469">
          <cell r="A1469" t="str">
            <v>28</v>
          </cell>
          <cell r="B1469" t="str">
            <v>80</v>
          </cell>
          <cell r="C1469" t="str">
            <v>1</v>
          </cell>
          <cell r="D1469" t="str">
            <v>B</v>
          </cell>
          <cell r="E1469">
            <v>1</v>
          </cell>
          <cell r="F1469" t="str">
            <v>Kamatkiadások</v>
          </cell>
        </row>
        <row r="1470">
          <cell r="A1470" t="str">
            <v>29</v>
          </cell>
          <cell r="B1470" t="str">
            <v>80</v>
          </cell>
          <cell r="C1470" t="str">
            <v>1</v>
          </cell>
          <cell r="D1470" t="str">
            <v>B</v>
          </cell>
          <cell r="E1470">
            <v>1</v>
          </cell>
          <cell r="F1470" t="str">
            <v>Felujitás</v>
          </cell>
        </row>
        <row r="1471">
          <cell r="A1471" t="str">
            <v>30</v>
          </cell>
          <cell r="B1471" t="str">
            <v>80</v>
          </cell>
          <cell r="C1471" t="str">
            <v>1</v>
          </cell>
          <cell r="D1471" t="str">
            <v>B</v>
          </cell>
          <cell r="E1471">
            <v>1</v>
          </cell>
          <cell r="F1471" t="str">
            <v>Intézményi beruházási kiadások</v>
          </cell>
        </row>
        <row r="1472">
          <cell r="A1472" t="str">
            <v>31</v>
          </cell>
          <cell r="B1472" t="str">
            <v>80</v>
          </cell>
          <cell r="C1472" t="str">
            <v>1</v>
          </cell>
          <cell r="D1472" t="str">
            <v>B</v>
          </cell>
          <cell r="E1472">
            <v>1</v>
          </cell>
          <cell r="F1472" t="str">
            <v>Felh.célu pe.átadás központi költségvetési szervnek</v>
          </cell>
        </row>
        <row r="1473">
          <cell r="A1473" t="str">
            <v>32</v>
          </cell>
          <cell r="B1473" t="str">
            <v>80</v>
          </cell>
          <cell r="C1473" t="str">
            <v>1</v>
          </cell>
          <cell r="D1473" t="str">
            <v>B</v>
          </cell>
          <cell r="E1473">
            <v>1</v>
          </cell>
          <cell r="F1473" t="str">
            <v>Felh.célu pe.átadás fejezeti kezelésü elöirányzatnak</v>
          </cell>
        </row>
        <row r="1474">
          <cell r="A1474" t="str">
            <v>33</v>
          </cell>
          <cell r="B1474" t="str">
            <v>80</v>
          </cell>
          <cell r="C1474" t="str">
            <v>1</v>
          </cell>
          <cell r="D1474" t="str">
            <v>B</v>
          </cell>
          <cell r="E1474">
            <v>1</v>
          </cell>
          <cell r="F1474" t="str">
            <v>Felh.célu pe.átadás elkülönitett állami pénzalapnak</v>
          </cell>
        </row>
        <row r="1475">
          <cell r="A1475" t="str">
            <v>34</v>
          </cell>
          <cell r="B1475" t="str">
            <v>80</v>
          </cell>
          <cell r="C1475" t="str">
            <v>1</v>
          </cell>
          <cell r="D1475" t="str">
            <v>B</v>
          </cell>
          <cell r="E1475">
            <v>1</v>
          </cell>
          <cell r="F1475" t="str">
            <v>Felh.célu pe.átadás társadalombiztositási alapnak</v>
          </cell>
        </row>
        <row r="1476">
          <cell r="A1476" t="str">
            <v>35</v>
          </cell>
          <cell r="B1476" t="str">
            <v>80</v>
          </cell>
          <cell r="C1476" t="str">
            <v>1</v>
          </cell>
          <cell r="D1476" t="str">
            <v>B</v>
          </cell>
          <cell r="E1476">
            <v>1</v>
          </cell>
          <cell r="F1476" t="str">
            <v>Felh.célu pe.átadás helyi önkormányzatoknak</v>
          </cell>
        </row>
        <row r="1477">
          <cell r="A1477" t="str">
            <v>36</v>
          </cell>
          <cell r="B1477" t="str">
            <v>80</v>
          </cell>
          <cell r="C1477" t="str">
            <v>1</v>
          </cell>
          <cell r="D1477" t="str">
            <v>B</v>
          </cell>
          <cell r="E1477">
            <v>1</v>
          </cell>
          <cell r="F1477" t="str">
            <v>Felh.célu pe.átadás EU Meg.62.c.önk.többs.tul.egyéb váll.</v>
          </cell>
        </row>
        <row r="1478">
          <cell r="A1478" t="str">
            <v>37</v>
          </cell>
          <cell r="B1478" t="str">
            <v>80</v>
          </cell>
          <cell r="C1478" t="str">
            <v>1</v>
          </cell>
          <cell r="D1478" t="str">
            <v>B</v>
          </cell>
          <cell r="E1478">
            <v>1</v>
          </cell>
          <cell r="F1478" t="str">
            <v>Felh.célu pe.átadás EU Meg.62.c.nem önk.többs.tul.e.váll.</v>
          </cell>
        </row>
        <row r="1479">
          <cell r="A1479" t="str">
            <v>38</v>
          </cell>
          <cell r="B1479" t="str">
            <v>80</v>
          </cell>
          <cell r="C1479" t="str">
            <v>1</v>
          </cell>
          <cell r="D1479" t="str">
            <v>B</v>
          </cell>
          <cell r="E1479">
            <v>1</v>
          </cell>
          <cell r="F1479" t="str">
            <v>Felh.célu pe.átadás EU Meg.62.c.egyéb váll.(36+37)</v>
          </cell>
        </row>
        <row r="1480">
          <cell r="A1480" t="str">
            <v>39</v>
          </cell>
          <cell r="B1480" t="str">
            <v>80</v>
          </cell>
          <cell r="C1480" t="str">
            <v>1</v>
          </cell>
          <cell r="D1480" t="str">
            <v>B</v>
          </cell>
          <cell r="E1480">
            <v>1</v>
          </cell>
          <cell r="F1480" t="str">
            <v>Felh.célu pe.átadás nem 36.sor önk.többs.tul.egyéb.váll.</v>
          </cell>
        </row>
        <row r="1481">
          <cell r="A1481" t="str">
            <v>40</v>
          </cell>
          <cell r="B1481" t="str">
            <v>80</v>
          </cell>
          <cell r="C1481" t="str">
            <v>1</v>
          </cell>
          <cell r="D1481" t="str">
            <v>B</v>
          </cell>
          <cell r="E1481">
            <v>1</v>
          </cell>
          <cell r="F1481" t="str">
            <v>Felh.célu pe.átadás nem 37.sor nem önk.többs.tul.e.váll.</v>
          </cell>
        </row>
        <row r="1482">
          <cell r="A1482" t="str">
            <v>41</v>
          </cell>
          <cell r="B1482" t="str">
            <v>80</v>
          </cell>
          <cell r="C1482" t="str">
            <v>1</v>
          </cell>
          <cell r="D1482" t="str">
            <v>B</v>
          </cell>
          <cell r="E1482">
            <v>1</v>
          </cell>
          <cell r="F1482" t="str">
            <v>Felh.célu pe.átadás egyéb vállalkozásoknak (38+39+40)</v>
          </cell>
        </row>
        <row r="1483">
          <cell r="A1483" t="str">
            <v>42</v>
          </cell>
          <cell r="B1483" t="str">
            <v>80</v>
          </cell>
          <cell r="C1483" t="str">
            <v>1</v>
          </cell>
          <cell r="D1483" t="str">
            <v>B</v>
          </cell>
          <cell r="E1483">
            <v>1</v>
          </cell>
          <cell r="F1483" t="str">
            <v>Felh.célu pe.átadás pénzügyi vállalkozásoknak</v>
          </cell>
        </row>
        <row r="1484">
          <cell r="A1484" t="str">
            <v>43</v>
          </cell>
          <cell r="B1484" t="str">
            <v>80</v>
          </cell>
          <cell r="C1484" t="str">
            <v>1</v>
          </cell>
          <cell r="D1484" t="str">
            <v>B</v>
          </cell>
          <cell r="E1484">
            <v>1</v>
          </cell>
          <cell r="F1484" t="str">
            <v>Felh.célu pe.átadás háztartásoknak</v>
          </cell>
        </row>
        <row r="1485">
          <cell r="A1485" t="str">
            <v>44</v>
          </cell>
          <cell r="B1485" t="str">
            <v>80</v>
          </cell>
          <cell r="C1485" t="str">
            <v>1</v>
          </cell>
          <cell r="D1485" t="str">
            <v>B</v>
          </cell>
          <cell r="E1485">
            <v>1</v>
          </cell>
          <cell r="F1485" t="str">
            <v>Felh.célu pe.átadás non-profit szervezeteknek</v>
          </cell>
        </row>
        <row r="1486">
          <cell r="A1486" t="str">
            <v>45</v>
          </cell>
          <cell r="B1486" t="str">
            <v>80</v>
          </cell>
          <cell r="C1486" t="str">
            <v>1</v>
          </cell>
          <cell r="D1486" t="str">
            <v>B</v>
          </cell>
          <cell r="E1486">
            <v>1</v>
          </cell>
          <cell r="F1486" t="str">
            <v>Felh.célu pe.átadás külföldre</v>
          </cell>
        </row>
        <row r="1487">
          <cell r="A1487" t="str">
            <v>46</v>
          </cell>
          <cell r="B1487" t="str">
            <v>80</v>
          </cell>
          <cell r="C1487" t="str">
            <v>1</v>
          </cell>
          <cell r="D1487" t="str">
            <v>B</v>
          </cell>
          <cell r="E1487">
            <v>1</v>
          </cell>
          <cell r="F1487" t="str">
            <v>Egyéb felhalmozási kiadások</v>
          </cell>
        </row>
        <row r="1488">
          <cell r="A1488" t="str">
            <v>47</v>
          </cell>
          <cell r="B1488" t="str">
            <v>80</v>
          </cell>
          <cell r="C1488" t="str">
            <v>1</v>
          </cell>
          <cell r="D1488" t="str">
            <v>B</v>
          </cell>
          <cell r="E1488">
            <v>1</v>
          </cell>
          <cell r="F1488" t="str">
            <v>Felhalmozási kiadások         (29+...+35+41+...+46)</v>
          </cell>
        </row>
        <row r="1489">
          <cell r="A1489" t="str">
            <v>48</v>
          </cell>
          <cell r="B1489" t="str">
            <v>80</v>
          </cell>
          <cell r="C1489" t="str">
            <v>1</v>
          </cell>
          <cell r="D1489" t="str">
            <v>B</v>
          </cell>
          <cell r="E1489">
            <v>1</v>
          </cell>
          <cell r="F1489" t="str">
            <v>Kölcsönök nyujtása államháztartáson belülre</v>
          </cell>
        </row>
        <row r="1490">
          <cell r="A1490" t="str">
            <v>49</v>
          </cell>
          <cell r="B1490" t="str">
            <v>80</v>
          </cell>
          <cell r="C1490" t="str">
            <v>1</v>
          </cell>
          <cell r="D1490" t="str">
            <v>B</v>
          </cell>
          <cell r="E1490">
            <v>1</v>
          </cell>
          <cell r="F1490" t="str">
            <v>Kölcsönök nyujtása államháztartáson kivülre</v>
          </cell>
        </row>
        <row r="1491">
          <cell r="A1491" t="str">
            <v>50</v>
          </cell>
          <cell r="B1491" t="str">
            <v>80</v>
          </cell>
          <cell r="C1491" t="str">
            <v>1</v>
          </cell>
          <cell r="D1491" t="str">
            <v>B</v>
          </cell>
          <cell r="E1491">
            <v>1</v>
          </cell>
          <cell r="F1491" t="str">
            <v>Kölcsönök törlesztése államháztartáson belülre</v>
          </cell>
        </row>
        <row r="1492">
          <cell r="A1492" t="str">
            <v>51</v>
          </cell>
          <cell r="B1492" t="str">
            <v>80</v>
          </cell>
          <cell r="C1492" t="str">
            <v>1</v>
          </cell>
          <cell r="D1492" t="str">
            <v>B</v>
          </cell>
          <cell r="E1492">
            <v>1</v>
          </cell>
          <cell r="F1492" t="str">
            <v>Pénzügyi befektetések kiadásaibol részesedések vásárlása</v>
          </cell>
        </row>
        <row r="1493">
          <cell r="A1493" t="str">
            <v>52</v>
          </cell>
          <cell r="B1493" t="str">
            <v>80</v>
          </cell>
          <cell r="C1493" t="str">
            <v>1</v>
          </cell>
          <cell r="D1493" t="str">
            <v>B</v>
          </cell>
          <cell r="E1493">
            <v>1</v>
          </cell>
          <cell r="F1493" t="str">
            <v>Felügyelet alá tartozo költs.-i szervnek folyositott tám.</v>
          </cell>
        </row>
        <row r="1494">
          <cell r="A1494" t="str">
            <v>53</v>
          </cell>
          <cell r="B1494" t="str">
            <v>80</v>
          </cell>
          <cell r="C1494" t="str">
            <v>1</v>
          </cell>
          <cell r="D1494" t="str">
            <v>B</v>
          </cell>
          <cell r="E1494">
            <v>1</v>
          </cell>
          <cell r="F1494" t="str">
            <v>Kiadások                (04+...+09+27+28+47+...+52)</v>
          </cell>
        </row>
        <row r="1495">
          <cell r="A1495" t="str">
            <v>54</v>
          </cell>
          <cell r="B1495" t="str">
            <v>80</v>
          </cell>
          <cell r="C1495" t="str">
            <v>1</v>
          </cell>
          <cell r="D1495" t="str">
            <v>B</v>
          </cell>
          <cell r="E1495">
            <v>1</v>
          </cell>
          <cell r="F1495" t="str">
            <v>Intézményi müködési bevételek</v>
          </cell>
        </row>
        <row r="1496">
          <cell r="A1496" t="str">
            <v>55</v>
          </cell>
          <cell r="B1496" t="str">
            <v>80</v>
          </cell>
          <cell r="C1496" t="str">
            <v>1</v>
          </cell>
          <cell r="D1496" t="str">
            <v>B</v>
          </cell>
          <cell r="E1496">
            <v>1</v>
          </cell>
          <cell r="F1496" t="str">
            <v>Kamatbevételek</v>
          </cell>
        </row>
        <row r="1497">
          <cell r="A1497" t="str">
            <v>56</v>
          </cell>
          <cell r="B1497" t="str">
            <v>80</v>
          </cell>
          <cell r="C1497" t="str">
            <v>1</v>
          </cell>
          <cell r="D1497" t="str">
            <v>B</v>
          </cell>
          <cell r="E1497">
            <v>1</v>
          </cell>
          <cell r="F1497" t="str">
            <v>Gépjármüado</v>
          </cell>
        </row>
        <row r="1498">
          <cell r="A1498" t="str">
            <v>57</v>
          </cell>
          <cell r="B1498" t="str">
            <v>80</v>
          </cell>
          <cell r="C1498" t="str">
            <v>1</v>
          </cell>
          <cell r="D1498" t="str">
            <v>B</v>
          </cell>
          <cell r="E1498">
            <v>1</v>
          </cell>
          <cell r="F1498" t="str">
            <v>Helyi adok és kapcsolodo potlékok,birságok</v>
          </cell>
        </row>
        <row r="1499">
          <cell r="A1499" t="str">
            <v>58</v>
          </cell>
          <cell r="B1499" t="str">
            <v>80</v>
          </cell>
          <cell r="C1499" t="str">
            <v>1</v>
          </cell>
          <cell r="D1499" t="str">
            <v>B</v>
          </cell>
          <cell r="E1499">
            <v>1</v>
          </cell>
          <cell r="F1499" t="str">
            <v>Illetékek</v>
          </cell>
        </row>
        <row r="1500">
          <cell r="A1500" t="str">
            <v>59</v>
          </cell>
          <cell r="B1500" t="str">
            <v>80</v>
          </cell>
          <cell r="C1500" t="str">
            <v>1</v>
          </cell>
          <cell r="D1500" t="str">
            <v>B</v>
          </cell>
          <cell r="E1500">
            <v>1</v>
          </cell>
          <cell r="F1500" t="str">
            <v>Személyi jövedelemado</v>
          </cell>
        </row>
        <row r="1501">
          <cell r="A1501" t="str">
            <v>60</v>
          </cell>
          <cell r="B1501" t="str">
            <v>80</v>
          </cell>
          <cell r="C1501" t="str">
            <v>1</v>
          </cell>
          <cell r="D1501" t="str">
            <v>B</v>
          </cell>
          <cell r="E1501">
            <v>1</v>
          </cell>
          <cell r="F1501" t="str">
            <v>Egyéb átengedett adok,adojellegü bevételek</v>
          </cell>
        </row>
        <row r="1502">
          <cell r="A1502" t="str">
            <v>61</v>
          </cell>
          <cell r="B1502" t="str">
            <v>80</v>
          </cell>
          <cell r="C1502" t="str">
            <v>1</v>
          </cell>
          <cell r="D1502" t="str">
            <v>B</v>
          </cell>
          <cell r="E1502">
            <v>1</v>
          </cell>
          <cell r="F1502" t="str">
            <v>Önkormányzatokat megilletö birságok és egyéb sajátos bev.</v>
          </cell>
        </row>
        <row r="1503">
          <cell r="A1503" t="str">
            <v>62</v>
          </cell>
          <cell r="B1503" t="str">
            <v>80</v>
          </cell>
          <cell r="C1503" t="str">
            <v>1</v>
          </cell>
          <cell r="D1503" t="str">
            <v>B</v>
          </cell>
          <cell r="E1503">
            <v>1</v>
          </cell>
          <cell r="F1503" t="str">
            <v>Müködési célu pénzeszközátvétel a TB alapoktol</v>
          </cell>
        </row>
        <row r="1504">
          <cell r="A1504" t="str">
            <v>63</v>
          </cell>
          <cell r="B1504" t="str">
            <v>80</v>
          </cell>
          <cell r="C1504" t="str">
            <v>1</v>
          </cell>
          <cell r="D1504" t="str">
            <v>B</v>
          </cell>
          <cell r="E1504">
            <v>1</v>
          </cell>
          <cell r="F1504" t="str">
            <v>Müködési célu pénzeszközátvétel az elkül.állami alapoktol</v>
          </cell>
        </row>
        <row r="1505">
          <cell r="A1505" t="str">
            <v>64</v>
          </cell>
          <cell r="B1505" t="str">
            <v>80</v>
          </cell>
          <cell r="C1505" t="str">
            <v>1</v>
          </cell>
          <cell r="D1505" t="str">
            <v>B</v>
          </cell>
          <cell r="E1505">
            <v>1</v>
          </cell>
          <cell r="F1505" t="str">
            <v>Költségvetési kiegészitések,visszatérülések</v>
          </cell>
        </row>
        <row r="1506">
          <cell r="A1506" t="str">
            <v>65</v>
          </cell>
          <cell r="B1506" t="str">
            <v>80</v>
          </cell>
          <cell r="C1506" t="str">
            <v>1</v>
          </cell>
          <cell r="D1506" t="str">
            <v>B</v>
          </cell>
          <cell r="E1506">
            <v>1</v>
          </cell>
          <cell r="F1506" t="str">
            <v>Mük. célu pe.átvétel központi költségvetési szervtöl</v>
          </cell>
        </row>
        <row r="1507">
          <cell r="A1507" t="str">
            <v>66</v>
          </cell>
          <cell r="B1507" t="str">
            <v>80</v>
          </cell>
          <cell r="C1507" t="str">
            <v>1</v>
          </cell>
          <cell r="D1507" t="str">
            <v>B</v>
          </cell>
          <cell r="E1507">
            <v>1</v>
          </cell>
          <cell r="F1507" t="str">
            <v>Mük. célu pe.átvétel fejezeti kezelésü elöirányzattol</v>
          </cell>
        </row>
        <row r="1508">
          <cell r="A1508" t="str">
            <v>67</v>
          </cell>
          <cell r="B1508" t="str">
            <v>80</v>
          </cell>
          <cell r="C1508" t="str">
            <v>1</v>
          </cell>
          <cell r="D1508" t="str">
            <v>B</v>
          </cell>
          <cell r="E1508">
            <v>1</v>
          </cell>
          <cell r="F1508" t="str">
            <v>Mük. célra átvétt pénzeszközök helyi önkormányzatoktol</v>
          </cell>
        </row>
        <row r="1509">
          <cell r="A1509" t="str">
            <v>68</v>
          </cell>
          <cell r="B1509" t="str">
            <v>80</v>
          </cell>
          <cell r="C1509" t="str">
            <v>1</v>
          </cell>
          <cell r="D1509" t="str">
            <v>B</v>
          </cell>
          <cell r="E1509">
            <v>1</v>
          </cell>
          <cell r="F1509" t="str">
            <v>Mük. célra átvétt pénzeszközök vállalkozásoktol</v>
          </cell>
        </row>
        <row r="1510">
          <cell r="A1510" t="str">
            <v>69</v>
          </cell>
          <cell r="B1510" t="str">
            <v>80</v>
          </cell>
          <cell r="C1510" t="str">
            <v>1</v>
          </cell>
          <cell r="D1510" t="str">
            <v>B</v>
          </cell>
          <cell r="E1510">
            <v>1</v>
          </cell>
          <cell r="F1510" t="str">
            <v>Mük. célra átvett pénzeszközök pénzügyi vállalkozásoktol</v>
          </cell>
        </row>
        <row r="1511">
          <cell r="A1511" t="str">
            <v>70</v>
          </cell>
          <cell r="B1511" t="str">
            <v>80</v>
          </cell>
          <cell r="C1511" t="str">
            <v>1</v>
          </cell>
          <cell r="D1511" t="str">
            <v>B</v>
          </cell>
          <cell r="E1511">
            <v>1</v>
          </cell>
          <cell r="F1511" t="str">
            <v>Mük. célra átvett pénzeszközök háztartásoktol</v>
          </cell>
        </row>
        <row r="1512">
          <cell r="A1512" t="str">
            <v>71</v>
          </cell>
          <cell r="B1512" t="str">
            <v>80</v>
          </cell>
          <cell r="C1512" t="str">
            <v>1</v>
          </cell>
          <cell r="D1512" t="str">
            <v>B</v>
          </cell>
          <cell r="E1512">
            <v>1</v>
          </cell>
          <cell r="F1512" t="str">
            <v>Mük. célra átvett pénzeszközök non-profit szervezetektöl</v>
          </cell>
        </row>
        <row r="1513">
          <cell r="A1513" t="str">
            <v>72</v>
          </cell>
          <cell r="B1513" t="str">
            <v>80</v>
          </cell>
          <cell r="C1513" t="str">
            <v>1</v>
          </cell>
          <cell r="D1513" t="str">
            <v>B</v>
          </cell>
          <cell r="E1513">
            <v>1</v>
          </cell>
          <cell r="F1513" t="str">
            <v>Mük. célra átvett pénzeszközök nemzetközi szervezetektöl</v>
          </cell>
        </row>
        <row r="1514">
          <cell r="A1514" t="str">
            <v>73</v>
          </cell>
          <cell r="B1514" t="str">
            <v>80</v>
          </cell>
          <cell r="C1514" t="str">
            <v>1</v>
          </cell>
          <cell r="D1514" t="str">
            <v>B</v>
          </cell>
          <cell r="E1514">
            <v>1</v>
          </cell>
          <cell r="F1514" t="str">
            <v>Mük. célra átvett pénzeszközök egyéb külföldi forrásbol</v>
          </cell>
        </row>
        <row r="1515">
          <cell r="A1515" t="str">
            <v>74</v>
          </cell>
          <cell r="B1515" t="str">
            <v>80</v>
          </cell>
          <cell r="C1515" t="str">
            <v>1</v>
          </cell>
          <cell r="D1515" t="str">
            <v>B</v>
          </cell>
          <cell r="E1515">
            <v>1</v>
          </cell>
          <cell r="F1515" t="str">
            <v>Egyéb müködési célu pénzeszköz-átvétel,bevétel(64+..+73)</v>
          </cell>
        </row>
        <row r="1516">
          <cell r="A1516" t="str">
            <v>75</v>
          </cell>
          <cell r="B1516" t="str">
            <v>80</v>
          </cell>
          <cell r="C1516" t="str">
            <v>1</v>
          </cell>
          <cell r="D1516" t="str">
            <v>B</v>
          </cell>
          <cell r="E1516">
            <v>1</v>
          </cell>
          <cell r="F1516" t="str">
            <v>Felhalmozási célu pénzeszközátv. a TB alap. és kezelöitöl</v>
          </cell>
        </row>
        <row r="1517">
          <cell r="A1517" t="str">
            <v>76</v>
          </cell>
          <cell r="B1517" t="str">
            <v>80</v>
          </cell>
          <cell r="C1517" t="str">
            <v>1</v>
          </cell>
          <cell r="D1517" t="str">
            <v>B</v>
          </cell>
          <cell r="E1517">
            <v>1</v>
          </cell>
          <cell r="F1517" t="str">
            <v>Felhalmozási célu pénzeszközátv. az elkülön. állami alap.</v>
          </cell>
        </row>
        <row r="1518">
          <cell r="A1518" t="str">
            <v>77</v>
          </cell>
          <cell r="B1518" t="str">
            <v>80</v>
          </cell>
          <cell r="C1518" t="str">
            <v>1</v>
          </cell>
          <cell r="D1518" t="str">
            <v>B</v>
          </cell>
          <cell r="E1518">
            <v>1</v>
          </cell>
          <cell r="F1518" t="str">
            <v>Tárgyi eszközök,immateriális javak értékesitése</v>
          </cell>
        </row>
        <row r="1519">
          <cell r="A1519" t="str">
            <v>78</v>
          </cell>
          <cell r="B1519" t="str">
            <v>80</v>
          </cell>
          <cell r="C1519" t="str">
            <v>1</v>
          </cell>
          <cell r="D1519" t="str">
            <v>B</v>
          </cell>
          <cell r="E1519">
            <v>1</v>
          </cell>
          <cell r="F1519" t="str">
            <v>Felh.célu pénzeszközátvétel központi költségv. szervtöl</v>
          </cell>
        </row>
        <row r="1520">
          <cell r="A1520" t="str">
            <v>79</v>
          </cell>
          <cell r="B1520" t="str">
            <v>80</v>
          </cell>
          <cell r="C1520" t="str">
            <v>1</v>
          </cell>
          <cell r="D1520" t="str">
            <v>B</v>
          </cell>
          <cell r="E1520">
            <v>1</v>
          </cell>
          <cell r="F1520" t="str">
            <v>Felh.célu pénzeszközátvétel fejezeti kezelésü elöir.-tol</v>
          </cell>
        </row>
        <row r="1521">
          <cell r="A1521" t="str">
            <v>80</v>
          </cell>
          <cell r="B1521" t="str">
            <v>80</v>
          </cell>
          <cell r="C1521" t="str">
            <v>1</v>
          </cell>
          <cell r="D1521" t="str">
            <v>B</v>
          </cell>
          <cell r="E1521">
            <v>1</v>
          </cell>
          <cell r="F1521" t="str">
            <v>Felh.célu pénzeszközátvétel helyi önkormányzatoktol</v>
          </cell>
        </row>
        <row r="1522">
          <cell r="A1522" t="str">
            <v>81</v>
          </cell>
          <cell r="B1522" t="str">
            <v>80</v>
          </cell>
          <cell r="C1522" t="str">
            <v>1</v>
          </cell>
          <cell r="D1522" t="str">
            <v>B</v>
          </cell>
          <cell r="E1522">
            <v>1</v>
          </cell>
          <cell r="F1522" t="str">
            <v>Felh.célra átvétt pénzeszközök vállalkozásoktol</v>
          </cell>
        </row>
        <row r="1523">
          <cell r="A1523" t="str">
            <v>82</v>
          </cell>
          <cell r="B1523" t="str">
            <v>80</v>
          </cell>
          <cell r="C1523" t="str">
            <v>1</v>
          </cell>
          <cell r="D1523" t="str">
            <v>B</v>
          </cell>
          <cell r="E1523">
            <v>1</v>
          </cell>
          <cell r="F1523" t="str">
            <v>Felh.célra átvétt pénzeszközök pénzügyi vállalkozásoktol</v>
          </cell>
        </row>
        <row r="1524">
          <cell r="A1524" t="str">
            <v>83</v>
          </cell>
          <cell r="B1524" t="str">
            <v>80</v>
          </cell>
          <cell r="C1524" t="str">
            <v>1</v>
          </cell>
          <cell r="D1524" t="str">
            <v>B</v>
          </cell>
          <cell r="E1524">
            <v>1</v>
          </cell>
          <cell r="F1524" t="str">
            <v>Felh.célra átvett pénzeszközök háztartásoktol</v>
          </cell>
        </row>
        <row r="1525">
          <cell r="A1525" t="str">
            <v>84</v>
          </cell>
          <cell r="B1525" t="str">
            <v>80</v>
          </cell>
          <cell r="C1525" t="str">
            <v>1</v>
          </cell>
          <cell r="D1525" t="str">
            <v>B</v>
          </cell>
          <cell r="E1525">
            <v>1</v>
          </cell>
          <cell r="F1525" t="str">
            <v>Felh.célra átvett pénzeszközök non-profit szervezetektöl</v>
          </cell>
        </row>
        <row r="1526">
          <cell r="A1526" t="str">
            <v>85</v>
          </cell>
          <cell r="B1526" t="str">
            <v>80</v>
          </cell>
          <cell r="C1526" t="str">
            <v>1</v>
          </cell>
          <cell r="D1526" t="str">
            <v>B</v>
          </cell>
          <cell r="E1526">
            <v>1</v>
          </cell>
          <cell r="F1526" t="str">
            <v>Felh.célra átvett pénzeszközök nemzetközi szervezetektöl</v>
          </cell>
        </row>
        <row r="1527">
          <cell r="A1527" t="str">
            <v>86</v>
          </cell>
          <cell r="B1527" t="str">
            <v>80</v>
          </cell>
          <cell r="C1527" t="str">
            <v>1</v>
          </cell>
          <cell r="D1527" t="str">
            <v>B</v>
          </cell>
          <cell r="E1527">
            <v>1</v>
          </cell>
          <cell r="F1527" t="str">
            <v>Felh.célra átvett pénzeszközök egyéb külföldi forrásbol</v>
          </cell>
        </row>
        <row r="1528">
          <cell r="A1528" t="str">
            <v>87</v>
          </cell>
          <cell r="B1528" t="str">
            <v>80</v>
          </cell>
          <cell r="C1528" t="str">
            <v>1</v>
          </cell>
          <cell r="D1528" t="str">
            <v>B</v>
          </cell>
          <cell r="E1528">
            <v>1</v>
          </cell>
          <cell r="F1528" t="str">
            <v>Önkormányzati lakások,egyéb helyiségek ért.,cseréje</v>
          </cell>
        </row>
        <row r="1529">
          <cell r="A1529" t="str">
            <v>88</v>
          </cell>
          <cell r="B1529" t="str">
            <v>80</v>
          </cell>
          <cell r="C1529" t="str">
            <v>1</v>
          </cell>
          <cell r="D1529" t="str">
            <v>B</v>
          </cell>
          <cell r="E1529">
            <v>1</v>
          </cell>
          <cell r="F1529" t="str">
            <v>Privatizáciobol származo bevételek</v>
          </cell>
        </row>
        <row r="1530">
          <cell r="A1530" t="str">
            <v>89</v>
          </cell>
          <cell r="B1530" t="str">
            <v>80</v>
          </cell>
          <cell r="C1530" t="str">
            <v>1</v>
          </cell>
          <cell r="D1530" t="str">
            <v>B</v>
          </cell>
          <cell r="E1530">
            <v>1</v>
          </cell>
          <cell r="F1530" t="str">
            <v>Vállalatértékesitésböl származo bevételek</v>
          </cell>
        </row>
        <row r="1531">
          <cell r="A1531" t="str">
            <v>90</v>
          </cell>
          <cell r="B1531" t="str">
            <v>80</v>
          </cell>
          <cell r="C1531" t="str">
            <v>1</v>
          </cell>
          <cell r="D1531" t="str">
            <v>B</v>
          </cell>
          <cell r="E1531">
            <v>1</v>
          </cell>
          <cell r="F1531" t="str">
            <v>Vagyoni értékü jog ért.,egyéb vagyonhasz.származo bevétel</v>
          </cell>
        </row>
        <row r="1532">
          <cell r="A1532" t="str">
            <v>91</v>
          </cell>
          <cell r="B1532" t="str">
            <v>80</v>
          </cell>
          <cell r="C1532" t="str">
            <v>1</v>
          </cell>
          <cell r="D1532" t="str">
            <v>B</v>
          </cell>
          <cell r="E1532">
            <v>1</v>
          </cell>
          <cell r="F1532" t="str">
            <v>Felhalmozási bevételek      (77+...+90)</v>
          </cell>
        </row>
        <row r="1533">
          <cell r="A1533" t="str">
            <v>92</v>
          </cell>
          <cell r="B1533" t="str">
            <v>80</v>
          </cell>
          <cell r="C1533" t="str">
            <v>1</v>
          </cell>
          <cell r="D1533" t="str">
            <v>B</v>
          </cell>
          <cell r="E1533">
            <v>1</v>
          </cell>
          <cell r="F1533" t="str">
            <v>Kölcsönök visszatérülése államháztartáson belülröl</v>
          </cell>
        </row>
        <row r="1534">
          <cell r="A1534" t="str">
            <v>93</v>
          </cell>
          <cell r="B1534" t="str">
            <v>80</v>
          </cell>
          <cell r="C1534" t="str">
            <v>1</v>
          </cell>
          <cell r="D1534" t="str">
            <v>B</v>
          </cell>
          <cell r="E1534">
            <v>1</v>
          </cell>
          <cell r="F1534" t="str">
            <v>Kölcsönök visszatérülése államháztartáson kivülröl</v>
          </cell>
        </row>
        <row r="1535">
          <cell r="A1535" t="str">
            <v>94</v>
          </cell>
          <cell r="B1535" t="str">
            <v>80</v>
          </cell>
          <cell r="C1535" t="str">
            <v>1</v>
          </cell>
          <cell r="D1535" t="str">
            <v>B</v>
          </cell>
          <cell r="E1535">
            <v>1</v>
          </cell>
          <cell r="F1535" t="str">
            <v>Kölcsönök igénybevétele államháztartáson belülröl</v>
          </cell>
        </row>
        <row r="1536">
          <cell r="A1536" t="str">
            <v>95</v>
          </cell>
          <cell r="B1536" t="str">
            <v>80</v>
          </cell>
          <cell r="C1536" t="str">
            <v>1</v>
          </cell>
          <cell r="D1536" t="str">
            <v>B</v>
          </cell>
          <cell r="E1536">
            <v>1</v>
          </cell>
          <cell r="F1536" t="str">
            <v>Osztalékok, koncesszios dijak</v>
          </cell>
        </row>
        <row r="1537">
          <cell r="A1537" t="str">
            <v>96</v>
          </cell>
          <cell r="B1537" t="str">
            <v>80</v>
          </cell>
          <cell r="C1537" t="str">
            <v>1</v>
          </cell>
          <cell r="D1537" t="str">
            <v>B</v>
          </cell>
          <cell r="E1537">
            <v>1</v>
          </cell>
          <cell r="F1537" t="str">
            <v>Pénzügyi befektetések bevételeiböl részedesések</v>
          </cell>
        </row>
        <row r="1538">
          <cell r="A1538" t="str">
            <v>97</v>
          </cell>
          <cell r="B1538" t="str">
            <v>80</v>
          </cell>
          <cell r="C1538" t="str">
            <v>1</v>
          </cell>
          <cell r="D1538" t="str">
            <v>B</v>
          </cell>
          <cell r="E1538">
            <v>1</v>
          </cell>
          <cell r="F1538" t="str">
            <v>Saját bevételek  (54+...+63+74+75+76+91+...+96)</v>
          </cell>
        </row>
        <row r="1539">
          <cell r="A1539" t="str">
            <v>98</v>
          </cell>
          <cell r="B1539" t="str">
            <v>80</v>
          </cell>
          <cell r="C1539" t="str">
            <v>1</v>
          </cell>
          <cell r="D1539" t="str">
            <v>B</v>
          </cell>
          <cell r="E1539">
            <v>1</v>
          </cell>
          <cell r="F1539" t="str">
            <v>Önkormányzat költségvetési támogatása</v>
          </cell>
        </row>
        <row r="1540">
          <cell r="A1540" t="str">
            <v>99</v>
          </cell>
          <cell r="B1540" t="str">
            <v>80</v>
          </cell>
          <cell r="C1540" t="str">
            <v>1</v>
          </cell>
          <cell r="D1540" t="str">
            <v>B</v>
          </cell>
          <cell r="E1540">
            <v>1</v>
          </cell>
          <cell r="F1540" t="str">
            <v>Felügyeleti szervtöl kapott támogatás</v>
          </cell>
        </row>
        <row r="1541">
          <cell r="A1541" t="str">
            <v>100</v>
          </cell>
          <cell r="B1541" t="str">
            <v>80</v>
          </cell>
          <cell r="C1541" t="str">
            <v>1</v>
          </cell>
          <cell r="D1541" t="str">
            <v>B</v>
          </cell>
          <cell r="E1541">
            <v>1</v>
          </cell>
          <cell r="F1541" t="str">
            <v>Tárgyévi kiadások és bevételek egyenlege  (53-97-98-99)</v>
          </cell>
        </row>
        <row r="1542">
          <cell r="A1542" t="str">
            <v>101</v>
          </cell>
          <cell r="B1542" t="str">
            <v>80</v>
          </cell>
          <cell r="C1542" t="str">
            <v>1</v>
          </cell>
          <cell r="D1542" t="str">
            <v>B</v>
          </cell>
          <cell r="E1542">
            <v>1</v>
          </cell>
          <cell r="F1542" t="str">
            <v>Elözö évi elöirányzat-maradvány,pénzmaradv.igénybevétele</v>
          </cell>
        </row>
        <row r="1543">
          <cell r="A1543" t="str">
            <v>102</v>
          </cell>
          <cell r="B1543" t="str">
            <v>80</v>
          </cell>
          <cell r="C1543" t="str">
            <v>1</v>
          </cell>
          <cell r="D1543" t="str">
            <v>B</v>
          </cell>
          <cell r="E1543">
            <v>1</v>
          </cell>
          <cell r="F1543" t="str">
            <v>Rövid lejáratu hitelek törlesztése</v>
          </cell>
        </row>
        <row r="1544">
          <cell r="A1544" t="str">
            <v>103</v>
          </cell>
          <cell r="B1544" t="str">
            <v>80</v>
          </cell>
          <cell r="C1544" t="str">
            <v>1</v>
          </cell>
          <cell r="D1544" t="str">
            <v>B</v>
          </cell>
          <cell r="E1544">
            <v>1</v>
          </cell>
          <cell r="F1544" t="str">
            <v>Hosszu lejáratu hitelek törlesztése</v>
          </cell>
        </row>
        <row r="1545">
          <cell r="A1545" t="str">
            <v>104</v>
          </cell>
          <cell r="B1545" t="str">
            <v>80</v>
          </cell>
          <cell r="C1545" t="str">
            <v>1</v>
          </cell>
          <cell r="D1545" t="str">
            <v>B</v>
          </cell>
          <cell r="E1545">
            <v>1</v>
          </cell>
          <cell r="F1545" t="str">
            <v>Rövid lejáratu értékpapirok kiadásai</v>
          </cell>
        </row>
        <row r="1546">
          <cell r="A1546" t="str">
            <v>105</v>
          </cell>
          <cell r="B1546" t="str">
            <v>80</v>
          </cell>
          <cell r="C1546" t="str">
            <v>1</v>
          </cell>
          <cell r="D1546" t="str">
            <v>B</v>
          </cell>
          <cell r="E1546">
            <v>1</v>
          </cell>
          <cell r="F1546" t="str">
            <v>Hosszu lejáratu értékpapirok kiadásai</v>
          </cell>
        </row>
        <row r="1547">
          <cell r="A1547" t="str">
            <v>106</v>
          </cell>
          <cell r="B1547" t="str">
            <v>80</v>
          </cell>
          <cell r="C1547" t="str">
            <v>1</v>
          </cell>
          <cell r="D1547" t="str">
            <v>B</v>
          </cell>
          <cell r="E1547">
            <v>1</v>
          </cell>
          <cell r="F1547" t="str">
            <v>Hiteltörlesztés külföldre</v>
          </cell>
        </row>
        <row r="1548">
          <cell r="A1548" t="str">
            <v>107</v>
          </cell>
          <cell r="B1548" t="str">
            <v>80</v>
          </cell>
          <cell r="C1548" t="str">
            <v>1</v>
          </cell>
          <cell r="D1548" t="str">
            <v>B</v>
          </cell>
          <cell r="E1548">
            <v>1</v>
          </cell>
          <cell r="F1548" t="str">
            <v>Egyéb finanszirozás kiadásai</v>
          </cell>
        </row>
        <row r="1549">
          <cell r="A1549" t="str">
            <v>108</v>
          </cell>
          <cell r="B1549" t="str">
            <v>80</v>
          </cell>
          <cell r="C1549" t="str">
            <v>1</v>
          </cell>
          <cell r="D1549" t="str">
            <v>B</v>
          </cell>
          <cell r="E1549">
            <v>1</v>
          </cell>
          <cell r="F1549" t="str">
            <v>Finanszirozási kiadások                (102+...+107)</v>
          </cell>
        </row>
        <row r="1550">
          <cell r="A1550" t="str">
            <v>109</v>
          </cell>
          <cell r="B1550" t="str">
            <v>80</v>
          </cell>
          <cell r="C1550" t="str">
            <v>1</v>
          </cell>
          <cell r="D1550" t="str">
            <v>B</v>
          </cell>
          <cell r="E1550">
            <v>1</v>
          </cell>
          <cell r="F1550" t="str">
            <v>Rövid lejáratu hitelek bevételei</v>
          </cell>
        </row>
        <row r="1551">
          <cell r="A1551" t="str">
            <v>110</v>
          </cell>
          <cell r="B1551" t="str">
            <v>80</v>
          </cell>
          <cell r="C1551" t="str">
            <v>1</v>
          </cell>
          <cell r="D1551" t="str">
            <v>B</v>
          </cell>
          <cell r="E1551">
            <v>1</v>
          </cell>
          <cell r="F1551" t="str">
            <v>Hosszu lejáratu hitelek bevételei</v>
          </cell>
        </row>
        <row r="1552">
          <cell r="A1552" t="str">
            <v>111</v>
          </cell>
          <cell r="B1552" t="str">
            <v>80</v>
          </cell>
          <cell r="C1552" t="str">
            <v>1</v>
          </cell>
          <cell r="D1552" t="str">
            <v>B</v>
          </cell>
          <cell r="E1552">
            <v>1</v>
          </cell>
          <cell r="F1552" t="str">
            <v>Rövid lejáratu értékpapirok bevételei</v>
          </cell>
        </row>
        <row r="1553">
          <cell r="A1553" t="str">
            <v>112</v>
          </cell>
          <cell r="B1553" t="str">
            <v>80</v>
          </cell>
          <cell r="C1553" t="str">
            <v>1</v>
          </cell>
          <cell r="D1553" t="str">
            <v>B</v>
          </cell>
          <cell r="E1553">
            <v>1</v>
          </cell>
          <cell r="F1553" t="str">
            <v>Hosszu lejáratu értékpapirok bevételei</v>
          </cell>
        </row>
        <row r="1554">
          <cell r="A1554" t="str">
            <v>113</v>
          </cell>
          <cell r="B1554" t="str">
            <v>80</v>
          </cell>
          <cell r="C1554" t="str">
            <v>1</v>
          </cell>
          <cell r="D1554" t="str">
            <v>B</v>
          </cell>
          <cell r="E1554">
            <v>1</v>
          </cell>
          <cell r="F1554" t="str">
            <v>Hitelfelvétel külföldröl</v>
          </cell>
        </row>
        <row r="1555">
          <cell r="A1555" t="str">
            <v>114</v>
          </cell>
          <cell r="B1555" t="str">
            <v>80</v>
          </cell>
          <cell r="C1555" t="str">
            <v>1</v>
          </cell>
          <cell r="D1555" t="str">
            <v>B</v>
          </cell>
          <cell r="E1555">
            <v>1</v>
          </cell>
          <cell r="F1555" t="str">
            <v>Egyéb finanszirozás bevételei</v>
          </cell>
        </row>
        <row r="1556">
          <cell r="A1556" t="str">
            <v>115</v>
          </cell>
          <cell r="B1556" t="str">
            <v>80</v>
          </cell>
          <cell r="C1556" t="str">
            <v>1</v>
          </cell>
          <cell r="D1556" t="str">
            <v>B</v>
          </cell>
          <cell r="E1556">
            <v>1</v>
          </cell>
          <cell r="F1556" t="str">
            <v>Finanszirozási bevételek               (109+...+114)</v>
          </cell>
        </row>
        <row r="1557">
          <cell r="A1557" t="str">
            <v>116</v>
          </cell>
          <cell r="B1557" t="str">
            <v>80</v>
          </cell>
          <cell r="C1557" t="str">
            <v>1</v>
          </cell>
          <cell r="D1557" t="str">
            <v>B</v>
          </cell>
          <cell r="E1557">
            <v>1</v>
          </cell>
          <cell r="F1557" t="str">
            <v>Finanszirozás  összesen          (101-108+115) (100)</v>
          </cell>
        </row>
        <row r="1558">
          <cell r="A1558" t="str">
            <v>117</v>
          </cell>
          <cell r="B1558" t="str">
            <v>80</v>
          </cell>
          <cell r="C1558" t="str">
            <v>1</v>
          </cell>
          <cell r="D1558" t="str">
            <v>B</v>
          </cell>
          <cell r="E1558">
            <v>1</v>
          </cell>
          <cell r="F1558" t="str">
            <v>Pénzkészl./pénzt,bet,banksz.vált.(97+98+99+26-53-108+115)</v>
          </cell>
        </row>
        <row r="1559">
          <cell r="A1559" t="str">
            <v>118</v>
          </cell>
          <cell r="B1559" t="str">
            <v>80</v>
          </cell>
          <cell r="C1559" t="str">
            <v>1</v>
          </cell>
          <cell r="D1559" t="str">
            <v>B</v>
          </cell>
          <cell r="E1559">
            <v>1</v>
          </cell>
          <cell r="F1559" t="str">
            <v>Pénzkészlet január 1-én</v>
          </cell>
        </row>
        <row r="1560">
          <cell r="A1560" t="str">
            <v>119</v>
          </cell>
          <cell r="B1560" t="str">
            <v>80</v>
          </cell>
          <cell r="C1560" t="str">
            <v>1</v>
          </cell>
          <cell r="D1560" t="str">
            <v>B</v>
          </cell>
          <cell r="E1560">
            <v>1</v>
          </cell>
          <cell r="F1560" t="str">
            <v>Pénzkészlet a tárgyidöszak végén (117+118)</v>
          </cell>
        </row>
        <row r="1561">
          <cell r="A1561" t="str">
            <v>120</v>
          </cell>
          <cell r="B1561" t="str">
            <v>80</v>
          </cell>
          <cell r="C1561" t="str">
            <v>1</v>
          </cell>
          <cell r="D1561" t="str">
            <v>B</v>
          </cell>
          <cell r="E1561">
            <v>1</v>
          </cell>
          <cell r="F1561" t="str">
            <v>Foglalkoztatottak létszám (fö) - idöszakra</v>
          </cell>
        </row>
        <row r="1562">
          <cell r="A1562" t="str">
            <v>121</v>
          </cell>
          <cell r="B1562" t="str">
            <v>80</v>
          </cell>
          <cell r="C1562" t="str">
            <v>1</v>
          </cell>
          <cell r="D1562" t="str">
            <v>B</v>
          </cell>
          <cell r="E1562">
            <v>1</v>
          </cell>
          <cell r="F1562" t="str">
            <v>Munkajogi létszám a tárgyidöszak végén</v>
          </cell>
        </row>
        <row r="1563">
          <cell r="A1563" t="str">
            <v>1</v>
          </cell>
          <cell r="B1563" t="str">
            <v>98</v>
          </cell>
          <cell r="C1563" t="str">
            <v>1</v>
          </cell>
          <cell r="D1563" t="str">
            <v>B</v>
          </cell>
          <cell r="E1563">
            <v>1</v>
          </cell>
          <cell r="F1563" t="str">
            <v>Személyi juttatások</v>
          </cell>
        </row>
        <row r="1564">
          <cell r="A1564" t="str">
            <v>2</v>
          </cell>
          <cell r="B1564" t="str">
            <v>98</v>
          </cell>
          <cell r="C1564" t="str">
            <v>1</v>
          </cell>
          <cell r="D1564" t="str">
            <v>B</v>
          </cell>
          <cell r="E1564">
            <v>1</v>
          </cell>
          <cell r="F1564" t="str">
            <v>TB járulék, egészségügyi és táppénz hozzájárulás</v>
          </cell>
        </row>
        <row r="1565">
          <cell r="A1565" t="str">
            <v>3</v>
          </cell>
          <cell r="B1565" t="str">
            <v>98</v>
          </cell>
          <cell r="C1565" t="str">
            <v>1</v>
          </cell>
          <cell r="D1565" t="str">
            <v>B</v>
          </cell>
          <cell r="E1565">
            <v>1</v>
          </cell>
          <cell r="F1565" t="str">
            <v>Munkaadoi járulék</v>
          </cell>
        </row>
        <row r="1566">
          <cell r="A1566" t="str">
            <v>4</v>
          </cell>
          <cell r="B1566" t="str">
            <v>98</v>
          </cell>
          <cell r="C1566" t="str">
            <v>1</v>
          </cell>
          <cell r="D1566" t="str">
            <v>B</v>
          </cell>
          <cell r="E1566">
            <v>1</v>
          </cell>
          <cell r="F1566" t="str">
            <v>Dologi kiadások</v>
          </cell>
        </row>
        <row r="1567">
          <cell r="A1567" t="str">
            <v>5</v>
          </cell>
          <cell r="B1567" t="str">
            <v>98</v>
          </cell>
          <cell r="C1567" t="str">
            <v>1</v>
          </cell>
          <cell r="D1567" t="str">
            <v>B</v>
          </cell>
          <cell r="E1567">
            <v>1</v>
          </cell>
          <cell r="F1567" t="str">
            <v>Egyéb folyo kiadások (kamatkiadások nélkül)</v>
          </cell>
        </row>
        <row r="1568">
          <cell r="A1568" t="str">
            <v>6</v>
          </cell>
          <cell r="B1568" t="str">
            <v>98</v>
          </cell>
          <cell r="C1568" t="str">
            <v>1</v>
          </cell>
          <cell r="D1568" t="str">
            <v>B</v>
          </cell>
          <cell r="E1568">
            <v>1</v>
          </cell>
          <cell r="F1568" t="str">
            <v>Ellátottak pénzbeli juttatásai</v>
          </cell>
        </row>
        <row r="1569">
          <cell r="A1569" t="str">
            <v>7</v>
          </cell>
          <cell r="B1569" t="str">
            <v>98</v>
          </cell>
          <cell r="C1569" t="str">
            <v>1</v>
          </cell>
          <cell r="D1569" t="str">
            <v>B</v>
          </cell>
          <cell r="E1569">
            <v>1</v>
          </cell>
          <cell r="F1569" t="str">
            <v>Mük. célu pe.átadás központi költségvetési szervnek</v>
          </cell>
        </row>
        <row r="1570">
          <cell r="A1570" t="str">
            <v>8</v>
          </cell>
          <cell r="B1570" t="str">
            <v>98</v>
          </cell>
          <cell r="C1570" t="str">
            <v>1</v>
          </cell>
          <cell r="D1570" t="str">
            <v>B</v>
          </cell>
          <cell r="E1570">
            <v>1</v>
          </cell>
          <cell r="F1570" t="str">
            <v>Mük. célu pe.átadás fejezeti kezelésü elöirányzatnak</v>
          </cell>
        </row>
        <row r="1571">
          <cell r="A1571" t="str">
            <v>9</v>
          </cell>
          <cell r="B1571" t="str">
            <v>98</v>
          </cell>
          <cell r="C1571" t="str">
            <v>1</v>
          </cell>
          <cell r="D1571" t="str">
            <v>B</v>
          </cell>
          <cell r="E1571">
            <v>1</v>
          </cell>
          <cell r="F1571" t="str">
            <v>Mük. célu pe.átadás elkülönitett állami pénzalapnak</v>
          </cell>
        </row>
        <row r="1572">
          <cell r="A1572" t="str">
            <v>10</v>
          </cell>
          <cell r="B1572" t="str">
            <v>98</v>
          </cell>
          <cell r="C1572" t="str">
            <v>1</v>
          </cell>
          <cell r="D1572" t="str">
            <v>B</v>
          </cell>
          <cell r="E1572">
            <v>1</v>
          </cell>
          <cell r="F1572" t="str">
            <v>Mük. célu pe.átadás társadalombiztositási alapnak</v>
          </cell>
        </row>
        <row r="1573">
          <cell r="A1573" t="str">
            <v>11</v>
          </cell>
          <cell r="B1573" t="str">
            <v>98</v>
          </cell>
          <cell r="C1573" t="str">
            <v>1</v>
          </cell>
          <cell r="D1573" t="str">
            <v>B</v>
          </cell>
          <cell r="E1573">
            <v>1</v>
          </cell>
          <cell r="F1573" t="str">
            <v>Mük. célu pe.átadás helyi önkormányzatoknak</v>
          </cell>
        </row>
        <row r="1574">
          <cell r="A1574" t="str">
            <v>12</v>
          </cell>
          <cell r="B1574" t="str">
            <v>98</v>
          </cell>
          <cell r="C1574" t="str">
            <v>1</v>
          </cell>
          <cell r="D1574" t="str">
            <v>B</v>
          </cell>
          <cell r="E1574">
            <v>1</v>
          </cell>
          <cell r="F1574" t="str">
            <v>Mük. célu pe.átadás vállalkozásoknak</v>
          </cell>
        </row>
        <row r="1575">
          <cell r="A1575" t="str">
            <v>13</v>
          </cell>
          <cell r="B1575" t="str">
            <v>98</v>
          </cell>
          <cell r="C1575" t="str">
            <v>1</v>
          </cell>
          <cell r="D1575" t="str">
            <v>B</v>
          </cell>
          <cell r="E1575">
            <v>1</v>
          </cell>
          <cell r="F1575" t="str">
            <v>Mük. célu pe.átadás pénzügyi vállalkozásoknak</v>
          </cell>
        </row>
        <row r="1576">
          <cell r="A1576" t="str">
            <v>14</v>
          </cell>
          <cell r="B1576" t="str">
            <v>98</v>
          </cell>
          <cell r="C1576" t="str">
            <v>1</v>
          </cell>
          <cell r="D1576" t="str">
            <v>B</v>
          </cell>
          <cell r="E1576">
            <v>1</v>
          </cell>
          <cell r="F1576" t="str">
            <v>Mük. célu pe.átadás háztartásoknak</v>
          </cell>
        </row>
        <row r="1577">
          <cell r="A1577" t="str">
            <v>15</v>
          </cell>
          <cell r="B1577" t="str">
            <v>98</v>
          </cell>
          <cell r="C1577" t="str">
            <v>1</v>
          </cell>
          <cell r="D1577" t="str">
            <v>B</v>
          </cell>
          <cell r="E1577">
            <v>1</v>
          </cell>
          <cell r="F1577" t="str">
            <v>Mük. célu pe.átadás non-profit szervezeteknek</v>
          </cell>
        </row>
        <row r="1578">
          <cell r="A1578" t="str">
            <v>16</v>
          </cell>
          <cell r="B1578" t="str">
            <v>98</v>
          </cell>
          <cell r="C1578" t="str">
            <v>1</v>
          </cell>
          <cell r="D1578" t="str">
            <v>B</v>
          </cell>
          <cell r="E1578">
            <v>1</v>
          </cell>
          <cell r="F1578" t="str">
            <v>Mük. célu pe.átadás külföldre</v>
          </cell>
        </row>
        <row r="1579">
          <cell r="A1579" t="str">
            <v>17</v>
          </cell>
          <cell r="B1579" t="str">
            <v>98</v>
          </cell>
          <cell r="C1579" t="str">
            <v>1</v>
          </cell>
          <cell r="D1579" t="str">
            <v>B</v>
          </cell>
          <cell r="E1579">
            <v>1</v>
          </cell>
          <cell r="F1579" t="str">
            <v>Társadalom- és szociálpol.juttatások,és egyéb TB ellátások</v>
          </cell>
        </row>
        <row r="1580">
          <cell r="A1580" t="str">
            <v>18</v>
          </cell>
          <cell r="B1580" t="str">
            <v>98</v>
          </cell>
          <cell r="C1580" t="str">
            <v>1</v>
          </cell>
          <cell r="D1580" t="str">
            <v>B</v>
          </cell>
          <cell r="E1580">
            <v>1</v>
          </cell>
          <cell r="F1580" t="str">
            <v>Tervezett maradvány,eredmény,tartalék</v>
          </cell>
        </row>
        <row r="1581">
          <cell r="A1581" t="str">
            <v>19</v>
          </cell>
          <cell r="B1581" t="str">
            <v>98</v>
          </cell>
          <cell r="C1581" t="str">
            <v>1</v>
          </cell>
          <cell r="D1581" t="str">
            <v>B</v>
          </cell>
          <cell r="E1581">
            <v>1</v>
          </cell>
          <cell r="F1581" t="str">
            <v>Egyéb müködési célu támogatások,kiadások (07+...+18)</v>
          </cell>
        </row>
        <row r="1582">
          <cell r="A1582" t="str">
            <v>20</v>
          </cell>
          <cell r="B1582" t="str">
            <v>98</v>
          </cell>
          <cell r="C1582" t="str">
            <v>1</v>
          </cell>
          <cell r="D1582" t="str">
            <v>B</v>
          </cell>
          <cell r="E1582">
            <v>1</v>
          </cell>
          <cell r="F1582" t="str">
            <v>Kamatkiadások</v>
          </cell>
        </row>
        <row r="1583">
          <cell r="A1583" t="str">
            <v>21</v>
          </cell>
          <cell r="B1583" t="str">
            <v>98</v>
          </cell>
          <cell r="C1583" t="str">
            <v>1</v>
          </cell>
          <cell r="D1583" t="str">
            <v>B</v>
          </cell>
          <cell r="E1583">
            <v>1</v>
          </cell>
          <cell r="F1583" t="str">
            <v>Felujitás</v>
          </cell>
        </row>
        <row r="1584">
          <cell r="A1584" t="str">
            <v>22</v>
          </cell>
          <cell r="B1584" t="str">
            <v>98</v>
          </cell>
          <cell r="C1584" t="str">
            <v>1</v>
          </cell>
          <cell r="D1584" t="str">
            <v>B</v>
          </cell>
          <cell r="E1584">
            <v>1</v>
          </cell>
          <cell r="F1584" t="str">
            <v>Intézményi beruházási kiadások</v>
          </cell>
        </row>
        <row r="1585">
          <cell r="A1585" t="str">
            <v>23</v>
          </cell>
          <cell r="B1585" t="str">
            <v>98</v>
          </cell>
          <cell r="C1585" t="str">
            <v>1</v>
          </cell>
          <cell r="D1585" t="str">
            <v>B</v>
          </cell>
          <cell r="E1585">
            <v>1</v>
          </cell>
          <cell r="F1585" t="str">
            <v>Központi beruházási kiadások</v>
          </cell>
        </row>
        <row r="1586">
          <cell r="A1586" t="str">
            <v>24</v>
          </cell>
          <cell r="B1586" t="str">
            <v>98</v>
          </cell>
          <cell r="C1586" t="str">
            <v>1</v>
          </cell>
          <cell r="D1586" t="str">
            <v>B</v>
          </cell>
          <cell r="E1586">
            <v>1</v>
          </cell>
          <cell r="F1586" t="str">
            <v>Lakástámogatás</v>
          </cell>
        </row>
        <row r="1587">
          <cell r="A1587" t="str">
            <v>25</v>
          </cell>
          <cell r="B1587" t="str">
            <v>98</v>
          </cell>
          <cell r="C1587" t="str">
            <v>1</v>
          </cell>
          <cell r="D1587" t="str">
            <v>B</v>
          </cell>
          <cell r="E1587">
            <v>1</v>
          </cell>
          <cell r="F1587" t="str">
            <v>Lakásépités</v>
          </cell>
        </row>
        <row r="1588">
          <cell r="A1588" t="str">
            <v>26</v>
          </cell>
          <cell r="B1588" t="str">
            <v>98</v>
          </cell>
          <cell r="C1588" t="str">
            <v>1</v>
          </cell>
          <cell r="D1588" t="str">
            <v>B</v>
          </cell>
          <cell r="E1588">
            <v>1</v>
          </cell>
        </row>
        <row r="1589">
          <cell r="A1589" t="str">
            <v>27</v>
          </cell>
          <cell r="B1589" t="str">
            <v>98</v>
          </cell>
          <cell r="C1589" t="str">
            <v>1</v>
          </cell>
          <cell r="D1589" t="str">
            <v>B</v>
          </cell>
          <cell r="E1589">
            <v>1</v>
          </cell>
          <cell r="F1589" t="str">
            <v>Központi beruházások                     (23+...+26)</v>
          </cell>
        </row>
        <row r="1590">
          <cell r="A1590" t="str">
            <v>28</v>
          </cell>
          <cell r="B1590" t="str">
            <v>98</v>
          </cell>
          <cell r="C1590" t="str">
            <v>1</v>
          </cell>
          <cell r="D1590" t="str">
            <v>B</v>
          </cell>
          <cell r="E1590">
            <v>1</v>
          </cell>
          <cell r="F1590" t="str">
            <v>Felh.célu pe.átadás központi költségvetési szervnek</v>
          </cell>
        </row>
        <row r="1591">
          <cell r="A1591" t="str">
            <v>29</v>
          </cell>
          <cell r="B1591" t="str">
            <v>98</v>
          </cell>
          <cell r="C1591" t="str">
            <v>1</v>
          </cell>
          <cell r="D1591" t="str">
            <v>B</v>
          </cell>
          <cell r="E1591">
            <v>1</v>
          </cell>
          <cell r="F1591" t="str">
            <v>Felh.célu pe.átadás fejezeti kezelésü elöirányzatnak</v>
          </cell>
        </row>
        <row r="1592">
          <cell r="A1592" t="str">
            <v>30</v>
          </cell>
          <cell r="B1592" t="str">
            <v>98</v>
          </cell>
          <cell r="C1592" t="str">
            <v>1</v>
          </cell>
          <cell r="D1592" t="str">
            <v>B</v>
          </cell>
          <cell r="E1592">
            <v>1</v>
          </cell>
          <cell r="F1592" t="str">
            <v>Felh.célu pe.átadás elkülönitett állami pénzalapnak</v>
          </cell>
        </row>
        <row r="1593">
          <cell r="A1593" t="str">
            <v>31</v>
          </cell>
          <cell r="B1593" t="str">
            <v>98</v>
          </cell>
          <cell r="C1593" t="str">
            <v>1</v>
          </cell>
          <cell r="D1593" t="str">
            <v>B</v>
          </cell>
          <cell r="E1593">
            <v>1</v>
          </cell>
          <cell r="F1593" t="str">
            <v>Felh.célu pe.átadás társadalombiztositási alapnak</v>
          </cell>
        </row>
        <row r="1594">
          <cell r="A1594" t="str">
            <v>32</v>
          </cell>
          <cell r="B1594" t="str">
            <v>98</v>
          </cell>
          <cell r="C1594" t="str">
            <v>1</v>
          </cell>
          <cell r="D1594" t="str">
            <v>B</v>
          </cell>
          <cell r="E1594">
            <v>1</v>
          </cell>
          <cell r="F1594" t="str">
            <v>Felh.célu pe.átadás helyi önkormányzatoknak</v>
          </cell>
        </row>
        <row r="1595">
          <cell r="A1595" t="str">
            <v>33</v>
          </cell>
          <cell r="B1595" t="str">
            <v>98</v>
          </cell>
          <cell r="C1595" t="str">
            <v>1</v>
          </cell>
          <cell r="D1595" t="str">
            <v>B</v>
          </cell>
          <cell r="E1595">
            <v>1</v>
          </cell>
          <cell r="F1595" t="str">
            <v>Felh.célu pe.átadás vállalkozásoknak</v>
          </cell>
        </row>
        <row r="1596">
          <cell r="A1596" t="str">
            <v>34</v>
          </cell>
          <cell r="B1596" t="str">
            <v>98</v>
          </cell>
          <cell r="C1596" t="str">
            <v>1</v>
          </cell>
          <cell r="D1596" t="str">
            <v>B</v>
          </cell>
          <cell r="E1596">
            <v>1</v>
          </cell>
          <cell r="F1596" t="str">
            <v>Felh.célu pe.átadás pénzügyi vállalkozásoknak</v>
          </cell>
        </row>
        <row r="1597">
          <cell r="A1597" t="str">
            <v>35</v>
          </cell>
          <cell r="B1597" t="str">
            <v>98</v>
          </cell>
          <cell r="C1597" t="str">
            <v>1</v>
          </cell>
          <cell r="D1597" t="str">
            <v>B</v>
          </cell>
          <cell r="E1597">
            <v>1</v>
          </cell>
          <cell r="F1597" t="str">
            <v>Felh.célu pe.átadás háztartásoknak</v>
          </cell>
        </row>
        <row r="1598">
          <cell r="A1598" t="str">
            <v>36</v>
          </cell>
          <cell r="B1598" t="str">
            <v>98</v>
          </cell>
          <cell r="C1598" t="str">
            <v>1</v>
          </cell>
          <cell r="D1598" t="str">
            <v>B</v>
          </cell>
          <cell r="E1598">
            <v>1</v>
          </cell>
          <cell r="F1598" t="str">
            <v>Felh.célu pe.átadás non-profit szervezeteknek</v>
          </cell>
        </row>
        <row r="1599">
          <cell r="A1599" t="str">
            <v>37</v>
          </cell>
          <cell r="B1599" t="str">
            <v>98</v>
          </cell>
          <cell r="C1599" t="str">
            <v>1</v>
          </cell>
          <cell r="D1599" t="str">
            <v>B</v>
          </cell>
          <cell r="E1599">
            <v>1</v>
          </cell>
          <cell r="F1599" t="str">
            <v>Felh.célu pe.átadás külföldre</v>
          </cell>
        </row>
        <row r="1600">
          <cell r="A1600" t="str">
            <v>38</v>
          </cell>
          <cell r="B1600" t="str">
            <v>98</v>
          </cell>
          <cell r="C1600" t="str">
            <v>1</v>
          </cell>
          <cell r="D1600" t="str">
            <v>B</v>
          </cell>
          <cell r="E1600">
            <v>1</v>
          </cell>
          <cell r="F1600" t="str">
            <v>Intézményi egyéb felhalmozási kiadások</v>
          </cell>
        </row>
        <row r="1601">
          <cell r="A1601" t="str">
            <v>39</v>
          </cell>
          <cell r="B1601" t="str">
            <v>98</v>
          </cell>
          <cell r="C1601" t="str">
            <v>1</v>
          </cell>
          <cell r="D1601" t="str">
            <v>B</v>
          </cell>
          <cell r="E1601">
            <v>1</v>
          </cell>
          <cell r="F1601" t="str">
            <v>Egyéb felhalmozási kiadások                (28+...+38)</v>
          </cell>
        </row>
        <row r="1602">
          <cell r="A1602" t="str">
            <v>40</v>
          </cell>
          <cell r="B1602" t="str">
            <v>98</v>
          </cell>
          <cell r="C1602" t="str">
            <v>1</v>
          </cell>
          <cell r="D1602" t="str">
            <v>B</v>
          </cell>
          <cell r="E1602">
            <v>1</v>
          </cell>
          <cell r="F1602" t="str">
            <v>Felhalmozási kiadások                    (21+22+27+39)</v>
          </cell>
        </row>
        <row r="1603">
          <cell r="A1603" t="str">
            <v>41</v>
          </cell>
          <cell r="B1603" t="str">
            <v>98</v>
          </cell>
          <cell r="C1603" t="str">
            <v>1</v>
          </cell>
          <cell r="D1603" t="str">
            <v>B</v>
          </cell>
          <cell r="E1603">
            <v>1</v>
          </cell>
          <cell r="F1603" t="str">
            <v>Kölcsönök nyujtása államháztartáson belülre</v>
          </cell>
        </row>
        <row r="1604">
          <cell r="A1604" t="str">
            <v>42</v>
          </cell>
          <cell r="B1604" t="str">
            <v>98</v>
          </cell>
          <cell r="C1604" t="str">
            <v>1</v>
          </cell>
          <cell r="D1604" t="str">
            <v>B</v>
          </cell>
          <cell r="E1604">
            <v>1</v>
          </cell>
          <cell r="F1604" t="str">
            <v>Kölcsönök nyujtása államháztartáson kivülre</v>
          </cell>
        </row>
        <row r="1605">
          <cell r="A1605" t="str">
            <v>43</v>
          </cell>
          <cell r="B1605" t="str">
            <v>98</v>
          </cell>
          <cell r="C1605" t="str">
            <v>1</v>
          </cell>
          <cell r="D1605" t="str">
            <v>B</v>
          </cell>
          <cell r="E1605">
            <v>1</v>
          </cell>
          <cell r="F1605" t="str">
            <v>Kölcsönök törlesztése államháztartáson belülre</v>
          </cell>
        </row>
        <row r="1606">
          <cell r="A1606" t="str">
            <v>44</v>
          </cell>
          <cell r="B1606" t="str">
            <v>98</v>
          </cell>
          <cell r="C1606" t="str">
            <v>1</v>
          </cell>
          <cell r="D1606" t="str">
            <v>B</v>
          </cell>
          <cell r="E1606">
            <v>1</v>
          </cell>
          <cell r="F1606" t="str">
            <v>Pénzügyi befektetések kiadásaibol részesedések vásárlása</v>
          </cell>
        </row>
        <row r="1607">
          <cell r="A1607" t="str">
            <v>45</v>
          </cell>
          <cell r="B1607" t="str">
            <v>98</v>
          </cell>
          <cell r="C1607" t="str">
            <v>1</v>
          </cell>
          <cell r="D1607" t="str">
            <v>B</v>
          </cell>
          <cell r="E1607">
            <v>1</v>
          </cell>
          <cell r="F1607" t="str">
            <v>Törvény szerinti kiadások    (01+..+06+19+20+40+..+44)</v>
          </cell>
        </row>
        <row r="1608">
          <cell r="A1608" t="str">
            <v>46</v>
          </cell>
          <cell r="B1608" t="str">
            <v>98</v>
          </cell>
          <cell r="C1608" t="str">
            <v>1</v>
          </cell>
          <cell r="D1608" t="str">
            <v>B</v>
          </cell>
          <cell r="E1608">
            <v>1</v>
          </cell>
          <cell r="F1608" t="str">
            <v>Müködési bevételek</v>
          </cell>
        </row>
        <row r="1609">
          <cell r="A1609" t="str">
            <v>47</v>
          </cell>
          <cell r="B1609" t="str">
            <v>98</v>
          </cell>
          <cell r="C1609" t="str">
            <v>1</v>
          </cell>
          <cell r="D1609" t="str">
            <v>B</v>
          </cell>
          <cell r="E1609">
            <v>1</v>
          </cell>
          <cell r="F1609" t="str">
            <v>Kamatbevételek</v>
          </cell>
        </row>
        <row r="1610">
          <cell r="A1610" t="str">
            <v>48</v>
          </cell>
          <cell r="B1610" t="str">
            <v>98</v>
          </cell>
          <cell r="C1610" t="str">
            <v>1</v>
          </cell>
          <cell r="D1610" t="str">
            <v>B</v>
          </cell>
          <cell r="E1610">
            <v>1</v>
          </cell>
          <cell r="F1610" t="str">
            <v>Müködési célu pénzeszközátvétel a TB alapoktol</v>
          </cell>
        </row>
        <row r="1611">
          <cell r="A1611" t="str">
            <v>49</v>
          </cell>
          <cell r="B1611" t="str">
            <v>98</v>
          </cell>
          <cell r="C1611" t="str">
            <v>1</v>
          </cell>
          <cell r="D1611" t="str">
            <v>B</v>
          </cell>
          <cell r="E1611">
            <v>1</v>
          </cell>
          <cell r="F1611" t="str">
            <v>Müködési célu pénzeszközátvétel az elkül.állami alapoktol</v>
          </cell>
        </row>
        <row r="1612">
          <cell r="A1612" t="str">
            <v>50</v>
          </cell>
          <cell r="B1612" t="str">
            <v>98</v>
          </cell>
          <cell r="C1612" t="str">
            <v>1</v>
          </cell>
          <cell r="D1612" t="str">
            <v>B</v>
          </cell>
          <cell r="E1612">
            <v>1</v>
          </cell>
          <cell r="F1612" t="str">
            <v>Költségvetési kiegészitések,visszatérülések</v>
          </cell>
        </row>
        <row r="1613">
          <cell r="A1613" t="str">
            <v>51</v>
          </cell>
          <cell r="B1613" t="str">
            <v>98</v>
          </cell>
          <cell r="C1613" t="str">
            <v>1</v>
          </cell>
          <cell r="D1613" t="str">
            <v>B</v>
          </cell>
          <cell r="E1613">
            <v>1</v>
          </cell>
          <cell r="F1613" t="str">
            <v>Mük. célu pe.átvétel központi költségvetési szervtöl</v>
          </cell>
        </row>
        <row r="1614">
          <cell r="A1614" t="str">
            <v>52</v>
          </cell>
          <cell r="B1614" t="str">
            <v>98</v>
          </cell>
          <cell r="C1614" t="str">
            <v>1</v>
          </cell>
          <cell r="D1614" t="str">
            <v>B</v>
          </cell>
          <cell r="E1614">
            <v>1</v>
          </cell>
          <cell r="F1614" t="str">
            <v>Mük. célu pe.átvétel fejezeti kezelésü elöirányzattol</v>
          </cell>
        </row>
        <row r="1615">
          <cell r="A1615" t="str">
            <v>53</v>
          </cell>
          <cell r="B1615" t="str">
            <v>98</v>
          </cell>
          <cell r="C1615" t="str">
            <v>1</v>
          </cell>
          <cell r="D1615" t="str">
            <v>B</v>
          </cell>
          <cell r="E1615">
            <v>1</v>
          </cell>
          <cell r="F1615" t="str">
            <v>Mük. célu pe.átvétel helyi önkormányzatoktol</v>
          </cell>
        </row>
        <row r="1616">
          <cell r="A1616" t="str">
            <v>54</v>
          </cell>
          <cell r="B1616" t="str">
            <v>98</v>
          </cell>
          <cell r="C1616" t="str">
            <v>1</v>
          </cell>
          <cell r="D1616" t="str">
            <v>B</v>
          </cell>
          <cell r="E1616">
            <v>1</v>
          </cell>
          <cell r="F1616" t="str">
            <v>Mük. célu pe.átvétel vállalkozásoktol</v>
          </cell>
        </row>
        <row r="1617">
          <cell r="A1617" t="str">
            <v>55</v>
          </cell>
          <cell r="B1617" t="str">
            <v>98</v>
          </cell>
          <cell r="C1617" t="str">
            <v>1</v>
          </cell>
          <cell r="D1617" t="str">
            <v>B</v>
          </cell>
          <cell r="E1617">
            <v>1</v>
          </cell>
          <cell r="F1617" t="str">
            <v>Mük. célu pe.átvétel pénzügyi vállalkozásoktol</v>
          </cell>
        </row>
        <row r="1618">
          <cell r="A1618" t="str">
            <v>56</v>
          </cell>
          <cell r="B1618" t="str">
            <v>98</v>
          </cell>
          <cell r="C1618" t="str">
            <v>1</v>
          </cell>
          <cell r="D1618" t="str">
            <v>B</v>
          </cell>
          <cell r="E1618">
            <v>1</v>
          </cell>
          <cell r="F1618" t="str">
            <v>Mük. célu pe.átvétel háztartásoktol</v>
          </cell>
        </row>
        <row r="1619">
          <cell r="A1619" t="str">
            <v>57</v>
          </cell>
          <cell r="B1619" t="str">
            <v>98</v>
          </cell>
          <cell r="C1619" t="str">
            <v>1</v>
          </cell>
          <cell r="D1619" t="str">
            <v>B</v>
          </cell>
          <cell r="E1619">
            <v>1</v>
          </cell>
          <cell r="F1619" t="str">
            <v>Mük. célu pe.átvétel non-profit szervezetektöl</v>
          </cell>
        </row>
        <row r="1620">
          <cell r="A1620" t="str">
            <v>58</v>
          </cell>
          <cell r="B1620" t="str">
            <v>98</v>
          </cell>
          <cell r="C1620" t="str">
            <v>1</v>
          </cell>
          <cell r="D1620" t="str">
            <v>B</v>
          </cell>
          <cell r="E1620">
            <v>1</v>
          </cell>
          <cell r="F1620" t="str">
            <v>Mük. célu pe.átvétel nemzetközi szervezetektöl</v>
          </cell>
        </row>
        <row r="1621">
          <cell r="A1621" t="str">
            <v>59</v>
          </cell>
          <cell r="B1621" t="str">
            <v>98</v>
          </cell>
          <cell r="C1621" t="str">
            <v>1</v>
          </cell>
          <cell r="D1621" t="str">
            <v>B</v>
          </cell>
          <cell r="E1621">
            <v>1</v>
          </cell>
          <cell r="F1621" t="str">
            <v>Mük. célu pe.átvétel egyéb külföldi forrásbol</v>
          </cell>
        </row>
        <row r="1622">
          <cell r="A1622" t="str">
            <v>60</v>
          </cell>
          <cell r="B1622" t="str">
            <v>98</v>
          </cell>
          <cell r="C1622" t="str">
            <v>1</v>
          </cell>
          <cell r="D1622" t="str">
            <v>B</v>
          </cell>
          <cell r="E1622">
            <v>1</v>
          </cell>
          <cell r="F1622" t="str">
            <v>Egyéb mük.célu pénzeszköz-átvétel,bevételek (50+...+59)</v>
          </cell>
        </row>
        <row r="1623">
          <cell r="A1623" t="str">
            <v>61</v>
          </cell>
          <cell r="B1623" t="str">
            <v>98</v>
          </cell>
          <cell r="C1623" t="str">
            <v>1</v>
          </cell>
          <cell r="D1623" t="str">
            <v>B</v>
          </cell>
          <cell r="E1623">
            <v>1</v>
          </cell>
          <cell r="F1623" t="str">
            <v>Felh.célu pénzeszközátvétel a TB alapoktol és kezelöitöl</v>
          </cell>
        </row>
        <row r="1624">
          <cell r="A1624" t="str">
            <v>62</v>
          </cell>
          <cell r="B1624" t="str">
            <v>98</v>
          </cell>
          <cell r="C1624" t="str">
            <v>1</v>
          </cell>
          <cell r="D1624" t="str">
            <v>B</v>
          </cell>
          <cell r="E1624">
            <v>1</v>
          </cell>
          <cell r="F1624" t="str">
            <v>Felh.célu pénzeszközátvétel az elkülönit.állami alapoktol</v>
          </cell>
        </row>
        <row r="1625">
          <cell r="A1625" t="str">
            <v>63</v>
          </cell>
          <cell r="B1625" t="str">
            <v>98</v>
          </cell>
          <cell r="C1625" t="str">
            <v>1</v>
          </cell>
          <cell r="D1625" t="str">
            <v>B</v>
          </cell>
          <cell r="E1625">
            <v>1</v>
          </cell>
          <cell r="F1625" t="str">
            <v>Felhalmozási és töke jellegü bevételek</v>
          </cell>
        </row>
        <row r="1626">
          <cell r="A1626" t="str">
            <v>64</v>
          </cell>
          <cell r="B1626" t="str">
            <v>98</v>
          </cell>
          <cell r="C1626" t="str">
            <v>1</v>
          </cell>
          <cell r="D1626" t="str">
            <v>B</v>
          </cell>
          <cell r="E1626">
            <v>1</v>
          </cell>
          <cell r="F1626" t="str">
            <v>Felh.célu pe.átvétel központi költségvetési szervtöl</v>
          </cell>
        </row>
        <row r="1627">
          <cell r="A1627" t="str">
            <v>65</v>
          </cell>
          <cell r="B1627" t="str">
            <v>98</v>
          </cell>
          <cell r="C1627" t="str">
            <v>1</v>
          </cell>
          <cell r="D1627" t="str">
            <v>B</v>
          </cell>
          <cell r="E1627">
            <v>1</v>
          </cell>
          <cell r="F1627" t="str">
            <v>Felh.célu pe.átvétel fejezeti kezelésü elöirányzattol</v>
          </cell>
        </row>
        <row r="1628">
          <cell r="A1628" t="str">
            <v>66</v>
          </cell>
          <cell r="B1628" t="str">
            <v>98</v>
          </cell>
          <cell r="C1628" t="str">
            <v>1</v>
          </cell>
          <cell r="D1628" t="str">
            <v>B</v>
          </cell>
          <cell r="E1628">
            <v>1</v>
          </cell>
          <cell r="F1628" t="str">
            <v>Felh.célu pe.átvétel helyi önkormányzatoktol</v>
          </cell>
        </row>
        <row r="1629">
          <cell r="A1629" t="str">
            <v>67</v>
          </cell>
          <cell r="B1629" t="str">
            <v>98</v>
          </cell>
          <cell r="C1629" t="str">
            <v>1</v>
          </cell>
          <cell r="D1629" t="str">
            <v>B</v>
          </cell>
          <cell r="E1629">
            <v>1</v>
          </cell>
          <cell r="F1629" t="str">
            <v>Felh.célu pe.átvétel vállalkozásoktol</v>
          </cell>
        </row>
        <row r="1630">
          <cell r="A1630" t="str">
            <v>68</v>
          </cell>
          <cell r="B1630" t="str">
            <v>98</v>
          </cell>
          <cell r="C1630" t="str">
            <v>1</v>
          </cell>
          <cell r="D1630" t="str">
            <v>B</v>
          </cell>
          <cell r="E1630">
            <v>1</v>
          </cell>
          <cell r="F1630" t="str">
            <v>Felh.célu pe.átvétel pénzügyi vállalkozásoktol</v>
          </cell>
        </row>
        <row r="1631">
          <cell r="A1631" t="str">
            <v>69</v>
          </cell>
          <cell r="B1631" t="str">
            <v>98</v>
          </cell>
          <cell r="C1631" t="str">
            <v>1</v>
          </cell>
          <cell r="D1631" t="str">
            <v>B</v>
          </cell>
          <cell r="E1631">
            <v>1</v>
          </cell>
          <cell r="F1631" t="str">
            <v>Felh.célu pe.átvétel háztartásoktol</v>
          </cell>
        </row>
        <row r="1632">
          <cell r="A1632" t="str">
            <v>70</v>
          </cell>
          <cell r="B1632" t="str">
            <v>98</v>
          </cell>
          <cell r="C1632" t="str">
            <v>1</v>
          </cell>
          <cell r="D1632" t="str">
            <v>B</v>
          </cell>
          <cell r="E1632">
            <v>1</v>
          </cell>
          <cell r="F1632" t="str">
            <v>Felh.célu pe.átvétel non-profit szervezetektöl</v>
          </cell>
        </row>
        <row r="1633">
          <cell r="A1633" t="str">
            <v>71</v>
          </cell>
          <cell r="B1633" t="str">
            <v>98</v>
          </cell>
          <cell r="C1633" t="str">
            <v>1</v>
          </cell>
          <cell r="D1633" t="str">
            <v>B</v>
          </cell>
          <cell r="E1633">
            <v>1</v>
          </cell>
          <cell r="F1633" t="str">
            <v>Felh.célu pe.átvétel nemzetközi szervezetektöl</v>
          </cell>
        </row>
        <row r="1634">
          <cell r="A1634" t="str">
            <v>72</v>
          </cell>
          <cell r="B1634" t="str">
            <v>98</v>
          </cell>
          <cell r="C1634" t="str">
            <v>1</v>
          </cell>
          <cell r="D1634" t="str">
            <v>B</v>
          </cell>
          <cell r="E1634">
            <v>1</v>
          </cell>
          <cell r="F1634" t="str">
            <v>Felh.célu pe.átvétel egyéb külföldi forrásbol</v>
          </cell>
        </row>
        <row r="1635">
          <cell r="A1635" t="str">
            <v>73</v>
          </cell>
          <cell r="B1635" t="str">
            <v>98</v>
          </cell>
          <cell r="C1635" t="str">
            <v>1</v>
          </cell>
          <cell r="D1635" t="str">
            <v>B</v>
          </cell>
          <cell r="E1635">
            <v>1</v>
          </cell>
          <cell r="F1635" t="str">
            <v>Egyéb felh.célu pénzeszköz-átvétel,bevételek(63+...+72)</v>
          </cell>
        </row>
        <row r="1636">
          <cell r="A1636" t="str">
            <v>74</v>
          </cell>
          <cell r="B1636" t="str">
            <v>98</v>
          </cell>
          <cell r="C1636" t="str">
            <v>1</v>
          </cell>
          <cell r="D1636" t="str">
            <v>B</v>
          </cell>
          <cell r="E1636">
            <v>1</v>
          </cell>
          <cell r="F1636" t="str">
            <v>Kölcsönök visszatérülése államháztartáson belülröl</v>
          </cell>
        </row>
        <row r="1637">
          <cell r="A1637" t="str">
            <v>75</v>
          </cell>
          <cell r="B1637" t="str">
            <v>98</v>
          </cell>
          <cell r="C1637" t="str">
            <v>1</v>
          </cell>
          <cell r="D1637" t="str">
            <v>B</v>
          </cell>
          <cell r="E1637">
            <v>1</v>
          </cell>
          <cell r="F1637" t="str">
            <v>Kölcsönök visszatérülése államháztartáson kivülröl</v>
          </cell>
        </row>
        <row r="1638">
          <cell r="A1638" t="str">
            <v>76</v>
          </cell>
          <cell r="B1638" t="str">
            <v>98</v>
          </cell>
          <cell r="C1638" t="str">
            <v>1</v>
          </cell>
          <cell r="D1638" t="str">
            <v>B</v>
          </cell>
          <cell r="E1638">
            <v>1</v>
          </cell>
          <cell r="F1638" t="str">
            <v>Kölcsönök igénybevétele államháztartáson belülröl</v>
          </cell>
        </row>
        <row r="1639">
          <cell r="A1639" t="str">
            <v>77</v>
          </cell>
          <cell r="B1639" t="str">
            <v>98</v>
          </cell>
          <cell r="C1639" t="str">
            <v>1</v>
          </cell>
          <cell r="D1639" t="str">
            <v>B</v>
          </cell>
          <cell r="E1639">
            <v>1</v>
          </cell>
          <cell r="F1639" t="str">
            <v>Osztalékok,koncesszios dijak</v>
          </cell>
        </row>
        <row r="1640">
          <cell r="A1640" t="str">
            <v>78</v>
          </cell>
          <cell r="B1640" t="str">
            <v>98</v>
          </cell>
          <cell r="C1640" t="str">
            <v>1</v>
          </cell>
          <cell r="D1640" t="str">
            <v>B</v>
          </cell>
          <cell r="E1640">
            <v>1</v>
          </cell>
          <cell r="F1640" t="str">
            <v>Pénzügyi befektetések bevételeiböl részesedések</v>
          </cell>
        </row>
        <row r="1641">
          <cell r="A1641" t="str">
            <v>79</v>
          </cell>
          <cell r="B1641" t="str">
            <v>98</v>
          </cell>
          <cell r="C1641" t="str">
            <v>1</v>
          </cell>
          <cell r="D1641" t="str">
            <v>B</v>
          </cell>
          <cell r="E1641">
            <v>1</v>
          </cell>
          <cell r="F1641" t="str">
            <v>Adok és adojellegü bevételek</v>
          </cell>
        </row>
        <row r="1642">
          <cell r="A1642" t="str">
            <v>80</v>
          </cell>
          <cell r="B1642" t="str">
            <v>98</v>
          </cell>
          <cell r="C1642" t="str">
            <v>1</v>
          </cell>
          <cell r="D1642" t="str">
            <v>B</v>
          </cell>
          <cell r="E1642">
            <v>1</v>
          </cell>
          <cell r="F1642" t="str">
            <v>Törvény szerinti bevételek (46+..+49+60+61+62+73+..+79)</v>
          </cell>
        </row>
        <row r="1643">
          <cell r="A1643" t="str">
            <v>81</v>
          </cell>
          <cell r="B1643" t="str">
            <v>98</v>
          </cell>
          <cell r="C1643" t="str">
            <v>1</v>
          </cell>
          <cell r="D1643" t="str">
            <v>B</v>
          </cell>
          <cell r="E1643">
            <v>1</v>
          </cell>
          <cell r="F1643" t="str">
            <v>Törvény szerinti kiadások és bevételek egyenlege(45-80)</v>
          </cell>
        </row>
        <row r="1644">
          <cell r="A1644" t="str">
            <v>82</v>
          </cell>
          <cell r="B1644" t="str">
            <v>98</v>
          </cell>
          <cell r="C1644" t="str">
            <v>1</v>
          </cell>
          <cell r="D1644" t="str">
            <v>B</v>
          </cell>
          <cell r="E1644">
            <v>1</v>
          </cell>
          <cell r="F1644" t="str">
            <v>Müködési költségvetés támogatása</v>
          </cell>
        </row>
        <row r="1645">
          <cell r="A1645" t="str">
            <v>83</v>
          </cell>
          <cell r="B1645" t="str">
            <v>98</v>
          </cell>
          <cell r="C1645" t="str">
            <v>1</v>
          </cell>
          <cell r="D1645" t="str">
            <v>B</v>
          </cell>
          <cell r="E1645">
            <v>1</v>
          </cell>
          <cell r="F1645" t="str">
            <v>Intézményi felhalmozási kiadások támogatása</v>
          </cell>
        </row>
        <row r="1646">
          <cell r="A1646" t="str">
            <v>84</v>
          </cell>
          <cell r="B1646" t="str">
            <v>98</v>
          </cell>
          <cell r="C1646" t="str">
            <v>1</v>
          </cell>
          <cell r="D1646" t="str">
            <v>B</v>
          </cell>
          <cell r="E1646">
            <v>1</v>
          </cell>
          <cell r="F1646" t="str">
            <v>Központi felhalmozási kiadások támogatása</v>
          </cell>
        </row>
        <row r="1647">
          <cell r="A1647" t="str">
            <v>85</v>
          </cell>
          <cell r="B1647" t="str">
            <v>98</v>
          </cell>
          <cell r="C1647" t="str">
            <v>1</v>
          </cell>
          <cell r="D1647" t="str">
            <v>B</v>
          </cell>
          <cell r="E1647">
            <v>1</v>
          </cell>
          <cell r="F1647" t="str">
            <v>Fejezeti kezelésü elöirányzatok támogatása</v>
          </cell>
        </row>
        <row r="1648">
          <cell r="A1648" t="str">
            <v>86</v>
          </cell>
          <cell r="B1648" t="str">
            <v>98</v>
          </cell>
          <cell r="C1648" t="str">
            <v>1</v>
          </cell>
          <cell r="D1648" t="str">
            <v>B</v>
          </cell>
          <cell r="E1648">
            <v>1</v>
          </cell>
          <cell r="F1648" t="str">
            <v>Költségvetési támogatás                     (82+...+85)</v>
          </cell>
        </row>
        <row r="1649">
          <cell r="A1649" t="str">
            <v>87</v>
          </cell>
          <cell r="B1649" t="str">
            <v>98</v>
          </cell>
          <cell r="C1649" t="str">
            <v>1</v>
          </cell>
          <cell r="D1649" t="str">
            <v>B</v>
          </cell>
          <cell r="E1649">
            <v>1</v>
          </cell>
          <cell r="F1649" t="str">
            <v>Kiadások és bevételek egyenlege (költ.tám.-sal) (81-86)</v>
          </cell>
        </row>
        <row r="1650">
          <cell r="A1650" t="str">
            <v>88</v>
          </cell>
          <cell r="B1650" t="str">
            <v>98</v>
          </cell>
          <cell r="C1650" t="str">
            <v>1</v>
          </cell>
          <cell r="D1650" t="str">
            <v>B</v>
          </cell>
          <cell r="E1650">
            <v>1</v>
          </cell>
          <cell r="F1650" t="str">
            <v>Kiadásbol:müködésböl felhalmozás keresztfinanszirozása</v>
          </cell>
        </row>
        <row r="1651">
          <cell r="A1651" t="str">
            <v>89</v>
          </cell>
          <cell r="B1651" t="str">
            <v>98</v>
          </cell>
          <cell r="C1651" t="str">
            <v>1</v>
          </cell>
          <cell r="D1651" t="str">
            <v>B</v>
          </cell>
          <cell r="E1651">
            <v>1</v>
          </cell>
          <cell r="F1651" t="str">
            <v>Kiadásbol:felhalmozásbol müködés keresztfinanszirozása</v>
          </cell>
        </row>
        <row r="1652">
          <cell r="A1652" t="str">
            <v>90</v>
          </cell>
          <cell r="B1652" t="str">
            <v>98</v>
          </cell>
          <cell r="C1652" t="str">
            <v>1</v>
          </cell>
          <cell r="D1652" t="str">
            <v>B</v>
          </cell>
          <cell r="E1652">
            <v>1</v>
          </cell>
          <cell r="F1652" t="str">
            <v>Mük.költségvetés elöir.-maradv.pénzmar.igénybevétele</v>
          </cell>
        </row>
        <row r="1653">
          <cell r="A1653" t="str">
            <v>91</v>
          </cell>
          <cell r="B1653" t="str">
            <v>98</v>
          </cell>
          <cell r="C1653" t="str">
            <v>1</v>
          </cell>
          <cell r="D1653" t="str">
            <v>B</v>
          </cell>
          <cell r="E1653">
            <v>1</v>
          </cell>
          <cell r="F1653" t="str">
            <v>Intézm.felhalmozási kiadások elöir.-maradv. igénybevétele</v>
          </cell>
        </row>
        <row r="1654">
          <cell r="A1654" t="str">
            <v>92</v>
          </cell>
          <cell r="B1654" t="str">
            <v>98</v>
          </cell>
          <cell r="C1654" t="str">
            <v>1</v>
          </cell>
          <cell r="D1654" t="str">
            <v>B</v>
          </cell>
          <cell r="E1654">
            <v>1</v>
          </cell>
          <cell r="F1654" t="str">
            <v>Központi felhalmozási kiadások elöir.-maradv. igénybevétele</v>
          </cell>
        </row>
        <row r="1655">
          <cell r="A1655" t="str">
            <v>93</v>
          </cell>
          <cell r="B1655" t="str">
            <v>98</v>
          </cell>
          <cell r="C1655" t="str">
            <v>1</v>
          </cell>
          <cell r="D1655" t="str">
            <v>B</v>
          </cell>
          <cell r="E1655">
            <v>1</v>
          </cell>
          <cell r="F1655" t="str">
            <v>Fejezeti kez.(spec.)elöir.ányzatok elöir.-maradv. igénybev.</v>
          </cell>
        </row>
        <row r="1656">
          <cell r="A1656" t="str">
            <v>94</v>
          </cell>
          <cell r="B1656" t="str">
            <v>98</v>
          </cell>
          <cell r="C1656" t="str">
            <v>1</v>
          </cell>
          <cell r="D1656" t="str">
            <v>B</v>
          </cell>
          <cell r="E1656">
            <v>1</v>
          </cell>
          <cell r="F1656" t="str">
            <v>Elözö évi elöir.-maradv.,pénzm.igénybevétele  (90+..+93)</v>
          </cell>
        </row>
        <row r="1657">
          <cell r="A1657" t="str">
            <v>95</v>
          </cell>
          <cell r="B1657" t="str">
            <v>98</v>
          </cell>
          <cell r="C1657" t="str">
            <v>1</v>
          </cell>
          <cell r="D1657" t="str">
            <v>B</v>
          </cell>
          <cell r="E1657">
            <v>1</v>
          </cell>
          <cell r="F1657" t="str">
            <v>Rövid lejáratu hitelek törlesztése</v>
          </cell>
        </row>
        <row r="1658">
          <cell r="A1658" t="str">
            <v>96</v>
          </cell>
          <cell r="B1658" t="str">
            <v>98</v>
          </cell>
          <cell r="C1658" t="str">
            <v>1</v>
          </cell>
          <cell r="D1658" t="str">
            <v>B</v>
          </cell>
          <cell r="E1658">
            <v>1</v>
          </cell>
          <cell r="F1658" t="str">
            <v>Hosszu lejáratu hitelek törlesztése</v>
          </cell>
        </row>
        <row r="1659">
          <cell r="A1659" t="str">
            <v>97</v>
          </cell>
          <cell r="B1659" t="str">
            <v>98</v>
          </cell>
          <cell r="C1659" t="str">
            <v>1</v>
          </cell>
          <cell r="D1659" t="str">
            <v>B</v>
          </cell>
          <cell r="E1659">
            <v>1</v>
          </cell>
          <cell r="F1659" t="str">
            <v>Rövid lejáratu értékpapirok kiadásai</v>
          </cell>
        </row>
        <row r="1660">
          <cell r="A1660" t="str">
            <v>98</v>
          </cell>
          <cell r="B1660" t="str">
            <v>98</v>
          </cell>
          <cell r="C1660" t="str">
            <v>1</v>
          </cell>
          <cell r="D1660" t="str">
            <v>B</v>
          </cell>
          <cell r="E1660">
            <v>1</v>
          </cell>
          <cell r="F1660" t="str">
            <v>Hosszu lejáratu értékpapirok kiadásai</v>
          </cell>
        </row>
        <row r="1661">
          <cell r="A1661" t="str">
            <v>99</v>
          </cell>
          <cell r="B1661" t="str">
            <v>98</v>
          </cell>
          <cell r="C1661" t="str">
            <v>1</v>
          </cell>
          <cell r="D1661" t="str">
            <v>B</v>
          </cell>
          <cell r="E1661">
            <v>1</v>
          </cell>
          <cell r="F1661" t="str">
            <v>Hiteltörlesztés külföldre</v>
          </cell>
        </row>
        <row r="1662">
          <cell r="A1662" t="str">
            <v>100</v>
          </cell>
          <cell r="B1662" t="str">
            <v>98</v>
          </cell>
          <cell r="C1662" t="str">
            <v>1</v>
          </cell>
          <cell r="D1662" t="str">
            <v>B</v>
          </cell>
          <cell r="E1662">
            <v>1</v>
          </cell>
          <cell r="F1662" t="str">
            <v>Egyéb finanszirozás kiadásai</v>
          </cell>
        </row>
        <row r="1663">
          <cell r="A1663" t="str">
            <v>101</v>
          </cell>
          <cell r="B1663" t="str">
            <v>98</v>
          </cell>
          <cell r="C1663" t="str">
            <v>1</v>
          </cell>
          <cell r="D1663" t="str">
            <v>B</v>
          </cell>
          <cell r="E1663">
            <v>1</v>
          </cell>
          <cell r="F1663" t="str">
            <v>Finanszirozási kiadások                   (95+...+100)</v>
          </cell>
        </row>
        <row r="1664">
          <cell r="A1664" t="str">
            <v>102</v>
          </cell>
          <cell r="B1664" t="str">
            <v>98</v>
          </cell>
          <cell r="C1664" t="str">
            <v>1</v>
          </cell>
          <cell r="D1664" t="str">
            <v>B</v>
          </cell>
          <cell r="E1664">
            <v>1</v>
          </cell>
          <cell r="F1664" t="str">
            <v>Rövid lejáratu hitelek bevételei</v>
          </cell>
        </row>
        <row r="1665">
          <cell r="A1665" t="str">
            <v>103</v>
          </cell>
          <cell r="B1665" t="str">
            <v>98</v>
          </cell>
          <cell r="C1665" t="str">
            <v>1</v>
          </cell>
          <cell r="D1665" t="str">
            <v>B</v>
          </cell>
          <cell r="E1665">
            <v>1</v>
          </cell>
          <cell r="F1665" t="str">
            <v>Hosszu lejáratu hitelek bevételei</v>
          </cell>
        </row>
        <row r="1666">
          <cell r="A1666" t="str">
            <v>104</v>
          </cell>
          <cell r="B1666" t="str">
            <v>98</v>
          </cell>
          <cell r="C1666" t="str">
            <v>1</v>
          </cell>
          <cell r="D1666" t="str">
            <v>B</v>
          </cell>
          <cell r="E1666">
            <v>1</v>
          </cell>
          <cell r="F1666" t="str">
            <v>Rövid lejáratu értékpapirok bevételei</v>
          </cell>
        </row>
        <row r="1667">
          <cell r="A1667" t="str">
            <v>105</v>
          </cell>
          <cell r="B1667" t="str">
            <v>98</v>
          </cell>
          <cell r="C1667" t="str">
            <v>1</v>
          </cell>
          <cell r="D1667" t="str">
            <v>B</v>
          </cell>
          <cell r="E1667">
            <v>1</v>
          </cell>
          <cell r="F1667" t="str">
            <v>Hosszu lejáratu értékpapirok bevételei</v>
          </cell>
        </row>
        <row r="1668">
          <cell r="A1668" t="str">
            <v>106</v>
          </cell>
          <cell r="B1668" t="str">
            <v>98</v>
          </cell>
          <cell r="C1668" t="str">
            <v>1</v>
          </cell>
          <cell r="D1668" t="str">
            <v>B</v>
          </cell>
          <cell r="E1668">
            <v>1</v>
          </cell>
          <cell r="F1668" t="str">
            <v>Hitelfelvétel külföldröl</v>
          </cell>
        </row>
        <row r="1669">
          <cell r="A1669" t="str">
            <v>107</v>
          </cell>
          <cell r="B1669" t="str">
            <v>98</v>
          </cell>
          <cell r="C1669" t="str">
            <v>1</v>
          </cell>
          <cell r="D1669" t="str">
            <v>B</v>
          </cell>
          <cell r="E1669">
            <v>1</v>
          </cell>
          <cell r="F1669" t="str">
            <v>Egyéb finanszirozás bevételei</v>
          </cell>
        </row>
        <row r="1670">
          <cell r="A1670" t="str">
            <v>108</v>
          </cell>
          <cell r="B1670" t="str">
            <v>98</v>
          </cell>
          <cell r="C1670" t="str">
            <v>1</v>
          </cell>
          <cell r="D1670" t="str">
            <v>B</v>
          </cell>
          <cell r="E1670">
            <v>1</v>
          </cell>
          <cell r="F1670" t="str">
            <v>Finanszirozási bevételek                 (102+...+107)</v>
          </cell>
        </row>
        <row r="1671">
          <cell r="A1671" t="str">
            <v>109</v>
          </cell>
          <cell r="B1671" t="str">
            <v>98</v>
          </cell>
          <cell r="C1671" t="str">
            <v>1</v>
          </cell>
          <cell r="D1671" t="str">
            <v>B</v>
          </cell>
          <cell r="E1671">
            <v>1</v>
          </cell>
          <cell r="F1671" t="str">
            <v>Finanszirozás összesen              (94-101+108) (87)</v>
          </cell>
        </row>
        <row r="1672">
          <cell r="A1672" t="str">
            <v>110</v>
          </cell>
          <cell r="B1672" t="str">
            <v>98</v>
          </cell>
          <cell r="C1672" t="str">
            <v>1</v>
          </cell>
          <cell r="D1672" t="str">
            <v>B</v>
          </cell>
          <cell r="E1672">
            <v>1</v>
          </cell>
          <cell r="F1672" t="str">
            <v>Foglalkoztatottak létszáma(fö) - idöszakra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lap4"/>
      <sheetName val="pedagógus"/>
      <sheetName val="pótlékok"/>
      <sheetName val="technikai"/>
    </sheetNames>
    <sheetDataSet>
      <sheetData sheetId="0" refreshError="1">
        <row r="1">
          <cell r="A1" t="str">
            <v>Fizetési fokozat</v>
          </cell>
          <cell r="B1" t="str">
            <v>Besorolás dec.1.</v>
          </cell>
          <cell r="C1" t="str">
            <v>Besorolás jan.1</v>
          </cell>
          <cell r="D1" t="str">
            <v>Besorolás szept.1.</v>
          </cell>
        </row>
        <row r="2">
          <cell r="A2" t="str">
            <v>A01</v>
          </cell>
          <cell r="B2">
            <v>50000</v>
          </cell>
          <cell r="C2">
            <v>57000</v>
          </cell>
          <cell r="D2">
            <v>59600</v>
          </cell>
        </row>
        <row r="3">
          <cell r="A3" t="str">
            <v>A02</v>
          </cell>
          <cell r="B3">
            <v>51500</v>
          </cell>
          <cell r="C3">
            <v>58400</v>
          </cell>
          <cell r="D3">
            <v>61100</v>
          </cell>
        </row>
        <row r="4">
          <cell r="A4" t="str">
            <v>A03</v>
          </cell>
          <cell r="B4">
            <v>53000</v>
          </cell>
          <cell r="C4">
            <v>59900</v>
          </cell>
          <cell r="D4">
            <v>62600</v>
          </cell>
        </row>
        <row r="5">
          <cell r="A5" t="str">
            <v>A04</v>
          </cell>
          <cell r="B5">
            <v>54500</v>
          </cell>
          <cell r="C5">
            <v>61300</v>
          </cell>
          <cell r="D5">
            <v>64100</v>
          </cell>
        </row>
        <row r="6">
          <cell r="A6" t="str">
            <v>A05</v>
          </cell>
          <cell r="B6">
            <v>56000</v>
          </cell>
          <cell r="C6">
            <v>62700</v>
          </cell>
          <cell r="D6">
            <v>65600</v>
          </cell>
        </row>
        <row r="7">
          <cell r="A7" t="str">
            <v>A06</v>
          </cell>
          <cell r="B7">
            <v>57500</v>
          </cell>
          <cell r="C7">
            <v>64100</v>
          </cell>
          <cell r="D7">
            <v>67100</v>
          </cell>
        </row>
        <row r="8">
          <cell r="A8" t="str">
            <v>A07</v>
          </cell>
          <cell r="B8">
            <v>59000</v>
          </cell>
          <cell r="C8">
            <v>65600</v>
          </cell>
          <cell r="D8">
            <v>68500</v>
          </cell>
        </row>
        <row r="9">
          <cell r="A9" t="str">
            <v>A08</v>
          </cell>
          <cell r="B9">
            <v>60500</v>
          </cell>
          <cell r="C9">
            <v>67000</v>
          </cell>
          <cell r="D9">
            <v>70000</v>
          </cell>
        </row>
        <row r="10">
          <cell r="A10" t="str">
            <v>A09</v>
          </cell>
          <cell r="B10">
            <v>62000</v>
          </cell>
          <cell r="C10">
            <v>68400</v>
          </cell>
          <cell r="D10">
            <v>71500</v>
          </cell>
        </row>
        <row r="11">
          <cell r="A11" t="str">
            <v>A10</v>
          </cell>
          <cell r="B11">
            <v>63500</v>
          </cell>
          <cell r="C11">
            <v>69800</v>
          </cell>
          <cell r="D11">
            <v>73000</v>
          </cell>
        </row>
        <row r="12">
          <cell r="A12" t="str">
            <v>A11</v>
          </cell>
          <cell r="B12">
            <v>65000</v>
          </cell>
          <cell r="C12">
            <v>71300</v>
          </cell>
          <cell r="D12">
            <v>74500</v>
          </cell>
        </row>
        <row r="13">
          <cell r="A13" t="str">
            <v>A12</v>
          </cell>
          <cell r="B13">
            <v>66500</v>
          </cell>
          <cell r="C13">
            <v>72700</v>
          </cell>
          <cell r="D13">
            <v>76000</v>
          </cell>
        </row>
        <row r="14">
          <cell r="A14" t="str">
            <v>A13</v>
          </cell>
          <cell r="B14">
            <v>68000</v>
          </cell>
          <cell r="C14">
            <v>74100</v>
          </cell>
          <cell r="D14">
            <v>77500</v>
          </cell>
        </row>
        <row r="15">
          <cell r="A15" t="str">
            <v>A14</v>
          </cell>
          <cell r="B15">
            <v>69500</v>
          </cell>
          <cell r="C15">
            <v>75500</v>
          </cell>
          <cell r="D15">
            <v>79000</v>
          </cell>
        </row>
        <row r="16">
          <cell r="A16" t="str">
            <v>B01</v>
          </cell>
          <cell r="B16">
            <v>56000</v>
          </cell>
          <cell r="C16">
            <v>60200</v>
          </cell>
          <cell r="D16">
            <v>62900</v>
          </cell>
        </row>
        <row r="17">
          <cell r="A17" t="str">
            <v>B02</v>
          </cell>
          <cell r="B17">
            <v>58200</v>
          </cell>
          <cell r="C17">
            <v>62600</v>
          </cell>
          <cell r="D17">
            <v>65400</v>
          </cell>
        </row>
        <row r="18">
          <cell r="A18" t="str">
            <v>B03</v>
          </cell>
          <cell r="B18">
            <v>60500</v>
          </cell>
          <cell r="C18">
            <v>65000</v>
          </cell>
          <cell r="D18">
            <v>67900</v>
          </cell>
        </row>
        <row r="19">
          <cell r="A19" t="str">
            <v>B04</v>
          </cell>
          <cell r="B19">
            <v>62700</v>
          </cell>
          <cell r="C19">
            <v>67400</v>
          </cell>
          <cell r="D19">
            <v>70400</v>
          </cell>
        </row>
        <row r="20">
          <cell r="A20" t="str">
            <v>B05</v>
          </cell>
          <cell r="B20">
            <v>65000</v>
          </cell>
          <cell r="C20">
            <v>69800</v>
          </cell>
          <cell r="D20">
            <v>73000</v>
          </cell>
        </row>
        <row r="21">
          <cell r="A21" t="str">
            <v>B06</v>
          </cell>
          <cell r="B21">
            <v>67200</v>
          </cell>
          <cell r="C21">
            <v>72200</v>
          </cell>
          <cell r="D21">
            <v>75500</v>
          </cell>
        </row>
        <row r="22">
          <cell r="A22" t="str">
            <v>B07</v>
          </cell>
          <cell r="B22">
            <v>69400</v>
          </cell>
          <cell r="C22">
            <v>74600</v>
          </cell>
          <cell r="D22">
            <v>78000</v>
          </cell>
        </row>
        <row r="23">
          <cell r="A23" t="str">
            <v>B08</v>
          </cell>
          <cell r="B23">
            <v>71700</v>
          </cell>
          <cell r="C23">
            <v>77100</v>
          </cell>
          <cell r="D23">
            <v>80500</v>
          </cell>
        </row>
        <row r="24">
          <cell r="A24" t="str">
            <v>B09</v>
          </cell>
          <cell r="B24">
            <v>73900</v>
          </cell>
          <cell r="C24">
            <v>79500</v>
          </cell>
          <cell r="D24">
            <v>83000</v>
          </cell>
        </row>
        <row r="25">
          <cell r="A25" t="str">
            <v>B10</v>
          </cell>
          <cell r="B25">
            <v>76200</v>
          </cell>
          <cell r="C25">
            <v>81900</v>
          </cell>
          <cell r="D25">
            <v>85500</v>
          </cell>
        </row>
        <row r="26">
          <cell r="A26" t="str">
            <v>B11</v>
          </cell>
          <cell r="B26">
            <v>78400</v>
          </cell>
          <cell r="C26">
            <v>84300</v>
          </cell>
          <cell r="D26">
            <v>88100</v>
          </cell>
        </row>
        <row r="27">
          <cell r="A27" t="str">
            <v>B12</v>
          </cell>
          <cell r="B27">
            <v>80600</v>
          </cell>
          <cell r="C27">
            <v>86700</v>
          </cell>
          <cell r="D27">
            <v>90600</v>
          </cell>
        </row>
        <row r="28">
          <cell r="A28" t="str">
            <v>B13</v>
          </cell>
          <cell r="B28">
            <v>82900</v>
          </cell>
          <cell r="C28">
            <v>89100</v>
          </cell>
          <cell r="D28">
            <v>93100</v>
          </cell>
        </row>
        <row r="29">
          <cell r="A29" t="str">
            <v>B14</v>
          </cell>
          <cell r="B29">
            <v>85100</v>
          </cell>
          <cell r="C29">
            <v>91500</v>
          </cell>
          <cell r="D29">
            <v>95600</v>
          </cell>
        </row>
        <row r="30">
          <cell r="A30" t="str">
            <v>C01</v>
          </cell>
          <cell r="B30">
            <v>58000</v>
          </cell>
          <cell r="C30">
            <v>62400</v>
          </cell>
          <cell r="D30">
            <v>65200</v>
          </cell>
        </row>
        <row r="31">
          <cell r="A31" t="str">
            <v>C02</v>
          </cell>
          <cell r="B31">
            <v>60300</v>
          </cell>
          <cell r="C31">
            <v>64900</v>
          </cell>
          <cell r="D31">
            <v>67800</v>
          </cell>
        </row>
        <row r="32">
          <cell r="A32" t="str">
            <v>C03</v>
          </cell>
          <cell r="B32">
            <v>62600</v>
          </cell>
          <cell r="C32">
            <v>67400</v>
          </cell>
          <cell r="D32">
            <v>70400</v>
          </cell>
        </row>
        <row r="33">
          <cell r="A33" t="str">
            <v>C04</v>
          </cell>
          <cell r="B33">
            <v>65000</v>
          </cell>
          <cell r="C33">
            <v>69900</v>
          </cell>
          <cell r="D33">
            <v>73000</v>
          </cell>
        </row>
        <row r="34">
          <cell r="A34" t="str">
            <v>C05</v>
          </cell>
          <cell r="B34">
            <v>67300</v>
          </cell>
          <cell r="C34">
            <v>72400</v>
          </cell>
          <cell r="D34">
            <v>75600</v>
          </cell>
        </row>
        <row r="35">
          <cell r="A35" t="str">
            <v>C06</v>
          </cell>
          <cell r="B35">
            <v>69600</v>
          </cell>
          <cell r="C35">
            <v>74900</v>
          </cell>
          <cell r="D35">
            <v>78200</v>
          </cell>
        </row>
        <row r="36">
          <cell r="A36" t="str">
            <v>C07</v>
          </cell>
          <cell r="B36">
            <v>71900</v>
          </cell>
          <cell r="C36">
            <v>77400</v>
          </cell>
          <cell r="D36">
            <v>80800</v>
          </cell>
        </row>
        <row r="37">
          <cell r="A37" t="str">
            <v>C08</v>
          </cell>
          <cell r="B37">
            <v>74200</v>
          </cell>
          <cell r="C37">
            <v>79900</v>
          </cell>
          <cell r="D37">
            <v>83500</v>
          </cell>
        </row>
        <row r="38">
          <cell r="A38" t="str">
            <v>C09</v>
          </cell>
          <cell r="B38">
            <v>76600</v>
          </cell>
          <cell r="C38">
            <v>82400</v>
          </cell>
          <cell r="D38">
            <v>86100</v>
          </cell>
        </row>
        <row r="39">
          <cell r="A39" t="str">
            <v>C10</v>
          </cell>
          <cell r="B39">
            <v>78900</v>
          </cell>
          <cell r="C39">
            <v>84900</v>
          </cell>
          <cell r="D39">
            <v>88700</v>
          </cell>
        </row>
        <row r="40">
          <cell r="A40" t="str">
            <v>C11</v>
          </cell>
          <cell r="B40">
            <v>81200</v>
          </cell>
          <cell r="C40">
            <v>87400</v>
          </cell>
          <cell r="D40">
            <v>91300</v>
          </cell>
        </row>
        <row r="41">
          <cell r="A41" t="str">
            <v>C12</v>
          </cell>
          <cell r="B41">
            <v>83500</v>
          </cell>
          <cell r="C41">
            <v>89900</v>
          </cell>
          <cell r="D41">
            <v>93900</v>
          </cell>
        </row>
        <row r="42">
          <cell r="A42" t="str">
            <v>C13</v>
          </cell>
          <cell r="B42">
            <v>85800</v>
          </cell>
          <cell r="C42">
            <v>92400</v>
          </cell>
          <cell r="D42">
            <v>96500</v>
          </cell>
        </row>
        <row r="43">
          <cell r="A43" t="str">
            <v>C14</v>
          </cell>
          <cell r="B43">
            <v>88200</v>
          </cell>
          <cell r="C43">
            <v>94800</v>
          </cell>
          <cell r="D43">
            <v>99100</v>
          </cell>
        </row>
        <row r="44">
          <cell r="A44" t="str">
            <v>D01</v>
          </cell>
          <cell r="B44">
            <v>60000</v>
          </cell>
          <cell r="C44">
            <v>64500</v>
          </cell>
          <cell r="D44">
            <v>67400</v>
          </cell>
        </row>
        <row r="45">
          <cell r="A45" t="str">
            <v>D02</v>
          </cell>
          <cell r="B45">
            <v>62400</v>
          </cell>
          <cell r="C45">
            <v>67100</v>
          </cell>
          <cell r="D45">
            <v>70100</v>
          </cell>
        </row>
        <row r="46">
          <cell r="A46" t="str">
            <v>D03</v>
          </cell>
          <cell r="B46">
            <v>64800</v>
          </cell>
          <cell r="C46">
            <v>69700</v>
          </cell>
          <cell r="D46">
            <v>72800</v>
          </cell>
        </row>
        <row r="47">
          <cell r="A47" t="str">
            <v>D04</v>
          </cell>
          <cell r="B47">
            <v>67200</v>
          </cell>
          <cell r="C47">
            <v>72200</v>
          </cell>
          <cell r="D47">
            <v>75500</v>
          </cell>
        </row>
        <row r="48">
          <cell r="A48" t="str">
            <v>D05</v>
          </cell>
          <cell r="B48">
            <v>69600</v>
          </cell>
          <cell r="C48">
            <v>74800</v>
          </cell>
          <cell r="D48">
            <v>78200</v>
          </cell>
        </row>
        <row r="49">
          <cell r="A49" t="str">
            <v>D06</v>
          </cell>
          <cell r="B49">
            <v>72000</v>
          </cell>
          <cell r="C49">
            <v>77400</v>
          </cell>
          <cell r="D49">
            <v>80900</v>
          </cell>
        </row>
        <row r="50">
          <cell r="A50" t="str">
            <v>D07</v>
          </cell>
          <cell r="B50">
            <v>74400</v>
          </cell>
          <cell r="C50">
            <v>80000</v>
          </cell>
          <cell r="D50">
            <v>83600</v>
          </cell>
        </row>
        <row r="51">
          <cell r="A51" t="str">
            <v>D08</v>
          </cell>
          <cell r="B51">
            <v>76800</v>
          </cell>
          <cell r="C51">
            <v>82600</v>
          </cell>
          <cell r="D51">
            <v>86300</v>
          </cell>
        </row>
        <row r="52">
          <cell r="A52" t="str">
            <v>D09</v>
          </cell>
          <cell r="B52">
            <v>79200</v>
          </cell>
          <cell r="C52">
            <v>85100</v>
          </cell>
          <cell r="D52">
            <v>89000</v>
          </cell>
        </row>
        <row r="53">
          <cell r="A53" t="str">
            <v>D10</v>
          </cell>
          <cell r="B53">
            <v>81600</v>
          </cell>
          <cell r="C53">
            <v>87700</v>
          </cell>
          <cell r="D53">
            <v>91700</v>
          </cell>
        </row>
        <row r="54">
          <cell r="A54" t="str">
            <v>D11</v>
          </cell>
          <cell r="B54">
            <v>84000</v>
          </cell>
          <cell r="C54">
            <v>90300</v>
          </cell>
          <cell r="D54">
            <v>94400</v>
          </cell>
        </row>
        <row r="55">
          <cell r="A55" t="str">
            <v>D12</v>
          </cell>
          <cell r="B55">
            <v>86400</v>
          </cell>
          <cell r="C55">
            <v>92900</v>
          </cell>
          <cell r="D55">
            <v>97100</v>
          </cell>
        </row>
        <row r="56">
          <cell r="A56" t="str">
            <v>D13</v>
          </cell>
          <cell r="B56">
            <v>88800</v>
          </cell>
          <cell r="C56">
            <v>95500</v>
          </cell>
          <cell r="D56">
            <v>99800</v>
          </cell>
        </row>
        <row r="57">
          <cell r="A57" t="str">
            <v>D14</v>
          </cell>
          <cell r="B57">
            <v>91200</v>
          </cell>
          <cell r="C57">
            <v>98000</v>
          </cell>
          <cell r="D57">
            <v>102400</v>
          </cell>
        </row>
        <row r="58">
          <cell r="A58" t="str">
            <v>E01</v>
          </cell>
          <cell r="B58">
            <v>70000</v>
          </cell>
          <cell r="C58">
            <v>75000</v>
          </cell>
          <cell r="D58">
            <v>78400</v>
          </cell>
        </row>
        <row r="59">
          <cell r="A59" t="str">
            <v>E02</v>
          </cell>
          <cell r="B59">
            <v>72800</v>
          </cell>
          <cell r="C59">
            <v>78000</v>
          </cell>
          <cell r="D59">
            <v>81500</v>
          </cell>
        </row>
        <row r="60">
          <cell r="A60" t="str">
            <v>E03</v>
          </cell>
          <cell r="B60">
            <v>75600</v>
          </cell>
          <cell r="C60">
            <v>81000</v>
          </cell>
          <cell r="D60">
            <v>84700</v>
          </cell>
        </row>
        <row r="61">
          <cell r="A61" t="str">
            <v>E04</v>
          </cell>
          <cell r="B61">
            <v>78400</v>
          </cell>
          <cell r="C61">
            <v>84000</v>
          </cell>
          <cell r="D61">
            <v>87800</v>
          </cell>
        </row>
        <row r="62">
          <cell r="A62" t="str">
            <v>E05</v>
          </cell>
          <cell r="B62">
            <v>81200</v>
          </cell>
          <cell r="C62">
            <v>87000</v>
          </cell>
          <cell r="D62">
            <v>90900</v>
          </cell>
        </row>
        <row r="63">
          <cell r="A63" t="str">
            <v>E06</v>
          </cell>
          <cell r="B63">
            <v>84000</v>
          </cell>
          <cell r="C63">
            <v>90000</v>
          </cell>
          <cell r="D63">
            <v>94100</v>
          </cell>
        </row>
        <row r="64">
          <cell r="A64" t="str">
            <v>E07</v>
          </cell>
          <cell r="B64">
            <v>86800</v>
          </cell>
          <cell r="C64">
            <v>93000</v>
          </cell>
          <cell r="D64">
            <v>97200</v>
          </cell>
        </row>
        <row r="65">
          <cell r="A65" t="str">
            <v>E08</v>
          </cell>
          <cell r="B65">
            <v>89600</v>
          </cell>
          <cell r="C65">
            <v>96000</v>
          </cell>
          <cell r="D65">
            <v>100400</v>
          </cell>
        </row>
        <row r="66">
          <cell r="A66" t="str">
            <v>E09</v>
          </cell>
          <cell r="B66">
            <v>92400</v>
          </cell>
          <cell r="C66">
            <v>99000</v>
          </cell>
          <cell r="D66">
            <v>103500</v>
          </cell>
        </row>
        <row r="67">
          <cell r="A67" t="str">
            <v>E10</v>
          </cell>
          <cell r="B67">
            <v>95200</v>
          </cell>
          <cell r="C67">
            <v>102000</v>
          </cell>
          <cell r="D67">
            <v>106600</v>
          </cell>
        </row>
        <row r="68">
          <cell r="A68" t="str">
            <v>E11</v>
          </cell>
          <cell r="B68">
            <v>98000</v>
          </cell>
          <cell r="C68">
            <v>105000</v>
          </cell>
          <cell r="D68">
            <v>109800</v>
          </cell>
        </row>
        <row r="69">
          <cell r="A69" t="str">
            <v>E12</v>
          </cell>
          <cell r="B69">
            <v>100800</v>
          </cell>
          <cell r="C69">
            <v>108000</v>
          </cell>
          <cell r="D69">
            <v>112900</v>
          </cell>
        </row>
        <row r="70">
          <cell r="A70" t="str">
            <v>E13</v>
          </cell>
          <cell r="B70">
            <v>103600</v>
          </cell>
          <cell r="C70">
            <v>111000</v>
          </cell>
          <cell r="D70">
            <v>116000</v>
          </cell>
        </row>
        <row r="71">
          <cell r="A71" t="str">
            <v>E14</v>
          </cell>
          <cell r="B71">
            <v>106400</v>
          </cell>
          <cell r="C71">
            <v>114000</v>
          </cell>
          <cell r="D71">
            <v>119200</v>
          </cell>
        </row>
        <row r="72">
          <cell r="A72" t="str">
            <v>F01</v>
          </cell>
          <cell r="B72">
            <v>100000</v>
          </cell>
          <cell r="C72">
            <v>107200</v>
          </cell>
          <cell r="D72">
            <v>112000</v>
          </cell>
        </row>
        <row r="73">
          <cell r="A73" t="str">
            <v>F02</v>
          </cell>
          <cell r="B73">
            <v>104000</v>
          </cell>
          <cell r="C73">
            <v>111500</v>
          </cell>
          <cell r="D73">
            <v>116500</v>
          </cell>
        </row>
        <row r="74">
          <cell r="A74" t="str">
            <v>F03</v>
          </cell>
          <cell r="B74">
            <v>108000</v>
          </cell>
          <cell r="C74">
            <v>115800</v>
          </cell>
          <cell r="D74">
            <v>121000</v>
          </cell>
        </row>
        <row r="75">
          <cell r="A75" t="str">
            <v>F04</v>
          </cell>
          <cell r="B75">
            <v>112000</v>
          </cell>
          <cell r="C75">
            <v>120100</v>
          </cell>
          <cell r="D75">
            <v>125400</v>
          </cell>
        </row>
        <row r="76">
          <cell r="A76" t="str">
            <v>F05</v>
          </cell>
          <cell r="B76">
            <v>117000</v>
          </cell>
          <cell r="C76">
            <v>125400</v>
          </cell>
          <cell r="D76">
            <v>131000</v>
          </cell>
        </row>
        <row r="77">
          <cell r="A77" t="str">
            <v>F06</v>
          </cell>
          <cell r="B77">
            <v>122000</v>
          </cell>
          <cell r="C77">
            <v>130800</v>
          </cell>
          <cell r="D77">
            <v>136600</v>
          </cell>
        </row>
        <row r="78">
          <cell r="A78" t="str">
            <v>F07</v>
          </cell>
          <cell r="B78">
            <v>127000</v>
          </cell>
          <cell r="C78">
            <v>136100</v>
          </cell>
          <cell r="D78">
            <v>142200</v>
          </cell>
        </row>
        <row r="79">
          <cell r="A79" t="str">
            <v>F08</v>
          </cell>
          <cell r="B79">
            <v>132000</v>
          </cell>
          <cell r="C79">
            <v>141500</v>
          </cell>
          <cell r="D79">
            <v>147800</v>
          </cell>
        </row>
        <row r="80">
          <cell r="A80" t="str">
            <v>F09</v>
          </cell>
          <cell r="B80">
            <v>137000</v>
          </cell>
          <cell r="C80">
            <v>146900</v>
          </cell>
          <cell r="D80">
            <v>153400</v>
          </cell>
        </row>
        <row r="81">
          <cell r="A81" t="str">
            <v>F10</v>
          </cell>
          <cell r="B81">
            <v>142000</v>
          </cell>
          <cell r="C81">
            <v>152200</v>
          </cell>
          <cell r="D81">
            <v>159000</v>
          </cell>
        </row>
        <row r="82">
          <cell r="A82" t="str">
            <v>F11</v>
          </cell>
          <cell r="B82">
            <v>147000</v>
          </cell>
          <cell r="C82">
            <v>157600</v>
          </cell>
          <cell r="D82">
            <v>164600</v>
          </cell>
        </row>
        <row r="83">
          <cell r="A83" t="str">
            <v>F12</v>
          </cell>
          <cell r="B83">
            <v>152000</v>
          </cell>
          <cell r="C83">
            <v>162900</v>
          </cell>
          <cell r="D83">
            <v>170200</v>
          </cell>
        </row>
        <row r="84">
          <cell r="A84" t="str">
            <v>F13</v>
          </cell>
          <cell r="B84">
            <v>157000</v>
          </cell>
          <cell r="C84">
            <v>168300</v>
          </cell>
          <cell r="D84">
            <v>175800</v>
          </cell>
        </row>
        <row r="85">
          <cell r="A85" t="str">
            <v>F14</v>
          </cell>
          <cell r="B85">
            <v>162000</v>
          </cell>
          <cell r="C85">
            <v>173700</v>
          </cell>
          <cell r="D85">
            <v>181400</v>
          </cell>
        </row>
        <row r="86">
          <cell r="A86" t="str">
            <v>G01</v>
          </cell>
          <cell r="B86">
            <v>105000</v>
          </cell>
          <cell r="C86">
            <v>112600</v>
          </cell>
          <cell r="D86">
            <v>117700</v>
          </cell>
        </row>
        <row r="87">
          <cell r="A87" t="str">
            <v>G02</v>
          </cell>
          <cell r="B87">
            <v>109200</v>
          </cell>
          <cell r="C87">
            <v>117100</v>
          </cell>
          <cell r="D87">
            <v>122400</v>
          </cell>
        </row>
        <row r="88">
          <cell r="A88" t="str">
            <v>G03</v>
          </cell>
          <cell r="B88">
            <v>113400</v>
          </cell>
          <cell r="C88">
            <v>121600</v>
          </cell>
          <cell r="D88">
            <v>127100</v>
          </cell>
        </row>
        <row r="89">
          <cell r="A89" t="str">
            <v>G04</v>
          </cell>
          <cell r="B89">
            <v>117600</v>
          </cell>
          <cell r="C89">
            <v>126100</v>
          </cell>
          <cell r="D89">
            <v>131800</v>
          </cell>
        </row>
        <row r="90">
          <cell r="A90" t="str">
            <v>G05</v>
          </cell>
          <cell r="B90">
            <v>122900</v>
          </cell>
          <cell r="C90">
            <v>131700</v>
          </cell>
          <cell r="D90">
            <v>137700</v>
          </cell>
        </row>
        <row r="91">
          <cell r="A91" t="str">
            <v>G06</v>
          </cell>
          <cell r="B91">
            <v>128100</v>
          </cell>
          <cell r="C91">
            <v>137400</v>
          </cell>
          <cell r="D91">
            <v>143600</v>
          </cell>
        </row>
        <row r="92">
          <cell r="A92" t="str">
            <v>G07</v>
          </cell>
          <cell r="B92">
            <v>133400</v>
          </cell>
          <cell r="C92">
            <v>143000</v>
          </cell>
          <cell r="D92">
            <v>149500</v>
          </cell>
        </row>
        <row r="93">
          <cell r="A93" t="str">
            <v>G08</v>
          </cell>
          <cell r="B93">
            <v>138600</v>
          </cell>
          <cell r="C93">
            <v>148600</v>
          </cell>
          <cell r="D93">
            <v>155400</v>
          </cell>
        </row>
        <row r="94">
          <cell r="A94" t="str">
            <v>G09</v>
          </cell>
          <cell r="B94">
            <v>143900</v>
          </cell>
          <cell r="C94">
            <v>154300</v>
          </cell>
          <cell r="D94">
            <v>161200</v>
          </cell>
        </row>
        <row r="95">
          <cell r="A95" t="str">
            <v>G10</v>
          </cell>
          <cell r="B95">
            <v>149100</v>
          </cell>
          <cell r="C95">
            <v>159900</v>
          </cell>
          <cell r="D95">
            <v>167100</v>
          </cell>
        </row>
        <row r="96">
          <cell r="A96" t="str">
            <v>G11</v>
          </cell>
          <cell r="B96">
            <v>154400</v>
          </cell>
          <cell r="C96">
            <v>165500</v>
          </cell>
          <cell r="D96">
            <v>173000</v>
          </cell>
        </row>
        <row r="97">
          <cell r="A97" t="str">
            <v>G12</v>
          </cell>
          <cell r="B97">
            <v>159600</v>
          </cell>
          <cell r="C97">
            <v>171200</v>
          </cell>
          <cell r="D97">
            <v>178900</v>
          </cell>
        </row>
        <row r="98">
          <cell r="A98" t="str">
            <v>G13</v>
          </cell>
          <cell r="B98">
            <v>164900</v>
          </cell>
          <cell r="C98">
            <v>176800</v>
          </cell>
          <cell r="D98">
            <v>184800</v>
          </cell>
        </row>
        <row r="99">
          <cell r="A99" t="str">
            <v>G14</v>
          </cell>
          <cell r="B99">
            <v>170100</v>
          </cell>
          <cell r="C99">
            <v>182400</v>
          </cell>
          <cell r="D99">
            <v>190700</v>
          </cell>
        </row>
        <row r="100">
          <cell r="A100" t="str">
            <v>H01</v>
          </cell>
          <cell r="B100">
            <v>107500</v>
          </cell>
          <cell r="C100">
            <v>115200</v>
          </cell>
          <cell r="D100">
            <v>120400</v>
          </cell>
        </row>
        <row r="101">
          <cell r="A101" t="str">
            <v>H02</v>
          </cell>
          <cell r="B101">
            <v>114000</v>
          </cell>
          <cell r="C101">
            <v>122100</v>
          </cell>
          <cell r="D101">
            <v>127600</v>
          </cell>
        </row>
        <row r="102">
          <cell r="A102" t="str">
            <v>H03</v>
          </cell>
          <cell r="B102">
            <v>120400</v>
          </cell>
          <cell r="C102">
            <v>129000</v>
          </cell>
          <cell r="D102">
            <v>134800</v>
          </cell>
        </row>
        <row r="103">
          <cell r="A103" t="str">
            <v>H04</v>
          </cell>
          <cell r="B103">
            <v>126900</v>
          </cell>
          <cell r="C103">
            <v>135900</v>
          </cell>
          <cell r="D103">
            <v>142100</v>
          </cell>
        </row>
        <row r="104">
          <cell r="A104" t="str">
            <v>H05</v>
          </cell>
          <cell r="B104">
            <v>133300</v>
          </cell>
          <cell r="C104">
            <v>142800</v>
          </cell>
          <cell r="D104">
            <v>149300</v>
          </cell>
        </row>
        <row r="105">
          <cell r="A105" t="str">
            <v>H06</v>
          </cell>
          <cell r="B105">
            <v>139800</v>
          </cell>
          <cell r="C105">
            <v>149800</v>
          </cell>
          <cell r="D105">
            <v>156500</v>
          </cell>
        </row>
        <row r="106">
          <cell r="A106" t="str">
            <v>H07</v>
          </cell>
          <cell r="B106">
            <v>146200</v>
          </cell>
          <cell r="C106">
            <v>156700</v>
          </cell>
          <cell r="D106">
            <v>163700</v>
          </cell>
        </row>
        <row r="107">
          <cell r="A107" t="str">
            <v>H08</v>
          </cell>
          <cell r="B107">
            <v>152700</v>
          </cell>
          <cell r="C107">
            <v>163600</v>
          </cell>
          <cell r="D107">
            <v>171000</v>
          </cell>
        </row>
        <row r="108">
          <cell r="A108" t="str">
            <v>H09</v>
          </cell>
          <cell r="B108">
            <v>159100</v>
          </cell>
          <cell r="C108">
            <v>170500</v>
          </cell>
          <cell r="D108">
            <v>178200</v>
          </cell>
        </row>
        <row r="109">
          <cell r="A109" t="str">
            <v>H10</v>
          </cell>
          <cell r="B109">
            <v>165600</v>
          </cell>
          <cell r="C109">
            <v>177400</v>
          </cell>
          <cell r="D109">
            <v>185400</v>
          </cell>
        </row>
        <row r="110">
          <cell r="A110" t="str">
            <v>H11</v>
          </cell>
          <cell r="B110">
            <v>172000</v>
          </cell>
          <cell r="C110">
            <v>184300</v>
          </cell>
          <cell r="D110">
            <v>192600</v>
          </cell>
        </row>
        <row r="111">
          <cell r="A111" t="str">
            <v>H12</v>
          </cell>
          <cell r="B111">
            <v>178500</v>
          </cell>
          <cell r="C111">
            <v>191200</v>
          </cell>
          <cell r="D111">
            <v>199900</v>
          </cell>
        </row>
        <row r="112">
          <cell r="A112" t="str">
            <v>H13</v>
          </cell>
          <cell r="B112">
            <v>186000</v>
          </cell>
          <cell r="C112">
            <v>199300</v>
          </cell>
          <cell r="D112">
            <v>208300</v>
          </cell>
        </row>
        <row r="113">
          <cell r="A113" t="str">
            <v>H14</v>
          </cell>
          <cell r="B113">
            <v>193500</v>
          </cell>
          <cell r="C113">
            <v>207400</v>
          </cell>
          <cell r="D113">
            <v>216700</v>
          </cell>
        </row>
        <row r="114">
          <cell r="A114" t="str">
            <v>I01</v>
          </cell>
          <cell r="B114">
            <v>120000</v>
          </cell>
          <cell r="C114">
            <v>128600</v>
          </cell>
          <cell r="D114">
            <v>134400</v>
          </cell>
        </row>
        <row r="115">
          <cell r="A115" t="str">
            <v>I02</v>
          </cell>
          <cell r="B115">
            <v>127200</v>
          </cell>
          <cell r="C115">
            <v>136300</v>
          </cell>
          <cell r="D115">
            <v>142500</v>
          </cell>
        </row>
        <row r="116">
          <cell r="A116" t="str">
            <v>I03</v>
          </cell>
          <cell r="B116">
            <v>134400</v>
          </cell>
          <cell r="C116">
            <v>144000</v>
          </cell>
          <cell r="D116">
            <v>150500</v>
          </cell>
        </row>
        <row r="117">
          <cell r="A117" t="str">
            <v>I04</v>
          </cell>
          <cell r="B117">
            <v>141600</v>
          </cell>
          <cell r="C117">
            <v>151700</v>
          </cell>
          <cell r="D117">
            <v>158600</v>
          </cell>
        </row>
        <row r="118">
          <cell r="A118" t="str">
            <v>I05</v>
          </cell>
          <cell r="B118">
            <v>148800</v>
          </cell>
          <cell r="C118">
            <v>159500</v>
          </cell>
          <cell r="D118">
            <v>166700</v>
          </cell>
        </row>
        <row r="119">
          <cell r="A119" t="str">
            <v>I06</v>
          </cell>
          <cell r="B119">
            <v>156000</v>
          </cell>
          <cell r="C119">
            <v>167200</v>
          </cell>
          <cell r="D119">
            <v>174700</v>
          </cell>
        </row>
        <row r="120">
          <cell r="A120" t="str">
            <v>I07</v>
          </cell>
          <cell r="B120">
            <v>163200</v>
          </cell>
          <cell r="C120">
            <v>174900</v>
          </cell>
          <cell r="D120">
            <v>182800</v>
          </cell>
        </row>
        <row r="121">
          <cell r="A121" t="str">
            <v>I08</v>
          </cell>
          <cell r="B121">
            <v>170400</v>
          </cell>
          <cell r="C121">
            <v>182600</v>
          </cell>
          <cell r="D121">
            <v>190800</v>
          </cell>
        </row>
        <row r="122">
          <cell r="A122" t="str">
            <v>I09</v>
          </cell>
          <cell r="B122">
            <v>177600</v>
          </cell>
          <cell r="C122">
            <v>190300</v>
          </cell>
          <cell r="D122">
            <v>198900</v>
          </cell>
        </row>
        <row r="123">
          <cell r="A123" t="str">
            <v>I10</v>
          </cell>
          <cell r="B123">
            <v>184800</v>
          </cell>
          <cell r="C123">
            <v>198000</v>
          </cell>
          <cell r="D123">
            <v>207000</v>
          </cell>
        </row>
        <row r="124">
          <cell r="A124" t="str">
            <v>I11</v>
          </cell>
          <cell r="B124">
            <v>192000</v>
          </cell>
          <cell r="C124">
            <v>205800</v>
          </cell>
          <cell r="D124">
            <v>215000</v>
          </cell>
        </row>
        <row r="125">
          <cell r="A125" t="str">
            <v>I12</v>
          </cell>
          <cell r="B125">
            <v>199200</v>
          </cell>
          <cell r="C125">
            <v>213500</v>
          </cell>
          <cell r="D125">
            <v>223100</v>
          </cell>
        </row>
        <row r="126">
          <cell r="A126" t="str">
            <v>I13</v>
          </cell>
          <cell r="B126">
            <v>207600</v>
          </cell>
          <cell r="C126">
            <v>222500</v>
          </cell>
          <cell r="D126">
            <v>232500</v>
          </cell>
        </row>
        <row r="127">
          <cell r="A127" t="str">
            <v>I14</v>
          </cell>
          <cell r="B127">
            <v>216000</v>
          </cell>
          <cell r="C127">
            <v>231500</v>
          </cell>
          <cell r="D127">
            <v>241900</v>
          </cell>
        </row>
        <row r="128">
          <cell r="A128" t="str">
            <v>J01</v>
          </cell>
          <cell r="B128">
            <v>132500</v>
          </cell>
          <cell r="C128">
            <v>142000</v>
          </cell>
          <cell r="D128">
            <v>148400</v>
          </cell>
        </row>
        <row r="129">
          <cell r="A129" t="str">
            <v>J02</v>
          </cell>
          <cell r="B129">
            <v>140500</v>
          </cell>
          <cell r="C129">
            <v>150500</v>
          </cell>
          <cell r="D129">
            <v>157300</v>
          </cell>
        </row>
        <row r="130">
          <cell r="A130" t="str">
            <v>J03</v>
          </cell>
          <cell r="B130">
            <v>148400</v>
          </cell>
          <cell r="C130">
            <v>159000</v>
          </cell>
          <cell r="D130">
            <v>166200</v>
          </cell>
        </row>
        <row r="131">
          <cell r="A131" t="str">
            <v>J04</v>
          </cell>
          <cell r="B131">
            <v>156400</v>
          </cell>
          <cell r="C131">
            <v>167600</v>
          </cell>
          <cell r="D131">
            <v>175100</v>
          </cell>
        </row>
        <row r="132">
          <cell r="A132" t="str">
            <v>J05</v>
          </cell>
          <cell r="B132">
            <v>164300</v>
          </cell>
          <cell r="C132">
            <v>176100</v>
          </cell>
          <cell r="D132">
            <v>184000</v>
          </cell>
        </row>
        <row r="133">
          <cell r="A133" t="str">
            <v>J06</v>
          </cell>
          <cell r="B133">
            <v>172300</v>
          </cell>
          <cell r="C133">
            <v>184600</v>
          </cell>
          <cell r="D133">
            <v>192900</v>
          </cell>
        </row>
        <row r="134">
          <cell r="A134" t="str">
            <v>J07</v>
          </cell>
          <cell r="B134">
            <v>180200</v>
          </cell>
          <cell r="C134">
            <v>193100</v>
          </cell>
          <cell r="D134">
            <v>201800</v>
          </cell>
        </row>
        <row r="135">
          <cell r="A135" t="str">
            <v>J08</v>
          </cell>
          <cell r="B135">
            <v>188200</v>
          </cell>
          <cell r="C135">
            <v>201600</v>
          </cell>
          <cell r="D135">
            <v>210700</v>
          </cell>
        </row>
        <row r="136">
          <cell r="A136" t="str">
            <v>J09</v>
          </cell>
          <cell r="B136">
            <v>196100</v>
          </cell>
          <cell r="C136">
            <v>210200</v>
          </cell>
          <cell r="D136">
            <v>219600</v>
          </cell>
        </row>
        <row r="137">
          <cell r="A137" t="str">
            <v>J10</v>
          </cell>
          <cell r="B137">
            <v>204100</v>
          </cell>
          <cell r="C137">
            <v>218700</v>
          </cell>
          <cell r="D137">
            <v>228500</v>
          </cell>
        </row>
        <row r="138">
          <cell r="A138" t="str">
            <v>J11</v>
          </cell>
          <cell r="B138">
            <v>212000</v>
          </cell>
          <cell r="C138">
            <v>227200</v>
          </cell>
          <cell r="D138">
            <v>237400</v>
          </cell>
        </row>
        <row r="139">
          <cell r="A139" t="str">
            <v>J12</v>
          </cell>
          <cell r="B139">
            <v>220000</v>
          </cell>
          <cell r="C139">
            <v>235700</v>
          </cell>
          <cell r="D139">
            <v>246300</v>
          </cell>
        </row>
        <row r="140">
          <cell r="A140" t="str">
            <v>J13</v>
          </cell>
          <cell r="B140">
            <v>229200</v>
          </cell>
          <cell r="C140">
            <v>245700</v>
          </cell>
          <cell r="D140">
            <v>256700</v>
          </cell>
        </row>
        <row r="141">
          <cell r="A141" t="str">
            <v>J14</v>
          </cell>
          <cell r="B141">
            <v>238500</v>
          </cell>
          <cell r="C141">
            <v>255600</v>
          </cell>
          <cell r="D141">
            <v>267100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YSZ042"/>
      <sheetName val="EP10"/>
      <sheetName val="Egyszbesz"/>
      <sheetName val="Egyszbesz2"/>
      <sheetName val="PAR13"/>
      <sheetName val="PAR13 (2)"/>
      <sheetName val="Munka3"/>
      <sheetName val="PAR10"/>
      <sheetName val="Munka7"/>
      <sheetName val="JO"/>
      <sheetName val="Munka8"/>
      <sheetName val="PMINT"/>
      <sheetName val="PMHIV"/>
      <sheetName val="pmelsz"/>
      <sheetName val="pmelszjav"/>
      <sheetName val="ÖNKM"/>
      <sheetName val="ÖNKM (2)"/>
      <sheetName val="HIVM "/>
      <sheetName val="INTM"/>
      <sheetName val="ESZKM"/>
      <sheetName val="Forrm"/>
      <sheetName val="38"/>
      <sheetName val="48"/>
      <sheetName val="48 (2)"/>
      <sheetName val="49"/>
      <sheetName val="49 (2)"/>
      <sheetName val="31"/>
      <sheetName val="31 (2)"/>
      <sheetName val="51"/>
      <sheetName val="51 (2)"/>
      <sheetName val="Difint"/>
      <sheetName val="31+51"/>
      <sheetName val="Központ"/>
      <sheetName val="55"/>
      <sheetName val="50"/>
      <sheetName val="HITEL2003"/>
      <sheetName val="HELYA"/>
      <sheetName val="LAKAL"/>
      <sheetName val="Létszám2004"/>
      <sheetName val="Munka2"/>
      <sheetName val="51M"/>
      <sheetName val="Munka6"/>
      <sheetName val="Munka5"/>
      <sheetName val="Munka4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SORSZAM</v>
          </cell>
          <cell r="B1" t="str">
            <v>URSZ</v>
          </cell>
          <cell r="C1" t="str">
            <v>SORF</v>
          </cell>
          <cell r="D1" t="str">
            <v>BJ</v>
          </cell>
          <cell r="E1" t="str">
            <v>VJEL</v>
          </cell>
          <cell r="F1" t="str">
            <v>URES</v>
          </cell>
          <cell r="G1" t="str">
            <v>SZOV</v>
          </cell>
          <cell r="H1" t="str">
            <v>SZ1</v>
          </cell>
          <cell r="I1" t="str">
            <v>SZ2</v>
          </cell>
        </row>
        <row r="2">
          <cell r="A2" t="str">
            <v>0</v>
          </cell>
          <cell r="B2" t="str">
            <v>01</v>
          </cell>
          <cell r="C2" t="str">
            <v>0</v>
          </cell>
          <cell r="D2" t="str">
            <v>B</v>
          </cell>
          <cell r="E2">
            <v>1</v>
          </cell>
          <cell r="F2">
            <v>25</v>
          </cell>
          <cell r="G2" t="str">
            <v>ESZKÖZÖK</v>
          </cell>
        </row>
        <row r="3">
          <cell r="A3" t="str">
            <v>1</v>
          </cell>
          <cell r="B3" t="str">
            <v>01</v>
          </cell>
          <cell r="C3" t="str">
            <v>1</v>
          </cell>
          <cell r="D3" t="str">
            <v>B</v>
          </cell>
          <cell r="E3">
            <v>1</v>
          </cell>
          <cell r="F3">
            <v>1</v>
          </cell>
          <cell r="G3" t="str">
            <v>1.Alapítás-átszervezés aktivált értéke (1111,1121)</v>
          </cell>
        </row>
        <row r="4">
          <cell r="A4" t="str">
            <v>2</v>
          </cell>
          <cell r="B4" t="str">
            <v>01</v>
          </cell>
          <cell r="C4" t="str">
            <v>1</v>
          </cell>
          <cell r="D4" t="str">
            <v>B</v>
          </cell>
          <cell r="E4">
            <v>1</v>
          </cell>
          <cell r="F4">
            <v>1</v>
          </cell>
          <cell r="G4" t="str">
            <v>2.Kisérleti fejlesztés aktivált értéke (1112,1122)</v>
          </cell>
        </row>
        <row r="5">
          <cell r="A5" t="str">
            <v>3</v>
          </cell>
          <cell r="B5" t="str">
            <v>01</v>
          </cell>
          <cell r="C5" t="str">
            <v>1</v>
          </cell>
          <cell r="D5" t="str">
            <v>B</v>
          </cell>
          <cell r="E5">
            <v>1</v>
          </cell>
          <cell r="F5">
            <v>1</v>
          </cell>
          <cell r="G5" t="str">
            <v>3.Vagyoni értékü jogok (1113,1123)</v>
          </cell>
        </row>
        <row r="6">
          <cell r="A6" t="str">
            <v>4</v>
          </cell>
          <cell r="B6" t="str">
            <v>01</v>
          </cell>
          <cell r="C6" t="str">
            <v>1</v>
          </cell>
          <cell r="D6" t="str">
            <v>B</v>
          </cell>
          <cell r="E6">
            <v>1</v>
          </cell>
          <cell r="F6">
            <v>1</v>
          </cell>
          <cell r="G6" t="str">
            <v>4.Szellemi termékek (1114,1124)</v>
          </cell>
        </row>
        <row r="7">
          <cell r="A7" t="str">
            <v>5</v>
          </cell>
          <cell r="B7" t="str">
            <v>01</v>
          </cell>
          <cell r="C7" t="str">
            <v>1</v>
          </cell>
          <cell r="D7" t="str">
            <v>B</v>
          </cell>
          <cell r="E7">
            <v>1</v>
          </cell>
          <cell r="F7">
            <v>1</v>
          </cell>
          <cell r="G7" t="str">
            <v>5.Immateriális javakra adott elölegek (1181,1182)</v>
          </cell>
        </row>
        <row r="8">
          <cell r="A8" t="str">
            <v>6</v>
          </cell>
          <cell r="B8" t="str">
            <v>01</v>
          </cell>
          <cell r="C8" t="str">
            <v>1</v>
          </cell>
          <cell r="D8" t="str">
            <v>B</v>
          </cell>
          <cell r="E8">
            <v>1</v>
          </cell>
          <cell r="F8">
            <v>0</v>
          </cell>
          <cell r="G8" t="str">
            <v>6.Immateriális javak értékhelyesbítése (119)</v>
          </cell>
        </row>
        <row r="9">
          <cell r="A9" t="str">
            <v>7</v>
          </cell>
          <cell r="B9" t="str">
            <v>01</v>
          </cell>
          <cell r="C9" t="str">
            <v>1</v>
          </cell>
          <cell r="D9" t="str">
            <v>B</v>
          </cell>
          <cell r="E9">
            <v>1</v>
          </cell>
          <cell r="F9">
            <v>0</v>
          </cell>
          <cell r="G9" t="str">
            <v>I.Immateriális javak összesen (01+...+06)</v>
          </cell>
        </row>
        <row r="10">
          <cell r="A10" t="str">
            <v>8</v>
          </cell>
          <cell r="B10" t="str">
            <v>01</v>
          </cell>
          <cell r="C10" t="str">
            <v>1</v>
          </cell>
          <cell r="D10" t="str">
            <v>B</v>
          </cell>
          <cell r="E10">
            <v>1</v>
          </cell>
          <cell r="F10">
            <v>1</v>
          </cell>
          <cell r="G10" t="str">
            <v>1.Ingatlanok és a kapcsolodó vagyoni értékű jogok (121,122)</v>
          </cell>
        </row>
        <row r="11">
          <cell r="A11" t="str">
            <v>9</v>
          </cell>
          <cell r="B11" t="str">
            <v>01</v>
          </cell>
          <cell r="C11" t="str">
            <v>1</v>
          </cell>
          <cell r="D11" t="str">
            <v>B</v>
          </cell>
          <cell r="E11">
            <v>1</v>
          </cell>
          <cell r="F11">
            <v>1</v>
          </cell>
          <cell r="G11" t="str">
            <v>2.Gépek, berendezések és felszerelések (1311,1312)</v>
          </cell>
        </row>
        <row r="12">
          <cell r="A12" t="str">
            <v>10</v>
          </cell>
          <cell r="B12" t="str">
            <v>01</v>
          </cell>
          <cell r="C12" t="str">
            <v>1</v>
          </cell>
          <cell r="D12" t="str">
            <v>B</v>
          </cell>
          <cell r="E12">
            <v>1</v>
          </cell>
          <cell r="F12">
            <v>1</v>
          </cell>
          <cell r="G12" t="str">
            <v>3.Járművek (1321,1322-ből)</v>
          </cell>
        </row>
        <row r="13">
          <cell r="A13" t="str">
            <v>11</v>
          </cell>
          <cell r="B13" t="str">
            <v>01</v>
          </cell>
          <cell r="C13" t="str">
            <v>1</v>
          </cell>
          <cell r="D13" t="str">
            <v>B</v>
          </cell>
          <cell r="E13">
            <v>1</v>
          </cell>
          <cell r="F13">
            <v>1</v>
          </cell>
          <cell r="G13" t="str">
            <v>4.Tenyészállatok (141,142-ből)</v>
          </cell>
        </row>
        <row r="14">
          <cell r="A14" t="str">
            <v>12</v>
          </cell>
          <cell r="B14" t="str">
            <v>01</v>
          </cell>
          <cell r="C14" t="str">
            <v>1</v>
          </cell>
          <cell r="D14" t="str">
            <v>B</v>
          </cell>
          <cell r="E14">
            <v>1</v>
          </cell>
          <cell r="F14">
            <v>1</v>
          </cell>
          <cell r="G14" t="str">
            <v>5.Beruházások, felújítások (1227,127,131-ből,132-ből,142-ből,147)</v>
          </cell>
        </row>
        <row r="15">
          <cell r="A15" t="str">
            <v>13</v>
          </cell>
          <cell r="B15" t="str">
            <v>01</v>
          </cell>
          <cell r="C15" t="str">
            <v>1</v>
          </cell>
          <cell r="D15" t="str">
            <v>B</v>
          </cell>
          <cell r="E15">
            <v>1</v>
          </cell>
          <cell r="F15">
            <v>1</v>
          </cell>
          <cell r="G15" t="str">
            <v>6.Beruházásra adott előlegek (128,1318,1328,148,1598,1599)</v>
          </cell>
        </row>
        <row r="16">
          <cell r="A16" t="str">
            <v>14</v>
          </cell>
          <cell r="B16" t="str">
            <v>01</v>
          </cell>
          <cell r="C16" t="str">
            <v>1</v>
          </cell>
          <cell r="D16" t="str">
            <v>B</v>
          </cell>
          <cell r="E16">
            <v>1</v>
          </cell>
          <cell r="F16">
            <v>1</v>
          </cell>
          <cell r="G16" t="str">
            <v>7.Állami készletek, tartalékok (1591,1592)</v>
          </cell>
        </row>
        <row r="17">
          <cell r="A17" t="str">
            <v>15</v>
          </cell>
          <cell r="B17" t="str">
            <v>01</v>
          </cell>
          <cell r="C17" t="str">
            <v>1</v>
          </cell>
          <cell r="D17" t="str">
            <v>B</v>
          </cell>
          <cell r="E17">
            <v>1</v>
          </cell>
          <cell r="F17">
            <v>1</v>
          </cell>
          <cell r="G17" t="str">
            <v>8.Tárgyi eszközök értékhelyesbítése (129,1319,1329,149)</v>
          </cell>
        </row>
        <row r="18">
          <cell r="A18" t="str">
            <v>16</v>
          </cell>
          <cell r="B18" t="str">
            <v>01</v>
          </cell>
          <cell r="C18" t="str">
            <v>1</v>
          </cell>
          <cell r="D18" t="str">
            <v>B</v>
          </cell>
          <cell r="E18">
            <v>1</v>
          </cell>
          <cell r="F18">
            <v>0</v>
          </cell>
          <cell r="G18" t="str">
            <v>II. Tárgyi eszközök összesen (08+...+15)</v>
          </cell>
        </row>
        <row r="19">
          <cell r="A19" t="str">
            <v>17</v>
          </cell>
          <cell r="B19" t="str">
            <v>01</v>
          </cell>
          <cell r="C19" t="str">
            <v>1</v>
          </cell>
          <cell r="D19" t="str">
            <v>B</v>
          </cell>
          <cell r="E19">
            <v>1</v>
          </cell>
          <cell r="F19">
            <v>1</v>
          </cell>
          <cell r="G19" t="str">
            <v>1.Egyéb tartós részesedés (171,1751)</v>
          </cell>
        </row>
        <row r="20">
          <cell r="A20" t="str">
            <v>18</v>
          </cell>
          <cell r="B20" t="str">
            <v>01</v>
          </cell>
          <cell r="C20" t="str">
            <v>1</v>
          </cell>
          <cell r="D20" t="str">
            <v>B</v>
          </cell>
          <cell r="E20">
            <v>1</v>
          </cell>
          <cell r="F20">
            <v>1</v>
          </cell>
          <cell r="G20" t="str">
            <v>2.Tartós hitelviszonyt megtestestesítő értékpapir (172-174,1752)</v>
          </cell>
        </row>
        <row r="21">
          <cell r="A21" t="str">
            <v>19</v>
          </cell>
          <cell r="B21" t="str">
            <v>01</v>
          </cell>
          <cell r="C21" t="str">
            <v>1</v>
          </cell>
          <cell r="D21" t="str">
            <v>B</v>
          </cell>
          <cell r="E21">
            <v>1</v>
          </cell>
          <cell r="F21">
            <v>1</v>
          </cell>
          <cell r="G21" t="str">
            <v>3.Tartósan adott kölcsön (191-194-ből,1981-ből)</v>
          </cell>
        </row>
        <row r="22">
          <cell r="A22" t="str">
            <v>20</v>
          </cell>
          <cell r="B22" t="str">
            <v>01</v>
          </cell>
          <cell r="C22" t="str">
            <v>1</v>
          </cell>
          <cell r="D22" t="str">
            <v>B</v>
          </cell>
          <cell r="E22">
            <v>1</v>
          </cell>
          <cell r="F22">
            <v>1</v>
          </cell>
          <cell r="G22" t="str">
            <v>4.Hosszú lejáratú bankbetétek (178)</v>
          </cell>
        </row>
        <row r="23">
          <cell r="A23" t="str">
            <v>21</v>
          </cell>
          <cell r="B23" t="str">
            <v>01</v>
          </cell>
          <cell r="C23" t="str">
            <v>1</v>
          </cell>
          <cell r="D23" t="str">
            <v>B</v>
          </cell>
          <cell r="E23">
            <v>1</v>
          </cell>
          <cell r="F23">
            <v>1</v>
          </cell>
          <cell r="G23" t="str">
            <v>5.Egyéb hosszu lejáratu követelések (195,1982-ből)</v>
          </cell>
        </row>
        <row r="24">
          <cell r="A24" t="str">
            <v>22</v>
          </cell>
          <cell r="B24" t="str">
            <v>01</v>
          </cell>
          <cell r="C24" t="str">
            <v>1</v>
          </cell>
          <cell r="D24" t="str">
            <v>B</v>
          </cell>
          <cell r="E24">
            <v>1</v>
          </cell>
          <cell r="F24">
            <v>0</v>
          </cell>
          <cell r="G24" t="str">
            <v>6.Befektetett pénzügyi eszközök értékhelyesbítése (179)</v>
          </cell>
        </row>
        <row r="25">
          <cell r="A25" t="str">
            <v>23</v>
          </cell>
          <cell r="B25" t="str">
            <v>01</v>
          </cell>
          <cell r="C25" t="str">
            <v>1</v>
          </cell>
          <cell r="D25" t="str">
            <v>B</v>
          </cell>
          <cell r="E25">
            <v>1</v>
          </cell>
          <cell r="F25">
            <v>0</v>
          </cell>
          <cell r="G25" t="str">
            <v>III. Befektetett pénzügyi eszközök összesen (17+...+22)</v>
          </cell>
        </row>
        <row r="26">
          <cell r="A26" t="str">
            <v>24</v>
          </cell>
          <cell r="B26" t="str">
            <v>01</v>
          </cell>
          <cell r="C26" t="str">
            <v>1</v>
          </cell>
          <cell r="D26" t="str">
            <v>B</v>
          </cell>
          <cell r="E26">
            <v>1</v>
          </cell>
          <cell r="F26">
            <v>0</v>
          </cell>
          <cell r="G26" t="str">
            <v>1.Üzemeltetésre, kezelésre átadott eszközök (161-162)</v>
          </cell>
        </row>
        <row r="27">
          <cell r="A27" t="str">
            <v>25</v>
          </cell>
          <cell r="B27" t="str">
            <v>01</v>
          </cell>
          <cell r="C27" t="str">
            <v>1</v>
          </cell>
          <cell r="D27" t="str">
            <v>B</v>
          </cell>
          <cell r="E27">
            <v>1</v>
          </cell>
          <cell r="F27">
            <v>0</v>
          </cell>
          <cell r="G27" t="str">
            <v>2.Koncesszióba adott eszközök (163,164)</v>
          </cell>
        </row>
        <row r="28">
          <cell r="A28" t="str">
            <v>26</v>
          </cell>
          <cell r="B28" t="str">
            <v>01</v>
          </cell>
          <cell r="C28" t="str">
            <v>1</v>
          </cell>
          <cell r="D28" t="str">
            <v>B</v>
          </cell>
          <cell r="E28">
            <v>1</v>
          </cell>
          <cell r="F28">
            <v>0</v>
          </cell>
          <cell r="G28" t="str">
            <v>3.Vagyonkezelésbe adott eszközök (167,168)</v>
          </cell>
        </row>
        <row r="29">
          <cell r="A29" t="str">
            <v>27</v>
          </cell>
          <cell r="B29" t="str">
            <v>01</v>
          </cell>
          <cell r="C29" t="str">
            <v>1</v>
          </cell>
          <cell r="D29" t="str">
            <v>B</v>
          </cell>
          <cell r="E29">
            <v>1</v>
          </cell>
          <cell r="F29">
            <v>0</v>
          </cell>
          <cell r="G29" t="str">
            <v>4.Vagyonkezelésbe vett eszközök (165,166)</v>
          </cell>
        </row>
        <row r="30">
          <cell r="A30" t="str">
            <v>28</v>
          </cell>
          <cell r="B30" t="str">
            <v>01</v>
          </cell>
          <cell r="C30" t="str">
            <v>1</v>
          </cell>
          <cell r="D30" t="str">
            <v>B</v>
          </cell>
          <cell r="E30">
            <v>1</v>
          </cell>
          <cell r="F30">
            <v>0</v>
          </cell>
          <cell r="G30" t="str">
            <v>5.Üzem-re,kezelésre,koncesszióba, vagyonkez-be vett eszk.értékhelyesb.</v>
          </cell>
        </row>
        <row r="31">
          <cell r="A31" t="str">
            <v>29</v>
          </cell>
          <cell r="B31" t="str">
            <v>01</v>
          </cell>
          <cell r="C31" t="str">
            <v>1</v>
          </cell>
          <cell r="D31" t="str">
            <v>B</v>
          </cell>
          <cell r="E31">
            <v>1</v>
          </cell>
          <cell r="F31">
            <v>0</v>
          </cell>
          <cell r="G31" t="str">
            <v>IV.Üzem-re,kezelésre,koncesszióba adott, vagyonkez-be vett eszk.(24+..</v>
          </cell>
        </row>
        <row r="32">
          <cell r="A32" t="str">
            <v>30</v>
          </cell>
          <cell r="B32" t="str">
            <v>01</v>
          </cell>
          <cell r="C32" t="str">
            <v>1</v>
          </cell>
          <cell r="D32" t="str">
            <v>B</v>
          </cell>
          <cell r="E32">
            <v>1</v>
          </cell>
          <cell r="F32">
            <v>0</v>
          </cell>
          <cell r="G32" t="str">
            <v>A.) BEFEKTETETT ESZKÖZÖK ÖSSZESEN (07+16+23+29)</v>
          </cell>
        </row>
        <row r="33">
          <cell r="A33" t="str">
            <v>31</v>
          </cell>
          <cell r="B33" t="str">
            <v>01</v>
          </cell>
          <cell r="C33" t="str">
            <v>1</v>
          </cell>
          <cell r="D33" t="str">
            <v>B</v>
          </cell>
          <cell r="E33">
            <v>1</v>
          </cell>
          <cell r="F33">
            <v>1</v>
          </cell>
          <cell r="G33" t="str">
            <v>1.Anyagok (21,241)</v>
          </cell>
        </row>
        <row r="34">
          <cell r="A34" t="str">
            <v>32</v>
          </cell>
          <cell r="B34" t="str">
            <v>01</v>
          </cell>
          <cell r="C34" t="str">
            <v>1</v>
          </cell>
          <cell r="D34" t="str">
            <v>B</v>
          </cell>
          <cell r="E34">
            <v>1</v>
          </cell>
          <cell r="F34">
            <v>1</v>
          </cell>
          <cell r="G34" t="str">
            <v>2.Befejezetlen termelés és félkész termékek (253,263)</v>
          </cell>
        </row>
        <row r="35">
          <cell r="A35" t="str">
            <v>33</v>
          </cell>
          <cell r="B35" t="str">
            <v>01</v>
          </cell>
          <cell r="C35" t="str">
            <v>1</v>
          </cell>
          <cell r="D35" t="str">
            <v>B</v>
          </cell>
          <cell r="E35">
            <v>1</v>
          </cell>
          <cell r="F35">
            <v>1</v>
          </cell>
          <cell r="G35" t="str">
            <v>3.Növendék-, hizó és egyéb állatok (252,262)</v>
          </cell>
        </row>
        <row r="36">
          <cell r="A36" t="str">
            <v>34</v>
          </cell>
          <cell r="B36" t="str">
            <v>01</v>
          </cell>
          <cell r="C36" t="str">
            <v>1</v>
          </cell>
          <cell r="D36" t="str">
            <v>B</v>
          </cell>
          <cell r="E36">
            <v>1</v>
          </cell>
          <cell r="F36">
            <v>1</v>
          </cell>
          <cell r="G36" t="str">
            <v>4.Késztermékek (251,261)</v>
          </cell>
        </row>
        <row r="37">
          <cell r="A37" t="str">
            <v>35</v>
          </cell>
          <cell r="B37" t="str">
            <v>01</v>
          </cell>
          <cell r="C37" t="str">
            <v>1</v>
          </cell>
          <cell r="D37" t="str">
            <v>B</v>
          </cell>
          <cell r="E37">
            <v>1</v>
          </cell>
          <cell r="F37">
            <v>1</v>
          </cell>
          <cell r="G37" t="str">
            <v>5/a Áruk,betétdíjas göngyölegek,közvetített szolgáltatás(22,23-ból,24</v>
          </cell>
        </row>
        <row r="38">
          <cell r="A38" t="str">
            <v>36</v>
          </cell>
          <cell r="B38" t="str">
            <v>01</v>
          </cell>
          <cell r="C38" t="str">
            <v>1</v>
          </cell>
          <cell r="D38" t="str">
            <v>B</v>
          </cell>
          <cell r="E38">
            <v>1</v>
          </cell>
          <cell r="F38">
            <v>1</v>
          </cell>
          <cell r="G38" t="str">
            <v>5/b Követelés fejében átvett eszközök, készletek (233,245)</v>
          </cell>
        </row>
        <row r="39">
          <cell r="A39" t="str">
            <v>37</v>
          </cell>
          <cell r="B39" t="str">
            <v>01</v>
          </cell>
          <cell r="C39" t="str">
            <v>1</v>
          </cell>
          <cell r="D39" t="str">
            <v>B</v>
          </cell>
          <cell r="E39">
            <v>1</v>
          </cell>
          <cell r="F39">
            <v>0</v>
          </cell>
          <cell r="G39" t="str">
            <v>I. Készletek összesen (31+...+36)</v>
          </cell>
        </row>
        <row r="40">
          <cell r="A40" t="str">
            <v>38</v>
          </cell>
          <cell r="B40" t="str">
            <v>01</v>
          </cell>
          <cell r="C40" t="str">
            <v>1</v>
          </cell>
          <cell r="D40" t="str">
            <v>B</v>
          </cell>
          <cell r="E40">
            <v>1</v>
          </cell>
          <cell r="F40">
            <v>1</v>
          </cell>
          <cell r="G40" t="str">
            <v>1.Követelések áruszállításból és szolgáltatásból (vevők) (282-284,288</v>
          </cell>
        </row>
        <row r="41">
          <cell r="A41" t="str">
            <v>39</v>
          </cell>
          <cell r="B41" t="str">
            <v>01</v>
          </cell>
          <cell r="C41" t="str">
            <v>1</v>
          </cell>
          <cell r="D41" t="str">
            <v>B</v>
          </cell>
          <cell r="E41">
            <v>1</v>
          </cell>
          <cell r="F41">
            <v>1</v>
          </cell>
          <cell r="G41" t="str">
            <v>2.Adósok (281,2881)</v>
          </cell>
        </row>
        <row r="42">
          <cell r="A42" t="str">
            <v>40</v>
          </cell>
          <cell r="B42" t="str">
            <v>01</v>
          </cell>
          <cell r="C42" t="str">
            <v>1</v>
          </cell>
          <cell r="D42" t="str">
            <v>B</v>
          </cell>
          <cell r="E42">
            <v>1</v>
          </cell>
          <cell r="F42">
            <v>1</v>
          </cell>
          <cell r="G42" t="str">
            <v>3.Rövid lejáratu kölcsönök(27,278)</v>
          </cell>
        </row>
        <row r="43">
          <cell r="A43" t="str">
            <v>41</v>
          </cell>
          <cell r="B43" t="str">
            <v>01</v>
          </cell>
          <cell r="C43" t="str">
            <v>1</v>
          </cell>
          <cell r="D43" t="str">
            <v>B</v>
          </cell>
          <cell r="E43">
            <v>1</v>
          </cell>
          <cell r="F43">
            <v>1</v>
          </cell>
          <cell r="G43" t="str">
            <v>4.Egyéb követelések (285-287,2885-2887,19-ből)</v>
          </cell>
        </row>
        <row r="44">
          <cell r="A44" t="str">
            <v>42</v>
          </cell>
          <cell r="B44" t="str">
            <v>01</v>
          </cell>
          <cell r="C44" t="str">
            <v>1</v>
          </cell>
          <cell r="D44" t="str">
            <v>B</v>
          </cell>
          <cell r="E44">
            <v>1</v>
          </cell>
          <cell r="F44">
            <v>2</v>
          </cell>
          <cell r="G44" t="str">
            <v>- kölcs-ből mérlegford.-napot követö évbeni részlet(191-194-ből,1981</v>
          </cell>
        </row>
        <row r="45">
          <cell r="A45" t="str">
            <v>43</v>
          </cell>
          <cell r="B45" t="str">
            <v>01</v>
          </cell>
          <cell r="C45" t="str">
            <v>1</v>
          </cell>
          <cell r="D45" t="str">
            <v>B</v>
          </cell>
          <cell r="E45">
            <v>1</v>
          </cell>
          <cell r="F45">
            <v>2</v>
          </cell>
          <cell r="G45" t="str">
            <v>- támogatási program előlege (2871)</v>
          </cell>
        </row>
        <row r="46">
          <cell r="A46" t="str">
            <v>44</v>
          </cell>
          <cell r="B46" t="str">
            <v>01</v>
          </cell>
          <cell r="C46" t="str">
            <v>1</v>
          </cell>
          <cell r="D46" t="str">
            <v>B</v>
          </cell>
          <cell r="E46">
            <v>1</v>
          </cell>
          <cell r="F46">
            <v>2</v>
          </cell>
          <cell r="G46" t="str">
            <v>- támogatási progamok szabálytalan kifizetése miatti követelés (2872</v>
          </cell>
        </row>
        <row r="47">
          <cell r="A47" t="str">
            <v>45</v>
          </cell>
          <cell r="B47" t="str">
            <v>01</v>
          </cell>
          <cell r="C47" t="str">
            <v>1</v>
          </cell>
          <cell r="D47" t="str">
            <v>B</v>
          </cell>
          <cell r="E47">
            <v>1</v>
          </cell>
          <cell r="F47">
            <v>0</v>
          </cell>
          <cell r="G47" t="str">
            <v>II. Követelések összesen (38+...+41)</v>
          </cell>
        </row>
        <row r="48">
          <cell r="A48" t="str">
            <v>46</v>
          </cell>
          <cell r="B48" t="str">
            <v>01</v>
          </cell>
          <cell r="C48" t="str">
            <v>1</v>
          </cell>
          <cell r="D48" t="str">
            <v>B</v>
          </cell>
          <cell r="E48">
            <v>1</v>
          </cell>
          <cell r="F48">
            <v>1</v>
          </cell>
          <cell r="G48" t="str">
            <v>1.Egyéb részesedés (2951,298-bol)</v>
          </cell>
        </row>
        <row r="49">
          <cell r="A49" t="str">
            <v>47</v>
          </cell>
          <cell r="B49" t="str">
            <v>01</v>
          </cell>
          <cell r="C49" t="str">
            <v>1</v>
          </cell>
          <cell r="D49" t="str">
            <v>B</v>
          </cell>
          <cell r="E49">
            <v>1</v>
          </cell>
          <cell r="F49">
            <v>1</v>
          </cell>
          <cell r="G49" t="str">
            <v>2.Forgatási célú hitelviszonyt megtestesítő értékpapírok (29-ből)</v>
          </cell>
        </row>
        <row r="50">
          <cell r="A50" t="str">
            <v>48</v>
          </cell>
          <cell r="B50" t="str">
            <v>01</v>
          </cell>
          <cell r="C50" t="str">
            <v>1</v>
          </cell>
          <cell r="D50" t="str">
            <v>B</v>
          </cell>
          <cell r="E50">
            <v>1</v>
          </cell>
          <cell r="F50">
            <v>0</v>
          </cell>
          <cell r="G50" t="str">
            <v>III. Értékpapírok összesen (39+40)</v>
          </cell>
        </row>
        <row r="51">
          <cell r="A51" t="str">
            <v>49</v>
          </cell>
          <cell r="B51" t="str">
            <v>01</v>
          </cell>
          <cell r="C51" t="str">
            <v>1</v>
          </cell>
          <cell r="D51" t="str">
            <v>B</v>
          </cell>
          <cell r="E51">
            <v>1</v>
          </cell>
          <cell r="F51">
            <v>1</v>
          </cell>
          <cell r="G51" t="str">
            <v>1.Pénztárak, csekkek, betétkönyvek (33)</v>
          </cell>
        </row>
        <row r="52">
          <cell r="A52" t="str">
            <v>50</v>
          </cell>
          <cell r="B52" t="str">
            <v>01</v>
          </cell>
          <cell r="C52" t="str">
            <v>1</v>
          </cell>
          <cell r="D52" t="str">
            <v>B</v>
          </cell>
          <cell r="E52">
            <v>1</v>
          </cell>
          <cell r="F52">
            <v>1</v>
          </cell>
          <cell r="G52" t="str">
            <v>2.Költségvetési bankszámlák (34)</v>
          </cell>
        </row>
        <row r="53">
          <cell r="A53" t="str">
            <v>51</v>
          </cell>
          <cell r="B53" t="str">
            <v>01</v>
          </cell>
          <cell r="C53" t="str">
            <v>1</v>
          </cell>
          <cell r="D53" t="str">
            <v>B</v>
          </cell>
          <cell r="E53">
            <v>1</v>
          </cell>
          <cell r="F53">
            <v>1</v>
          </cell>
          <cell r="G53" t="str">
            <v>3.Elszámolási számlák (35)</v>
          </cell>
        </row>
        <row r="54">
          <cell r="A54" t="str">
            <v>52</v>
          </cell>
          <cell r="B54" t="str">
            <v>01</v>
          </cell>
          <cell r="C54" t="str">
            <v>1</v>
          </cell>
          <cell r="D54" t="str">
            <v>B</v>
          </cell>
          <cell r="E54">
            <v>1</v>
          </cell>
          <cell r="F54">
            <v>1</v>
          </cell>
          <cell r="G54" t="str">
            <v>4.Idegen pénzeszközök (36)</v>
          </cell>
        </row>
        <row r="55">
          <cell r="A55" t="str">
            <v>53</v>
          </cell>
          <cell r="B55" t="str">
            <v>01</v>
          </cell>
          <cell r="C55" t="str">
            <v>1</v>
          </cell>
          <cell r="D55" t="str">
            <v>B</v>
          </cell>
          <cell r="E55">
            <v>1</v>
          </cell>
          <cell r="F55">
            <v>0</v>
          </cell>
          <cell r="G55" t="str">
            <v>IV. Pénzeszközök összesen (49+...+52)</v>
          </cell>
        </row>
        <row r="56">
          <cell r="A56" t="str">
            <v>54</v>
          </cell>
          <cell r="B56" t="str">
            <v>01</v>
          </cell>
          <cell r="C56" t="str">
            <v>1</v>
          </cell>
          <cell r="D56" t="str">
            <v>B</v>
          </cell>
          <cell r="E56">
            <v>1</v>
          </cell>
          <cell r="F56">
            <v>1</v>
          </cell>
          <cell r="G56" t="str">
            <v>1.Költségvetési aktív függő elszámolások (391)</v>
          </cell>
        </row>
        <row r="57">
          <cell r="A57" t="str">
            <v>55</v>
          </cell>
          <cell r="B57" t="str">
            <v>01</v>
          </cell>
          <cell r="C57" t="str">
            <v>1</v>
          </cell>
          <cell r="D57" t="str">
            <v>B</v>
          </cell>
          <cell r="E57">
            <v>1</v>
          </cell>
          <cell r="F57">
            <v>1</v>
          </cell>
          <cell r="G57" t="str">
            <v>2.Költségvetési aktív átfutó elszámolások (392,396,398)</v>
          </cell>
        </row>
        <row r="58">
          <cell r="A58" t="str">
            <v>56</v>
          </cell>
          <cell r="B58" t="str">
            <v>01</v>
          </cell>
          <cell r="C58" t="str">
            <v>1</v>
          </cell>
          <cell r="D58" t="str">
            <v>B</v>
          </cell>
          <cell r="E58">
            <v>1</v>
          </cell>
          <cell r="F58">
            <v>1</v>
          </cell>
          <cell r="G58" t="str">
            <v>3.Költségvetési aktív kiegyenlitő elszámolások (394)</v>
          </cell>
        </row>
        <row r="59">
          <cell r="A59" t="str">
            <v>57</v>
          </cell>
          <cell r="B59" t="str">
            <v>01</v>
          </cell>
          <cell r="C59" t="str">
            <v>1</v>
          </cell>
          <cell r="D59" t="str">
            <v>B</v>
          </cell>
          <cell r="E59">
            <v>1</v>
          </cell>
          <cell r="F59">
            <v>1</v>
          </cell>
          <cell r="G59" t="str">
            <v>4.Költségvetésen kívüli aktív pénzügyi elszámolások (399)</v>
          </cell>
        </row>
        <row r="60">
          <cell r="A60" t="str">
            <v>58</v>
          </cell>
          <cell r="B60" t="str">
            <v>01</v>
          </cell>
          <cell r="C60" t="str">
            <v>1</v>
          </cell>
          <cell r="D60" t="str">
            <v>B</v>
          </cell>
          <cell r="E60">
            <v>1</v>
          </cell>
          <cell r="F60">
            <v>0</v>
          </cell>
          <cell r="G60" t="str">
            <v>V. Egyéb aktív pénzügyi elszámolások összesen (54+...+57)</v>
          </cell>
        </row>
        <row r="61">
          <cell r="A61" t="str">
            <v>59</v>
          </cell>
          <cell r="B61" t="str">
            <v>01</v>
          </cell>
          <cell r="C61" t="str">
            <v>1</v>
          </cell>
          <cell r="D61" t="str">
            <v>B</v>
          </cell>
          <cell r="E61">
            <v>1</v>
          </cell>
          <cell r="F61">
            <v>0</v>
          </cell>
          <cell r="G61" t="str">
            <v>B.) FORGÓESZKÖZÖK ÖSSZESEN     (37+45+48+53+58)</v>
          </cell>
        </row>
        <row r="62">
          <cell r="A62" t="str">
            <v>60</v>
          </cell>
          <cell r="B62" t="str">
            <v>01</v>
          </cell>
          <cell r="C62" t="str">
            <v>1</v>
          </cell>
          <cell r="D62" t="str">
            <v>B</v>
          </cell>
          <cell r="E62">
            <v>1</v>
          </cell>
          <cell r="F62">
            <v>0</v>
          </cell>
          <cell r="G62" t="str">
            <v>E S Z K Ö Z Ö K  Ö S S Z E S E N           (30+59)</v>
          </cell>
        </row>
        <row r="63">
          <cell r="A63" t="str">
            <v>0</v>
          </cell>
          <cell r="B63" t="str">
            <v>01</v>
          </cell>
          <cell r="C63" t="str">
            <v>0</v>
          </cell>
          <cell r="D63" t="str">
            <v>B</v>
          </cell>
          <cell r="E63">
            <v>0</v>
          </cell>
          <cell r="F63">
            <v>25</v>
          </cell>
          <cell r="G63" t="str">
            <v>FORRÁSOK</v>
          </cell>
        </row>
        <row r="64">
          <cell r="A64" t="str">
            <v>61</v>
          </cell>
          <cell r="B64" t="str">
            <v>01</v>
          </cell>
          <cell r="C64" t="str">
            <v>1</v>
          </cell>
          <cell r="D64" t="str">
            <v>B</v>
          </cell>
          <cell r="E64">
            <v>1</v>
          </cell>
          <cell r="F64">
            <v>1</v>
          </cell>
          <cell r="G64" t="str">
            <v>1.Induló tőke (411)</v>
          </cell>
        </row>
        <row r="65">
          <cell r="A65" t="str">
            <v>62</v>
          </cell>
          <cell r="B65" t="str">
            <v>01</v>
          </cell>
          <cell r="C65" t="str">
            <v>1</v>
          </cell>
          <cell r="D65" t="str">
            <v>B</v>
          </cell>
          <cell r="E65">
            <v>1</v>
          </cell>
          <cell r="F65">
            <v>1</v>
          </cell>
          <cell r="G65" t="str">
            <v>2.Tőkeváltozások (412)</v>
          </cell>
        </row>
        <row r="66">
          <cell r="A66" t="str">
            <v>63</v>
          </cell>
          <cell r="B66" t="str">
            <v>01</v>
          </cell>
          <cell r="C66" t="str">
            <v>1</v>
          </cell>
          <cell r="D66" t="str">
            <v>B</v>
          </cell>
          <cell r="E66">
            <v>1</v>
          </cell>
          <cell r="F66">
            <v>1</v>
          </cell>
          <cell r="G66" t="str">
            <v>3.Értékelési tartalék (417)</v>
          </cell>
        </row>
        <row r="67">
          <cell r="A67" t="str">
            <v>64</v>
          </cell>
          <cell r="B67" t="str">
            <v>01</v>
          </cell>
          <cell r="C67" t="str">
            <v>1</v>
          </cell>
          <cell r="D67" t="str">
            <v>B</v>
          </cell>
          <cell r="E67">
            <v>1</v>
          </cell>
          <cell r="F67">
            <v>0</v>
          </cell>
          <cell r="G67" t="str">
            <v>D.) SAJÁT TŐKE ÖSSZESEN           (61+62+63)</v>
          </cell>
        </row>
        <row r="68">
          <cell r="A68" t="str">
            <v>65</v>
          </cell>
          <cell r="B68" t="str">
            <v>01</v>
          </cell>
          <cell r="C68" t="str">
            <v>1</v>
          </cell>
          <cell r="D68" t="str">
            <v>B</v>
          </cell>
          <cell r="E68">
            <v>1</v>
          </cell>
          <cell r="F68">
            <v>1</v>
          </cell>
          <cell r="G68" t="str">
            <v>1.Költségvetési tartalék elszámolása (4211,4214) (66+67)</v>
          </cell>
        </row>
        <row r="69">
          <cell r="A69" t="str">
            <v>66</v>
          </cell>
          <cell r="B69" t="str">
            <v>01</v>
          </cell>
          <cell r="C69" t="str">
            <v>1</v>
          </cell>
          <cell r="D69" t="str">
            <v>B</v>
          </cell>
          <cell r="E69">
            <v>1</v>
          </cell>
          <cell r="F69">
            <v>2</v>
          </cell>
          <cell r="G69" t="str">
            <v>- tárgyévi költségvetési tartalék elszámolása (4211)</v>
          </cell>
        </row>
        <row r="70">
          <cell r="A70" t="str">
            <v>67</v>
          </cell>
          <cell r="B70" t="str">
            <v>01</v>
          </cell>
          <cell r="C70" t="str">
            <v>1</v>
          </cell>
          <cell r="D70" t="str">
            <v>B</v>
          </cell>
          <cell r="E70">
            <v>1</v>
          </cell>
          <cell r="F70">
            <v>2</v>
          </cell>
          <cell r="G70" t="str">
            <v>- előző év(ek) költségvetési tartalékának elszámolása (4214)</v>
          </cell>
        </row>
        <row r="71">
          <cell r="A71" t="str">
            <v>68</v>
          </cell>
          <cell r="B71" t="str">
            <v>01</v>
          </cell>
          <cell r="C71" t="str">
            <v>1</v>
          </cell>
          <cell r="D71" t="str">
            <v>B</v>
          </cell>
          <cell r="E71">
            <v>1</v>
          </cell>
          <cell r="F71">
            <v>1</v>
          </cell>
          <cell r="G71" t="str">
            <v>2.Költségvetési pénzmaradvány (4212)</v>
          </cell>
        </row>
        <row r="72">
          <cell r="A72" t="str">
            <v>69</v>
          </cell>
          <cell r="B72" t="str">
            <v>01</v>
          </cell>
          <cell r="C72" t="str">
            <v>1</v>
          </cell>
          <cell r="D72" t="str">
            <v>B</v>
          </cell>
          <cell r="E72">
            <v>1</v>
          </cell>
          <cell r="F72">
            <v>1</v>
          </cell>
          <cell r="G72" t="str">
            <v>3.Kiadási megtakarítás (425)</v>
          </cell>
        </row>
        <row r="73">
          <cell r="A73" t="str">
            <v>70</v>
          </cell>
          <cell r="B73" t="str">
            <v>01</v>
          </cell>
          <cell r="C73" t="str">
            <v>1</v>
          </cell>
          <cell r="D73" t="str">
            <v>B</v>
          </cell>
          <cell r="E73">
            <v>1</v>
          </cell>
          <cell r="F73">
            <v>1</v>
          </cell>
          <cell r="G73" t="str">
            <v>4.Bevételi lemaradás(426)</v>
          </cell>
        </row>
        <row r="74">
          <cell r="A74" t="str">
            <v>71</v>
          </cell>
          <cell r="B74" t="str">
            <v>01</v>
          </cell>
          <cell r="C74" t="str">
            <v>1</v>
          </cell>
          <cell r="D74" t="str">
            <v>B</v>
          </cell>
          <cell r="E74">
            <v>1</v>
          </cell>
          <cell r="F74">
            <v>1</v>
          </cell>
          <cell r="G74" t="str">
            <v>5.Elöirányzat-maradvány (424)</v>
          </cell>
        </row>
        <row r="75">
          <cell r="A75" t="str">
            <v>72</v>
          </cell>
          <cell r="B75" t="str">
            <v>01</v>
          </cell>
          <cell r="C75" t="str">
            <v>1</v>
          </cell>
          <cell r="D75" t="str">
            <v>B</v>
          </cell>
          <cell r="E75">
            <v>1</v>
          </cell>
          <cell r="F75">
            <v>0</v>
          </cell>
          <cell r="G75" t="str">
            <v>I. Költségvetési tartalékok összesen (65+68+69+70+71)</v>
          </cell>
        </row>
        <row r="76">
          <cell r="A76" t="str">
            <v>73</v>
          </cell>
          <cell r="B76" t="str">
            <v>01</v>
          </cell>
          <cell r="C76" t="str">
            <v>1</v>
          </cell>
          <cell r="D76" t="str">
            <v>B</v>
          </cell>
          <cell r="E76">
            <v>1</v>
          </cell>
          <cell r="F76">
            <v>1</v>
          </cell>
          <cell r="G76" t="str">
            <v>1.Vállalkozási tartalék elszámolása (4221,4224) (74+75)</v>
          </cell>
        </row>
        <row r="77">
          <cell r="A77" t="str">
            <v>74</v>
          </cell>
          <cell r="B77" t="str">
            <v>01</v>
          </cell>
          <cell r="C77" t="str">
            <v>1</v>
          </cell>
          <cell r="D77" t="str">
            <v>B</v>
          </cell>
          <cell r="E77">
            <v>1</v>
          </cell>
          <cell r="F77">
            <v>2</v>
          </cell>
          <cell r="G77" t="str">
            <v>- tárgyévi  vállalkozási tartalék elszámolása (4221)</v>
          </cell>
        </row>
        <row r="78">
          <cell r="A78" t="str">
            <v>75</v>
          </cell>
          <cell r="B78" t="str">
            <v>01</v>
          </cell>
          <cell r="C78" t="str">
            <v>1</v>
          </cell>
          <cell r="D78" t="str">
            <v>B</v>
          </cell>
          <cell r="E78">
            <v>1</v>
          </cell>
          <cell r="F78">
            <v>2</v>
          </cell>
          <cell r="G78" t="str">
            <v>- előző év(ek) vállalkozási tartalékának elszámolása(4224)</v>
          </cell>
        </row>
        <row r="79">
          <cell r="A79" t="str">
            <v>76</v>
          </cell>
          <cell r="B79" t="str">
            <v>01</v>
          </cell>
          <cell r="C79" t="str">
            <v>1</v>
          </cell>
          <cell r="D79" t="str">
            <v>B</v>
          </cell>
          <cell r="E79">
            <v>1</v>
          </cell>
          <cell r="F79">
            <v>1</v>
          </cell>
          <cell r="G79" t="str">
            <v>2.Vállalkozási tevékenység eredménye (4222)</v>
          </cell>
        </row>
        <row r="80">
          <cell r="A80" t="str">
            <v>77</v>
          </cell>
          <cell r="B80" t="str">
            <v>01</v>
          </cell>
          <cell r="C80" t="str">
            <v>1</v>
          </cell>
          <cell r="D80" t="str">
            <v>B</v>
          </cell>
          <cell r="E80">
            <v>1</v>
          </cell>
          <cell r="F80">
            <v>1</v>
          </cell>
          <cell r="G80" t="str">
            <v>3.Vállalkozási tevékenység kiadási megtakarítása (427)</v>
          </cell>
        </row>
        <row r="81">
          <cell r="A81" t="str">
            <v>78</v>
          </cell>
          <cell r="B81" t="str">
            <v>01</v>
          </cell>
          <cell r="C81" t="str">
            <v>1</v>
          </cell>
          <cell r="D81" t="str">
            <v>B</v>
          </cell>
          <cell r="E81">
            <v>1</v>
          </cell>
          <cell r="F81">
            <v>1</v>
          </cell>
          <cell r="G81" t="str">
            <v>4.Vállalkozási tevékenység bevételi lemaradása (428)</v>
          </cell>
        </row>
        <row r="82">
          <cell r="A82" t="str">
            <v>79</v>
          </cell>
          <cell r="B82" t="str">
            <v>01</v>
          </cell>
          <cell r="C82" t="str">
            <v>1</v>
          </cell>
          <cell r="D82" t="str">
            <v>B</v>
          </cell>
          <cell r="E82">
            <v>1</v>
          </cell>
          <cell r="F82">
            <v>0</v>
          </cell>
          <cell r="G82" t="str">
            <v>II. Vállalkozási tartalékok összesen  (73+76+77+78)</v>
          </cell>
        </row>
        <row r="83">
          <cell r="A83" t="str">
            <v>80</v>
          </cell>
          <cell r="B83" t="str">
            <v>01</v>
          </cell>
          <cell r="C83" t="str">
            <v>1</v>
          </cell>
          <cell r="D83" t="str">
            <v>B</v>
          </cell>
          <cell r="E83">
            <v>1</v>
          </cell>
          <cell r="F83">
            <v>0</v>
          </cell>
          <cell r="G83" t="str">
            <v>E.) TARTALÉKOK ÖSSZESEN      (72+79)</v>
          </cell>
        </row>
        <row r="84">
          <cell r="A84" t="str">
            <v>81</v>
          </cell>
          <cell r="B84" t="str">
            <v>01</v>
          </cell>
          <cell r="C84" t="str">
            <v>1</v>
          </cell>
          <cell r="D84" t="str">
            <v>B</v>
          </cell>
          <cell r="E84">
            <v>1</v>
          </cell>
          <cell r="F84">
            <v>1</v>
          </cell>
          <cell r="G84" t="str">
            <v>1.Hosszú lejáratra kapott kölcsönök (4351-ből,4361-ből)</v>
          </cell>
        </row>
        <row r="85">
          <cell r="A85" t="str">
            <v>82</v>
          </cell>
          <cell r="B85" t="str">
            <v>01</v>
          </cell>
          <cell r="C85" t="str">
            <v>1</v>
          </cell>
          <cell r="D85" t="str">
            <v>B</v>
          </cell>
          <cell r="E85">
            <v>1</v>
          </cell>
          <cell r="F85">
            <v>1</v>
          </cell>
          <cell r="G85" t="str">
            <v>2.Tartozások fejlesztési célú kötvénykibocsátásból (4341-ből)</v>
          </cell>
        </row>
        <row r="86">
          <cell r="A86" t="str">
            <v>83</v>
          </cell>
          <cell r="B86" t="str">
            <v>01</v>
          </cell>
          <cell r="C86" t="str">
            <v>1</v>
          </cell>
          <cell r="D86" t="str">
            <v>B</v>
          </cell>
          <cell r="E86">
            <v>1</v>
          </cell>
          <cell r="F86">
            <v>1</v>
          </cell>
          <cell r="G86" t="str">
            <v>3.Tartozások működési célú kötvénykibocsátásból (4341-ből)</v>
          </cell>
        </row>
        <row r="87">
          <cell r="A87" t="str">
            <v>84</v>
          </cell>
          <cell r="B87" t="str">
            <v>01</v>
          </cell>
          <cell r="C87" t="str">
            <v>1</v>
          </cell>
          <cell r="D87" t="str">
            <v>B</v>
          </cell>
          <cell r="E87">
            <v>1</v>
          </cell>
          <cell r="F87">
            <v>1</v>
          </cell>
          <cell r="G87" t="str">
            <v>4.Beruházási és fejlesztési hitelek (43111-ből,4321-ből,4331-ből)</v>
          </cell>
        </row>
        <row r="88">
          <cell r="A88" t="str">
            <v>85</v>
          </cell>
          <cell r="B88" t="str">
            <v>01</v>
          </cell>
          <cell r="C88" t="str">
            <v>1</v>
          </cell>
          <cell r="D88" t="str">
            <v>B</v>
          </cell>
          <cell r="E88">
            <v>1</v>
          </cell>
          <cell r="F88">
            <v>1</v>
          </cell>
          <cell r="G88" t="str">
            <v>5.Működési célú hosszú lejáratú hitelek (43112-ből)</v>
          </cell>
        </row>
        <row r="89">
          <cell r="A89" t="str">
            <v>86</v>
          </cell>
          <cell r="B89" t="str">
            <v>01</v>
          </cell>
          <cell r="C89" t="str">
            <v>1</v>
          </cell>
          <cell r="D89" t="str">
            <v>B</v>
          </cell>
          <cell r="E89">
            <v>1</v>
          </cell>
          <cell r="F89">
            <v>1</v>
          </cell>
          <cell r="G89" t="str">
            <v>6.Egyéb hosszuú lejáratú kötelezettségek (438-ból)</v>
          </cell>
        </row>
        <row r="90">
          <cell r="A90" t="str">
            <v>87</v>
          </cell>
          <cell r="B90" t="str">
            <v>01</v>
          </cell>
          <cell r="C90" t="str">
            <v>1</v>
          </cell>
          <cell r="D90" t="str">
            <v>B</v>
          </cell>
          <cell r="E90">
            <v>1</v>
          </cell>
          <cell r="F90">
            <v>0</v>
          </cell>
          <cell r="G90" t="str">
            <v>I. Hosszú lejáratú kötelezettségek összesen (81+...+86)</v>
          </cell>
        </row>
        <row r="91">
          <cell r="A91" t="str">
            <v>88</v>
          </cell>
          <cell r="B91" t="str">
            <v>01</v>
          </cell>
          <cell r="C91" t="str">
            <v>1</v>
          </cell>
          <cell r="D91" t="str">
            <v>B</v>
          </cell>
          <cell r="E91">
            <v>1</v>
          </cell>
          <cell r="F91">
            <v>1</v>
          </cell>
          <cell r="G91" t="str">
            <v>1.Rövid lejáratú kölcsönök (4561,4571)</v>
          </cell>
        </row>
        <row r="92">
          <cell r="A92" t="str">
            <v>89</v>
          </cell>
          <cell r="B92" t="str">
            <v>01</v>
          </cell>
          <cell r="C92" t="str">
            <v>1</v>
          </cell>
          <cell r="D92" t="str">
            <v>B</v>
          </cell>
          <cell r="E92">
            <v>1</v>
          </cell>
          <cell r="F92">
            <v>1</v>
          </cell>
          <cell r="G92" t="str">
            <v>2.Rövid lejáratú hitelek (4511,4521,4531,4541)</v>
          </cell>
        </row>
        <row r="93">
          <cell r="A93" t="str">
            <v>90</v>
          </cell>
          <cell r="B93" t="str">
            <v>01</v>
          </cell>
          <cell r="C93" t="str">
            <v>1</v>
          </cell>
          <cell r="D93" t="str">
            <v>B</v>
          </cell>
          <cell r="E93">
            <v>1</v>
          </cell>
          <cell r="F93">
            <v>1</v>
          </cell>
          <cell r="G93" t="str">
            <v>3.Kötelezettségek áruszállításból és szolgáltatásból(szállítók) (91+9</v>
          </cell>
        </row>
        <row r="94">
          <cell r="A94" t="str">
            <v>91</v>
          </cell>
          <cell r="B94" t="str">
            <v>01</v>
          </cell>
          <cell r="C94" t="str">
            <v>1</v>
          </cell>
          <cell r="D94" t="str">
            <v>B</v>
          </cell>
          <cell r="E94">
            <v>1</v>
          </cell>
          <cell r="F94">
            <v>2</v>
          </cell>
          <cell r="G94" t="str">
            <v>- tárgyévi költségvetést terhelő szállítói kötelezettségek</v>
          </cell>
        </row>
        <row r="95">
          <cell r="A95" t="str">
            <v>92</v>
          </cell>
          <cell r="B95" t="str">
            <v>01</v>
          </cell>
          <cell r="C95" t="str">
            <v>1</v>
          </cell>
          <cell r="D95" t="str">
            <v>B</v>
          </cell>
          <cell r="E95">
            <v>1</v>
          </cell>
          <cell r="F95">
            <v>2</v>
          </cell>
          <cell r="G95" t="str">
            <v>- tárgyévet követő évet terhelő szállítói kötelezettségek</v>
          </cell>
        </row>
        <row r="96">
          <cell r="A96" t="str">
            <v>93</v>
          </cell>
          <cell r="B96" t="str">
            <v>01</v>
          </cell>
          <cell r="C96" t="str">
            <v>1</v>
          </cell>
          <cell r="D96" t="str">
            <v>B</v>
          </cell>
          <cell r="E96">
            <v>1</v>
          </cell>
          <cell r="F96">
            <v>1</v>
          </cell>
          <cell r="G96" t="str">
            <v>4.Egyéb rövid lejáratú kötelezettségek (43-ból,444-449,4551)</v>
          </cell>
        </row>
        <row r="97">
          <cell r="A97" t="str">
            <v>94</v>
          </cell>
          <cell r="B97" t="str">
            <v>01</v>
          </cell>
          <cell r="C97" t="str">
            <v>1</v>
          </cell>
          <cell r="D97" t="str">
            <v>B</v>
          </cell>
          <cell r="E97">
            <v>1</v>
          </cell>
          <cell r="F97">
            <v>2</v>
          </cell>
          <cell r="G97" t="str">
            <v>- váltótartozások (444)</v>
          </cell>
        </row>
        <row r="98">
          <cell r="A98" t="str">
            <v>95</v>
          </cell>
          <cell r="B98" t="str">
            <v>01</v>
          </cell>
          <cell r="C98" t="str">
            <v>1</v>
          </cell>
          <cell r="D98" t="str">
            <v>B</v>
          </cell>
          <cell r="E98">
            <v>1</v>
          </cell>
          <cell r="F98">
            <v>2</v>
          </cell>
          <cell r="G98" t="str">
            <v>- munkavállalókkal szembeni különféle kötelezettségek(445)</v>
          </cell>
        </row>
        <row r="99">
          <cell r="A99" t="str">
            <v>96</v>
          </cell>
          <cell r="B99" t="str">
            <v>01</v>
          </cell>
          <cell r="C99" t="str">
            <v>1</v>
          </cell>
          <cell r="D99" t="str">
            <v>B</v>
          </cell>
          <cell r="E99">
            <v>1</v>
          </cell>
          <cell r="F99">
            <v>2</v>
          </cell>
          <cell r="G99" t="str">
            <v>- költségvetéssel szembeni kötelezettségek (446)</v>
          </cell>
        </row>
        <row r="100">
          <cell r="A100" t="str">
            <v>97</v>
          </cell>
          <cell r="B100" t="str">
            <v>01</v>
          </cell>
          <cell r="C100" t="str">
            <v>1</v>
          </cell>
          <cell r="D100" t="str">
            <v>B</v>
          </cell>
          <cell r="E100">
            <v>1</v>
          </cell>
          <cell r="F100">
            <v>2</v>
          </cell>
          <cell r="G100" t="str">
            <v>- iparűzési adó feltöltés miatti kötelezettségek (4471)</v>
          </cell>
        </row>
        <row r="101">
          <cell r="A101" t="str">
            <v>98</v>
          </cell>
          <cell r="B101" t="str">
            <v>01</v>
          </cell>
          <cell r="C101" t="str">
            <v>1</v>
          </cell>
          <cell r="D101" t="str">
            <v>B</v>
          </cell>
          <cell r="E101">
            <v>1</v>
          </cell>
          <cell r="F101">
            <v>2</v>
          </cell>
          <cell r="G101" t="str">
            <v>- helyi adó túlfizetés (4472)</v>
          </cell>
        </row>
        <row r="102">
          <cell r="A102" t="str">
            <v>99</v>
          </cell>
          <cell r="B102" t="str">
            <v>01</v>
          </cell>
          <cell r="C102" t="str">
            <v>1</v>
          </cell>
          <cell r="D102" t="str">
            <v>B</v>
          </cell>
          <cell r="E102">
            <v>1</v>
          </cell>
          <cell r="F102">
            <v>2</v>
          </cell>
          <cell r="G102" t="str">
            <v>- szabálytalan kifizetések miatti kötelezettségek (448)</v>
          </cell>
        </row>
        <row r="103">
          <cell r="A103" t="str">
            <v>100</v>
          </cell>
          <cell r="B103" t="str">
            <v>01</v>
          </cell>
          <cell r="C103" t="str">
            <v>1</v>
          </cell>
          <cell r="D103" t="str">
            <v>B</v>
          </cell>
          <cell r="E103">
            <v>1</v>
          </cell>
          <cell r="F103">
            <v>2</v>
          </cell>
          <cell r="G103" t="str">
            <v>- hosszú lejáratra kapott kölcsön köv.évi törlesztése (4351-ből,4361</v>
          </cell>
        </row>
        <row r="104">
          <cell r="A104" t="str">
            <v>101</v>
          </cell>
          <cell r="B104" t="str">
            <v>01</v>
          </cell>
          <cell r="C104" t="str">
            <v>1</v>
          </cell>
          <cell r="D104" t="str">
            <v>B</v>
          </cell>
          <cell r="E104">
            <v>1</v>
          </cell>
          <cell r="F104">
            <v>2</v>
          </cell>
          <cell r="G104" t="str">
            <v>- felhalm.célú kötv.kibocs-ból szárm. tart. köv.évi törlesztése(4341</v>
          </cell>
        </row>
        <row r="105">
          <cell r="A105" t="str">
            <v>102</v>
          </cell>
          <cell r="B105" t="str">
            <v>01</v>
          </cell>
          <cell r="C105" t="str">
            <v>1</v>
          </cell>
          <cell r="D105" t="str">
            <v>B</v>
          </cell>
          <cell r="E105">
            <v>1</v>
          </cell>
          <cell r="F105">
            <v>2</v>
          </cell>
          <cell r="G105" t="str">
            <v>- működési célú kötv.kib.szárm. tart. köv.évi törlesztése(4341-ből,4</v>
          </cell>
        </row>
        <row r="106">
          <cell r="A106" t="str">
            <v>103</v>
          </cell>
          <cell r="B106" t="str">
            <v>01</v>
          </cell>
          <cell r="C106" t="str">
            <v>1</v>
          </cell>
          <cell r="D106" t="str">
            <v>B</v>
          </cell>
          <cell r="E106">
            <v>1</v>
          </cell>
          <cell r="F106">
            <v>2</v>
          </cell>
          <cell r="G106" t="str">
            <v>- beruházási, fejlesztési hitelek következő évi törlesztése (43-ból)</v>
          </cell>
        </row>
        <row r="107">
          <cell r="A107" t="str">
            <v>104</v>
          </cell>
          <cell r="B107" t="str">
            <v>01</v>
          </cell>
          <cell r="C107" t="str">
            <v>1</v>
          </cell>
          <cell r="D107" t="str">
            <v>B</v>
          </cell>
          <cell r="E107">
            <v>1</v>
          </cell>
          <cell r="F107">
            <v>2</v>
          </cell>
          <cell r="G107" t="str">
            <v>- működéi célú hosszú lejáratú hitelek köv. évi törlesztése (43112-b</v>
          </cell>
        </row>
        <row r="108">
          <cell r="A108" t="str">
            <v>105</v>
          </cell>
          <cell r="B108" t="str">
            <v>01</v>
          </cell>
          <cell r="C108" t="str">
            <v>1</v>
          </cell>
          <cell r="D108" t="str">
            <v>B</v>
          </cell>
          <cell r="E108">
            <v>1</v>
          </cell>
          <cell r="F108">
            <v>2</v>
          </cell>
          <cell r="G108" t="str">
            <v>- egyéb hosszú lejáratú kötelezettség köv. évi törlesztése (438-ból)</v>
          </cell>
        </row>
        <row r="109">
          <cell r="A109" t="str">
            <v>106</v>
          </cell>
          <cell r="B109" t="str">
            <v>01</v>
          </cell>
          <cell r="C109" t="str">
            <v>1</v>
          </cell>
          <cell r="D109" t="str">
            <v>B</v>
          </cell>
          <cell r="E109">
            <v>1</v>
          </cell>
          <cell r="F109">
            <v>2</v>
          </cell>
          <cell r="G109" t="str">
            <v>- tárgyévi költségvetést terhelő rövid lejáratú kötelezettségek (449</v>
          </cell>
        </row>
        <row r="110">
          <cell r="A110" t="str">
            <v>107</v>
          </cell>
          <cell r="B110" t="str">
            <v>01</v>
          </cell>
          <cell r="C110" t="str">
            <v>1</v>
          </cell>
          <cell r="D110" t="str">
            <v>B</v>
          </cell>
          <cell r="E110">
            <v>1</v>
          </cell>
          <cell r="F110">
            <v>2</v>
          </cell>
          <cell r="G110" t="str">
            <v>- egyéb különféle kötelezettségek (449)</v>
          </cell>
        </row>
        <row r="111">
          <cell r="A111" t="str">
            <v>108</v>
          </cell>
          <cell r="B111" t="str">
            <v>01</v>
          </cell>
          <cell r="C111" t="str">
            <v>1</v>
          </cell>
          <cell r="D111" t="str">
            <v>B</v>
          </cell>
          <cell r="E111">
            <v>1</v>
          </cell>
          <cell r="F111">
            <v>0</v>
          </cell>
          <cell r="G111" t="str">
            <v>II. Rövid lejáratú kötelezettségek összesen (88+89+90+93)</v>
          </cell>
        </row>
        <row r="112">
          <cell r="A112" t="str">
            <v>109</v>
          </cell>
          <cell r="B112" t="str">
            <v>01</v>
          </cell>
          <cell r="C112" t="str">
            <v>1</v>
          </cell>
          <cell r="D112" t="str">
            <v>B</v>
          </cell>
          <cell r="E112">
            <v>1</v>
          </cell>
          <cell r="F112">
            <v>1</v>
          </cell>
          <cell r="G112" t="str">
            <v>1.Költségvetési passzív függő elszámolások (481)</v>
          </cell>
        </row>
        <row r="113">
          <cell r="A113" t="str">
            <v>110</v>
          </cell>
          <cell r="B113" t="str">
            <v>01</v>
          </cell>
          <cell r="C113" t="str">
            <v>1</v>
          </cell>
          <cell r="D113" t="str">
            <v>B</v>
          </cell>
          <cell r="E113">
            <v>1</v>
          </cell>
          <cell r="F113">
            <v>1</v>
          </cell>
          <cell r="G113" t="str">
            <v>2.Költségvetési passzív átfutó elszámolások (482,487)</v>
          </cell>
        </row>
        <row r="114">
          <cell r="A114" t="str">
            <v>111</v>
          </cell>
          <cell r="B114" t="str">
            <v>01</v>
          </cell>
          <cell r="C114" t="str">
            <v>1</v>
          </cell>
          <cell r="D114" t="str">
            <v>B</v>
          </cell>
          <cell r="E114">
            <v>1</v>
          </cell>
          <cell r="F114">
            <v>1</v>
          </cell>
          <cell r="G114" t="str">
            <v>3.Költségvetési passzív kiegyenlítő elszámolások (483-484)</v>
          </cell>
        </row>
        <row r="115">
          <cell r="A115" t="str">
            <v>112</v>
          </cell>
          <cell r="B115" t="str">
            <v>01</v>
          </cell>
          <cell r="C115" t="str">
            <v>1</v>
          </cell>
          <cell r="D115" t="str">
            <v>B</v>
          </cell>
          <cell r="E115">
            <v>1</v>
          </cell>
          <cell r="F115">
            <v>1</v>
          </cell>
          <cell r="G115" t="str">
            <v>4.Költségvetésen kívüli passzív pénzügyi elszámolások (488-489-ből)</v>
          </cell>
        </row>
        <row r="116">
          <cell r="A116" t="str">
            <v>113</v>
          </cell>
          <cell r="B116" t="str">
            <v>01</v>
          </cell>
          <cell r="C116" t="str">
            <v>1</v>
          </cell>
          <cell r="D116" t="str">
            <v>B</v>
          </cell>
          <cell r="E116">
            <v>1</v>
          </cell>
          <cell r="F116">
            <v>1</v>
          </cell>
          <cell r="G116" t="str">
            <v>- Költségvetésen kívüli letéti elszámolások (488-bol)</v>
          </cell>
        </row>
        <row r="117">
          <cell r="A117" t="str">
            <v>114</v>
          </cell>
          <cell r="B117" t="str">
            <v>01</v>
          </cell>
          <cell r="C117" t="str">
            <v>1</v>
          </cell>
          <cell r="D117" t="str">
            <v>B</v>
          </cell>
          <cell r="E117">
            <v>1</v>
          </cell>
          <cell r="F117">
            <v>1</v>
          </cell>
          <cell r="G117" t="str">
            <v>- Nemzetközi támogatási programok deviza elszámolása(488-bol)</v>
          </cell>
        </row>
        <row r="118">
          <cell r="A118" t="str">
            <v>115</v>
          </cell>
          <cell r="B118" t="str">
            <v>01</v>
          </cell>
          <cell r="C118" t="str">
            <v>1</v>
          </cell>
          <cell r="D118" t="str">
            <v>B</v>
          </cell>
          <cell r="E118">
            <v>1</v>
          </cell>
          <cell r="F118">
            <v>0</v>
          </cell>
          <cell r="G118" t="str">
            <v>III. Egyéb passzív pénzügyi elszámolások összesen (109+...+112)</v>
          </cell>
        </row>
        <row r="119">
          <cell r="A119" t="str">
            <v>116</v>
          </cell>
          <cell r="B119" t="str">
            <v>01</v>
          </cell>
          <cell r="C119" t="str">
            <v>1</v>
          </cell>
          <cell r="D119" t="str">
            <v>B</v>
          </cell>
          <cell r="E119">
            <v>1</v>
          </cell>
          <cell r="F119">
            <v>0</v>
          </cell>
          <cell r="G119" t="str">
            <v>F.) KÖTELEZETTSÉGEK ÖSSZESEN   (87+108+115)</v>
          </cell>
        </row>
        <row r="120">
          <cell r="A120" t="str">
            <v>117</v>
          </cell>
          <cell r="B120" t="str">
            <v>01</v>
          </cell>
          <cell r="C120" t="str">
            <v>1</v>
          </cell>
          <cell r="D120" t="str">
            <v>B</v>
          </cell>
          <cell r="E120">
            <v>1</v>
          </cell>
          <cell r="F120">
            <v>0</v>
          </cell>
          <cell r="G120" t="str">
            <v>F O R R Á S O K   Ö S S Z E S E N      (64+80+116)</v>
          </cell>
        </row>
        <row r="121">
          <cell r="A121" t="str">
            <v>1</v>
          </cell>
          <cell r="B121" t="str">
            <v>02</v>
          </cell>
          <cell r="C121" t="str">
            <v>1</v>
          </cell>
          <cell r="D121" t="str">
            <v>B</v>
          </cell>
          <cell r="E121">
            <v>1</v>
          </cell>
          <cell r="F121">
            <v>0</v>
          </cell>
          <cell r="G121" t="str">
            <v>Alapilletmények</v>
          </cell>
        </row>
        <row r="122">
          <cell r="A122" t="str">
            <v>2</v>
          </cell>
          <cell r="B122" t="str">
            <v>02</v>
          </cell>
          <cell r="C122" t="str">
            <v>1</v>
          </cell>
          <cell r="D122" t="str">
            <v>B</v>
          </cell>
          <cell r="E122">
            <v>1</v>
          </cell>
          <cell r="F122">
            <v>0</v>
          </cell>
          <cell r="G122" t="str">
            <v>Illetménykiegészitések</v>
          </cell>
        </row>
        <row r="123">
          <cell r="A123" t="str">
            <v>3</v>
          </cell>
          <cell r="B123" t="str">
            <v>02</v>
          </cell>
          <cell r="C123" t="str">
            <v>1</v>
          </cell>
          <cell r="D123" t="str">
            <v>B</v>
          </cell>
          <cell r="E123">
            <v>1</v>
          </cell>
          <cell r="F123">
            <v>0</v>
          </cell>
          <cell r="G123" t="str">
            <v>Nyelvpotlék</v>
          </cell>
        </row>
        <row r="124">
          <cell r="A124" t="str">
            <v>4</v>
          </cell>
          <cell r="B124" t="str">
            <v>02</v>
          </cell>
          <cell r="C124" t="str">
            <v>1</v>
          </cell>
          <cell r="D124" t="str">
            <v>B</v>
          </cell>
          <cell r="E124">
            <v>1</v>
          </cell>
          <cell r="F124">
            <v>0</v>
          </cell>
          <cell r="G124" t="str">
            <v>Egyéb kötelezö illetménypotlékok</v>
          </cell>
        </row>
        <row r="125">
          <cell r="A125" t="str">
            <v>5</v>
          </cell>
          <cell r="B125" t="str">
            <v>02</v>
          </cell>
          <cell r="C125" t="str">
            <v>1</v>
          </cell>
          <cell r="D125" t="str">
            <v>B</v>
          </cell>
          <cell r="E125">
            <v>1</v>
          </cell>
          <cell r="F125">
            <v>0</v>
          </cell>
          <cell r="G125" t="str">
            <v>Egyéb feltételtöl függö potlékok és juttatások</v>
          </cell>
        </row>
        <row r="126">
          <cell r="A126" t="str">
            <v>6</v>
          </cell>
          <cell r="B126" t="str">
            <v>02</v>
          </cell>
          <cell r="C126" t="str">
            <v>1</v>
          </cell>
          <cell r="D126" t="str">
            <v>B</v>
          </cell>
          <cell r="E126">
            <v>1</v>
          </cell>
          <cell r="F126">
            <v>0</v>
          </cell>
          <cell r="G126" t="str">
            <v>Egyéb juttatás</v>
          </cell>
        </row>
        <row r="127">
          <cell r="A127" t="str">
            <v>7</v>
          </cell>
          <cell r="B127" t="str">
            <v>02</v>
          </cell>
          <cell r="C127" t="str">
            <v>1</v>
          </cell>
          <cell r="D127" t="str">
            <v>B</v>
          </cell>
          <cell r="E127">
            <v>1</v>
          </cell>
          <cell r="F127">
            <v>3</v>
          </cell>
          <cell r="G127" t="str">
            <v>Telj.munkaidö.fogl.rendszeres szem.jut.össz.(01+...+06)</v>
          </cell>
        </row>
        <row r="128">
          <cell r="A128" t="str">
            <v>8</v>
          </cell>
          <cell r="B128" t="str">
            <v>02</v>
          </cell>
          <cell r="C128" t="str">
            <v>1</v>
          </cell>
          <cell r="D128" t="str">
            <v>B</v>
          </cell>
          <cell r="E128">
            <v>1</v>
          </cell>
          <cell r="F128">
            <v>0</v>
          </cell>
          <cell r="G128" t="str">
            <v>Részmunkaidöben fogl.rendszeres személyi juttatása</v>
          </cell>
        </row>
        <row r="129">
          <cell r="A129" t="str">
            <v>9</v>
          </cell>
          <cell r="B129" t="str">
            <v>02</v>
          </cell>
          <cell r="C129" t="str">
            <v>1</v>
          </cell>
          <cell r="D129" t="str">
            <v>B</v>
          </cell>
          <cell r="E129">
            <v>1</v>
          </cell>
          <cell r="F129">
            <v>3</v>
          </cell>
          <cell r="G129" t="str">
            <v>Rendszeres személyi juttatások (07+08)</v>
          </cell>
        </row>
        <row r="130">
          <cell r="A130" t="str">
            <v>10</v>
          </cell>
          <cell r="B130" t="str">
            <v>02</v>
          </cell>
          <cell r="C130" t="str">
            <v>1</v>
          </cell>
          <cell r="D130" t="str">
            <v>B</v>
          </cell>
          <cell r="E130">
            <v>1</v>
          </cell>
          <cell r="F130">
            <v>0</v>
          </cell>
          <cell r="G130" t="str">
            <v>Jutalom (normativ)</v>
          </cell>
        </row>
        <row r="131">
          <cell r="A131" t="str">
            <v>11</v>
          </cell>
          <cell r="B131" t="str">
            <v>02</v>
          </cell>
          <cell r="C131" t="str">
            <v>1</v>
          </cell>
          <cell r="D131" t="str">
            <v>B</v>
          </cell>
          <cell r="E131">
            <v>1</v>
          </cell>
          <cell r="F131">
            <v>0</v>
          </cell>
          <cell r="G131" t="str">
            <v>Jutalom (teljesitményhez kötött)</v>
          </cell>
        </row>
        <row r="132">
          <cell r="A132" t="str">
            <v>12</v>
          </cell>
          <cell r="B132" t="str">
            <v>02</v>
          </cell>
          <cell r="C132" t="str">
            <v>1</v>
          </cell>
          <cell r="D132" t="str">
            <v>B</v>
          </cell>
          <cell r="E132">
            <v>1</v>
          </cell>
          <cell r="F132">
            <v>0</v>
          </cell>
          <cell r="G132" t="str">
            <v>Készenléti,ügyeleti,helyettesitési dij,tulora,tulszolgálat</v>
          </cell>
        </row>
        <row r="133">
          <cell r="A133" t="str">
            <v>13</v>
          </cell>
          <cell r="B133" t="str">
            <v>02</v>
          </cell>
          <cell r="C133" t="str">
            <v>1</v>
          </cell>
          <cell r="D133" t="str">
            <v>B</v>
          </cell>
          <cell r="E133">
            <v>1</v>
          </cell>
          <cell r="F133">
            <v>0</v>
          </cell>
          <cell r="G133" t="str">
            <v>Egyéb munkavégzéshez kapcsolodo juttatások</v>
          </cell>
        </row>
        <row r="134">
          <cell r="A134" t="str">
            <v>14</v>
          </cell>
          <cell r="B134" t="str">
            <v>02</v>
          </cell>
          <cell r="C134" t="str">
            <v>1</v>
          </cell>
          <cell r="D134" t="str">
            <v>B</v>
          </cell>
          <cell r="E134">
            <v>1</v>
          </cell>
          <cell r="F134">
            <v>3</v>
          </cell>
          <cell r="G134" t="str">
            <v>Telj.munkaidö.fogl.munkavégz.kapcs.jut.össz.(10+...+13)</v>
          </cell>
        </row>
        <row r="135">
          <cell r="A135" t="str">
            <v>15</v>
          </cell>
          <cell r="B135" t="str">
            <v>02</v>
          </cell>
          <cell r="C135" t="str">
            <v>1</v>
          </cell>
          <cell r="D135" t="str">
            <v>B</v>
          </cell>
          <cell r="E135">
            <v>1</v>
          </cell>
          <cell r="F135">
            <v>0</v>
          </cell>
          <cell r="G135" t="str">
            <v>Részmunkaidöben fogl.munkavégzéshez kapcsolodo juttatásai</v>
          </cell>
        </row>
        <row r="136">
          <cell r="A136" t="str">
            <v>16</v>
          </cell>
          <cell r="B136" t="str">
            <v>02</v>
          </cell>
          <cell r="C136" t="str">
            <v>1</v>
          </cell>
          <cell r="D136" t="str">
            <v>B</v>
          </cell>
          <cell r="E136">
            <v>1</v>
          </cell>
          <cell r="F136">
            <v>3</v>
          </cell>
          <cell r="G136" t="str">
            <v>Munkavégzéshez kapcsolodo juttatások (14+15)</v>
          </cell>
        </row>
        <row r="137">
          <cell r="A137" t="str">
            <v>17</v>
          </cell>
          <cell r="B137" t="str">
            <v>02</v>
          </cell>
          <cell r="C137" t="str">
            <v>1</v>
          </cell>
          <cell r="D137" t="str">
            <v>B</v>
          </cell>
          <cell r="E137">
            <v>1</v>
          </cell>
          <cell r="F137">
            <v>0</v>
          </cell>
          <cell r="G137" t="str">
            <v>Végkielégités</v>
          </cell>
        </row>
        <row r="138">
          <cell r="A138" t="str">
            <v>18</v>
          </cell>
          <cell r="B138" t="str">
            <v>02</v>
          </cell>
          <cell r="C138" t="str">
            <v>1</v>
          </cell>
          <cell r="D138" t="str">
            <v>B</v>
          </cell>
          <cell r="E138">
            <v>1</v>
          </cell>
          <cell r="F138">
            <v>0</v>
          </cell>
          <cell r="G138" t="str">
            <v>Jubileumi jutalom</v>
          </cell>
        </row>
        <row r="139">
          <cell r="A139" t="str">
            <v>19</v>
          </cell>
          <cell r="B139" t="str">
            <v>02</v>
          </cell>
          <cell r="C139" t="str">
            <v>1</v>
          </cell>
          <cell r="D139" t="str">
            <v>B</v>
          </cell>
          <cell r="E139">
            <v>1</v>
          </cell>
          <cell r="F139">
            <v>0</v>
          </cell>
          <cell r="G139" t="str">
            <v>Napidij</v>
          </cell>
        </row>
        <row r="140">
          <cell r="A140" t="str">
            <v>20</v>
          </cell>
          <cell r="B140" t="str">
            <v>02</v>
          </cell>
          <cell r="C140" t="str">
            <v>1</v>
          </cell>
          <cell r="D140" t="str">
            <v>B</v>
          </cell>
          <cell r="E140">
            <v>1</v>
          </cell>
          <cell r="F140">
            <v>0</v>
          </cell>
          <cell r="G140" t="str">
            <v>Biztositási dijak</v>
          </cell>
        </row>
        <row r="141">
          <cell r="A141" t="str">
            <v>21</v>
          </cell>
          <cell r="B141" t="str">
            <v>02</v>
          </cell>
          <cell r="C141" t="str">
            <v>1</v>
          </cell>
          <cell r="D141" t="str">
            <v>B</v>
          </cell>
          <cell r="E141">
            <v>1</v>
          </cell>
          <cell r="F141">
            <v>0</v>
          </cell>
          <cell r="G141" t="str">
            <v>Egyéb sajátos juttatások</v>
          </cell>
        </row>
        <row r="142">
          <cell r="A142" t="str">
            <v>22</v>
          </cell>
          <cell r="B142" t="str">
            <v>02</v>
          </cell>
          <cell r="C142" t="str">
            <v>1</v>
          </cell>
          <cell r="D142" t="str">
            <v>B</v>
          </cell>
          <cell r="E142">
            <v>1</v>
          </cell>
          <cell r="F142">
            <v>3</v>
          </cell>
          <cell r="G142" t="str">
            <v>Telj.munkaidöben fogl. sajátos juttatásai(17+...+21)</v>
          </cell>
        </row>
        <row r="143">
          <cell r="A143" t="str">
            <v>23</v>
          </cell>
          <cell r="B143" t="str">
            <v>02</v>
          </cell>
          <cell r="C143" t="str">
            <v>1</v>
          </cell>
          <cell r="D143" t="str">
            <v>B</v>
          </cell>
          <cell r="E143">
            <v>1</v>
          </cell>
          <cell r="F143">
            <v>0</v>
          </cell>
          <cell r="G143" t="str">
            <v>Részmunkaidöben foglalkoztatottak sajátos juttatásai</v>
          </cell>
        </row>
        <row r="144">
          <cell r="A144" t="str">
            <v>24</v>
          </cell>
          <cell r="B144" t="str">
            <v>02</v>
          </cell>
          <cell r="C144" t="str">
            <v>1</v>
          </cell>
          <cell r="D144" t="str">
            <v>B</v>
          </cell>
          <cell r="E144">
            <v>1</v>
          </cell>
          <cell r="F144">
            <v>3</v>
          </cell>
          <cell r="G144" t="str">
            <v>Foglalkoztatottak sajátos juttatásai (22+23)</v>
          </cell>
        </row>
        <row r="145">
          <cell r="A145" t="str">
            <v>25</v>
          </cell>
          <cell r="B145" t="str">
            <v>02</v>
          </cell>
          <cell r="C145" t="str">
            <v>1</v>
          </cell>
          <cell r="D145" t="str">
            <v>B</v>
          </cell>
          <cell r="E145">
            <v>1</v>
          </cell>
          <cell r="F145">
            <v>0</v>
          </cell>
          <cell r="G145" t="str">
            <v>Ruházati költségtérités, hozzájárulás</v>
          </cell>
        </row>
        <row r="146">
          <cell r="A146" t="str">
            <v>26</v>
          </cell>
          <cell r="B146" t="str">
            <v>02</v>
          </cell>
          <cell r="C146" t="str">
            <v>1</v>
          </cell>
          <cell r="D146" t="str">
            <v>B</v>
          </cell>
          <cell r="E146">
            <v>1</v>
          </cell>
          <cell r="F146">
            <v>0</v>
          </cell>
          <cell r="G146" t="str">
            <v>Üdülési hozzájárulás</v>
          </cell>
        </row>
        <row r="147">
          <cell r="A147" t="str">
            <v>27</v>
          </cell>
          <cell r="B147" t="str">
            <v>02</v>
          </cell>
          <cell r="C147" t="str">
            <v>1</v>
          </cell>
          <cell r="D147" t="str">
            <v>B</v>
          </cell>
          <cell r="E147">
            <v>1</v>
          </cell>
          <cell r="F147">
            <v>0</v>
          </cell>
          <cell r="G147" t="str">
            <v>Közlekedési költségtérités</v>
          </cell>
        </row>
        <row r="148">
          <cell r="A148" t="str">
            <v>28</v>
          </cell>
          <cell r="B148" t="str">
            <v>02</v>
          </cell>
          <cell r="C148" t="str">
            <v>1</v>
          </cell>
          <cell r="D148" t="str">
            <v>B</v>
          </cell>
          <cell r="E148">
            <v>1</v>
          </cell>
          <cell r="F148">
            <v>0</v>
          </cell>
          <cell r="G148" t="str">
            <v>Étkezési hozzájárulás</v>
          </cell>
        </row>
        <row r="149">
          <cell r="A149" t="str">
            <v>29</v>
          </cell>
          <cell r="B149" t="str">
            <v>02</v>
          </cell>
          <cell r="C149" t="str">
            <v>1</v>
          </cell>
          <cell r="D149" t="str">
            <v>B</v>
          </cell>
          <cell r="E149">
            <v>1</v>
          </cell>
          <cell r="F149">
            <v>0</v>
          </cell>
          <cell r="G149" t="str">
            <v>Egyéb költségtérités és hozzájárulás</v>
          </cell>
        </row>
        <row r="150">
          <cell r="A150" t="str">
            <v>30</v>
          </cell>
          <cell r="B150" t="str">
            <v>02</v>
          </cell>
          <cell r="C150" t="str">
            <v>1</v>
          </cell>
          <cell r="D150" t="str">
            <v>B</v>
          </cell>
          <cell r="E150">
            <v>1</v>
          </cell>
          <cell r="F150">
            <v>3</v>
          </cell>
          <cell r="G150" t="str">
            <v>Telj.munkaidö.fogl.személyhez kapcs.költ.tér.(25+..+29)</v>
          </cell>
        </row>
        <row r="151">
          <cell r="A151" t="str">
            <v>31</v>
          </cell>
          <cell r="B151" t="str">
            <v>02</v>
          </cell>
          <cell r="C151" t="str">
            <v>1</v>
          </cell>
          <cell r="D151" t="str">
            <v>B</v>
          </cell>
          <cell r="E151">
            <v>1</v>
          </cell>
          <cell r="F151">
            <v>0</v>
          </cell>
          <cell r="G151" t="str">
            <v>Részmunkaidöben fogl.személyhez kapcs.költségtéritései</v>
          </cell>
        </row>
        <row r="152">
          <cell r="A152" t="str">
            <v>32</v>
          </cell>
          <cell r="B152" t="str">
            <v>02</v>
          </cell>
          <cell r="C152" t="str">
            <v>1</v>
          </cell>
          <cell r="D152" t="str">
            <v>B</v>
          </cell>
          <cell r="E152">
            <v>1</v>
          </cell>
          <cell r="F152">
            <v>3</v>
          </cell>
          <cell r="G152" t="str">
            <v>Személyhez kapcs.költ.tér.,hozzájárulások össz.(30+31)</v>
          </cell>
        </row>
        <row r="153">
          <cell r="A153" t="str">
            <v>33</v>
          </cell>
          <cell r="B153" t="str">
            <v>02</v>
          </cell>
          <cell r="C153" t="str">
            <v>1</v>
          </cell>
          <cell r="D153" t="str">
            <v>B</v>
          </cell>
          <cell r="E153">
            <v>1</v>
          </cell>
          <cell r="F153">
            <v>0</v>
          </cell>
          <cell r="G153" t="str">
            <v>Telj.munkaidöben fogl.szociális jellegü juttatásai</v>
          </cell>
        </row>
        <row r="154">
          <cell r="A154" t="str">
            <v>34</v>
          </cell>
          <cell r="B154" t="str">
            <v>02</v>
          </cell>
          <cell r="C154" t="str">
            <v>1</v>
          </cell>
          <cell r="D154" t="str">
            <v>B</v>
          </cell>
          <cell r="E154">
            <v>1</v>
          </cell>
          <cell r="F154">
            <v>0</v>
          </cell>
          <cell r="G154" t="str">
            <v>Részmunkaidöben fogl.szociális jellegü juttatásai</v>
          </cell>
        </row>
        <row r="155">
          <cell r="A155" t="str">
            <v>35</v>
          </cell>
          <cell r="B155" t="str">
            <v>02</v>
          </cell>
          <cell r="C155" t="str">
            <v>1</v>
          </cell>
          <cell r="D155" t="str">
            <v>B</v>
          </cell>
          <cell r="E155">
            <v>1</v>
          </cell>
          <cell r="F155">
            <v>3</v>
          </cell>
          <cell r="G155" t="str">
            <v>Szociális jellegü juttatások (33+34)</v>
          </cell>
        </row>
        <row r="156">
          <cell r="A156" t="str">
            <v>36</v>
          </cell>
          <cell r="B156" t="str">
            <v>02</v>
          </cell>
          <cell r="C156" t="str">
            <v>1</v>
          </cell>
          <cell r="D156" t="str">
            <v>B</v>
          </cell>
          <cell r="E156">
            <v>1</v>
          </cell>
          <cell r="F156">
            <v>0</v>
          </cell>
          <cell r="G156" t="str">
            <v>Telj.munkaidöben.fogl.különféle nem rendszeres juttatásai</v>
          </cell>
        </row>
        <row r="157">
          <cell r="A157" t="str">
            <v>37</v>
          </cell>
          <cell r="B157" t="str">
            <v>02</v>
          </cell>
          <cell r="C157" t="str">
            <v>1</v>
          </cell>
          <cell r="D157" t="str">
            <v>B</v>
          </cell>
          <cell r="E157">
            <v>1</v>
          </cell>
          <cell r="F157">
            <v>0</v>
          </cell>
          <cell r="G157" t="str">
            <v>Részmunkaidöben fogl.különféle nem rendszeres juttatásai</v>
          </cell>
        </row>
        <row r="158">
          <cell r="A158" t="str">
            <v>38</v>
          </cell>
          <cell r="B158" t="str">
            <v>02</v>
          </cell>
          <cell r="C158" t="str">
            <v>1</v>
          </cell>
          <cell r="D158" t="str">
            <v>B</v>
          </cell>
          <cell r="E158">
            <v>1</v>
          </cell>
          <cell r="F158">
            <v>3</v>
          </cell>
          <cell r="G158" t="str">
            <v>Különféle nem rendszeres juttatások összesen (36+37)</v>
          </cell>
        </row>
        <row r="159">
          <cell r="A159" t="str">
            <v>39</v>
          </cell>
          <cell r="B159" t="str">
            <v>02</v>
          </cell>
          <cell r="C159" t="str">
            <v>1</v>
          </cell>
          <cell r="D159" t="str">
            <v>B</v>
          </cell>
          <cell r="E159">
            <v>1</v>
          </cell>
          <cell r="F159">
            <v>3</v>
          </cell>
          <cell r="G159" t="str">
            <v>Telj.munkaidö.fogl.nem rendsz.juttat.(14+22+30+33+36)</v>
          </cell>
        </row>
        <row r="160">
          <cell r="A160" t="str">
            <v>40</v>
          </cell>
          <cell r="B160" t="str">
            <v>02</v>
          </cell>
          <cell r="C160" t="str">
            <v>1</v>
          </cell>
          <cell r="D160" t="str">
            <v>B</v>
          </cell>
          <cell r="E160">
            <v>1</v>
          </cell>
          <cell r="F160">
            <v>3</v>
          </cell>
          <cell r="G160" t="str">
            <v>Részmunkaidöben fogl.nem rendsz.juttat.(15+23+31+34+37)</v>
          </cell>
        </row>
        <row r="161">
          <cell r="A161" t="str">
            <v>41</v>
          </cell>
          <cell r="B161" t="str">
            <v>02</v>
          </cell>
          <cell r="C161" t="str">
            <v>1</v>
          </cell>
          <cell r="D161" t="str">
            <v>B</v>
          </cell>
          <cell r="E161">
            <v>1</v>
          </cell>
          <cell r="F161">
            <v>4</v>
          </cell>
          <cell r="G161" t="str">
            <v>Nem rendszeres személyi juttatások (39+40)</v>
          </cell>
        </row>
        <row r="162">
          <cell r="A162" t="str">
            <v>42</v>
          </cell>
          <cell r="B162" t="str">
            <v>02</v>
          </cell>
          <cell r="C162" t="str">
            <v>1</v>
          </cell>
          <cell r="D162" t="str">
            <v>B</v>
          </cell>
          <cell r="E162">
            <v>1</v>
          </cell>
          <cell r="F162">
            <v>0</v>
          </cell>
          <cell r="G162" t="str">
            <v>Állományba nem tartozok juttatásai</v>
          </cell>
        </row>
        <row r="163">
          <cell r="A163" t="str">
            <v>43</v>
          </cell>
          <cell r="B163" t="str">
            <v>02</v>
          </cell>
          <cell r="C163" t="str">
            <v>1</v>
          </cell>
          <cell r="D163" t="str">
            <v>B</v>
          </cell>
          <cell r="E163">
            <v>1</v>
          </cell>
          <cell r="F163">
            <v>0</v>
          </cell>
          <cell r="G163" t="str">
            <v>Tartalékos állományuak juttatásai</v>
          </cell>
        </row>
        <row r="164">
          <cell r="A164" t="str">
            <v>44</v>
          </cell>
          <cell r="B164" t="str">
            <v>02</v>
          </cell>
          <cell r="C164" t="str">
            <v>1</v>
          </cell>
          <cell r="D164" t="str">
            <v>B</v>
          </cell>
          <cell r="E164">
            <v>1</v>
          </cell>
          <cell r="F164">
            <v>0</v>
          </cell>
          <cell r="G164" t="str">
            <v>Katonai és rendvédelmi tanintézeti hallgatok juttatásai</v>
          </cell>
        </row>
        <row r="165">
          <cell r="A165" t="str">
            <v>45</v>
          </cell>
          <cell r="B165" t="str">
            <v>02</v>
          </cell>
          <cell r="C165" t="str">
            <v>1</v>
          </cell>
          <cell r="D165" t="str">
            <v>B</v>
          </cell>
          <cell r="E165">
            <v>1</v>
          </cell>
          <cell r="F165">
            <v>0</v>
          </cell>
          <cell r="G165" t="str">
            <v>Sorkatonai szolgálatot teljesitök juttatásai</v>
          </cell>
        </row>
        <row r="166">
          <cell r="A166" t="str">
            <v>46</v>
          </cell>
          <cell r="B166" t="str">
            <v>02</v>
          </cell>
          <cell r="C166" t="str">
            <v>1</v>
          </cell>
          <cell r="D166" t="str">
            <v>B</v>
          </cell>
          <cell r="E166">
            <v>1</v>
          </cell>
          <cell r="F166">
            <v>0</v>
          </cell>
          <cell r="G166" t="str">
            <v>Egyéb sajátos juttatások</v>
          </cell>
        </row>
        <row r="167">
          <cell r="A167" t="str">
            <v>47</v>
          </cell>
          <cell r="B167" t="str">
            <v>02</v>
          </cell>
          <cell r="C167" t="str">
            <v>1</v>
          </cell>
          <cell r="D167" t="str">
            <v>B</v>
          </cell>
          <cell r="E167">
            <v>1</v>
          </cell>
          <cell r="F167">
            <v>3</v>
          </cell>
          <cell r="G167" t="str">
            <v>Fegyveres erök,test.,rendv.áll.nem tart.jut.(43+...+46)</v>
          </cell>
        </row>
        <row r="168">
          <cell r="A168" t="str">
            <v>48</v>
          </cell>
          <cell r="B168" t="str">
            <v>02</v>
          </cell>
          <cell r="C168" t="str">
            <v>1</v>
          </cell>
          <cell r="D168" t="str">
            <v>B</v>
          </cell>
          <cell r="E168">
            <v>1</v>
          </cell>
          <cell r="F168">
            <v>3</v>
          </cell>
          <cell r="G168" t="str">
            <v>Külsö személyi juttatások (42+47)</v>
          </cell>
        </row>
        <row r="169">
          <cell r="A169" t="str">
            <v>49</v>
          </cell>
          <cell r="B169" t="str">
            <v>02</v>
          </cell>
          <cell r="C169" t="str">
            <v>1</v>
          </cell>
          <cell r="D169" t="str">
            <v>B</v>
          </cell>
          <cell r="E169">
            <v>1</v>
          </cell>
          <cell r="F169">
            <v>3</v>
          </cell>
          <cell r="G169" t="str">
            <v>Személyi juttatások összesen (09+41+48)</v>
          </cell>
        </row>
        <row r="170">
          <cell r="A170" t="str">
            <v>50</v>
          </cell>
          <cell r="B170" t="str">
            <v>02</v>
          </cell>
          <cell r="C170" t="str">
            <v>1</v>
          </cell>
          <cell r="D170" t="str">
            <v>B</v>
          </cell>
          <cell r="E170">
            <v>1</v>
          </cell>
          <cell r="F170">
            <v>0</v>
          </cell>
          <cell r="G170" t="str">
            <v>Társadalombiztositási járulék</v>
          </cell>
        </row>
        <row r="171">
          <cell r="A171" t="str">
            <v>51</v>
          </cell>
          <cell r="B171" t="str">
            <v>02</v>
          </cell>
          <cell r="C171" t="str">
            <v>1</v>
          </cell>
          <cell r="D171" t="str">
            <v>B</v>
          </cell>
          <cell r="E171">
            <v>1</v>
          </cell>
          <cell r="F171">
            <v>0</v>
          </cell>
          <cell r="G171" t="str">
            <v>Munkaadoi járulék</v>
          </cell>
        </row>
        <row r="172">
          <cell r="A172" t="str">
            <v>52</v>
          </cell>
          <cell r="B172" t="str">
            <v>02</v>
          </cell>
          <cell r="C172" t="str">
            <v>1</v>
          </cell>
          <cell r="D172" t="str">
            <v>B</v>
          </cell>
          <cell r="E172">
            <v>1</v>
          </cell>
          <cell r="F172">
            <v>0</v>
          </cell>
          <cell r="G172" t="str">
            <v>Egészségügyi hozzájárulás</v>
          </cell>
        </row>
        <row r="173">
          <cell r="A173" t="str">
            <v>53</v>
          </cell>
          <cell r="B173" t="str">
            <v>02</v>
          </cell>
          <cell r="C173" t="str">
            <v>1</v>
          </cell>
          <cell r="D173" t="str">
            <v>B</v>
          </cell>
          <cell r="E173">
            <v>1</v>
          </cell>
          <cell r="F173">
            <v>0</v>
          </cell>
          <cell r="G173" t="str">
            <v>Táppénz hozzájárulás</v>
          </cell>
        </row>
        <row r="174">
          <cell r="A174" t="str">
            <v>54</v>
          </cell>
          <cell r="B174" t="str">
            <v>02</v>
          </cell>
          <cell r="C174" t="str">
            <v>1</v>
          </cell>
          <cell r="D174" t="str">
            <v>B</v>
          </cell>
          <cell r="E174">
            <v>1</v>
          </cell>
          <cell r="F174">
            <v>0</v>
          </cell>
          <cell r="G174" t="str">
            <v>Munkaadokat terhelö járulékok államháztartáson kivülre</v>
          </cell>
        </row>
        <row r="175">
          <cell r="A175" t="str">
            <v>55</v>
          </cell>
          <cell r="B175" t="str">
            <v>02</v>
          </cell>
          <cell r="C175" t="str">
            <v>1</v>
          </cell>
          <cell r="D175" t="str">
            <v>B</v>
          </cell>
          <cell r="E175">
            <v>1</v>
          </cell>
          <cell r="F175">
            <v>0</v>
          </cell>
          <cell r="G175" t="str">
            <v>Munkaadokat terhelö egyéb járulékok</v>
          </cell>
        </row>
        <row r="176">
          <cell r="A176" t="str">
            <v>56</v>
          </cell>
          <cell r="B176" t="str">
            <v>02</v>
          </cell>
          <cell r="C176" t="str">
            <v>1</v>
          </cell>
          <cell r="D176" t="str">
            <v>B</v>
          </cell>
          <cell r="E176">
            <v>1</v>
          </cell>
          <cell r="F176">
            <v>3</v>
          </cell>
          <cell r="G176" t="str">
            <v>Munkaadokat terhelö járulékok (50+...+55)</v>
          </cell>
        </row>
        <row r="177">
          <cell r="A177" t="str">
            <v>1</v>
          </cell>
          <cell r="B177" t="str">
            <v>03</v>
          </cell>
          <cell r="C177" t="str">
            <v>1</v>
          </cell>
          <cell r="D177" t="str">
            <v>B</v>
          </cell>
          <cell r="E177">
            <v>1</v>
          </cell>
          <cell r="F177">
            <v>0</v>
          </cell>
          <cell r="G177" t="str">
            <v>Élelmiszer beszerzés</v>
          </cell>
        </row>
        <row r="178">
          <cell r="A178" t="str">
            <v>2</v>
          </cell>
          <cell r="B178" t="str">
            <v>03</v>
          </cell>
          <cell r="C178" t="str">
            <v>1</v>
          </cell>
          <cell r="D178" t="str">
            <v>B</v>
          </cell>
          <cell r="E178">
            <v>1</v>
          </cell>
          <cell r="F178">
            <v>0</v>
          </cell>
          <cell r="G178" t="str">
            <v>Gyogyszerbeszerzés</v>
          </cell>
        </row>
        <row r="179">
          <cell r="A179" t="str">
            <v>3</v>
          </cell>
          <cell r="B179" t="str">
            <v>03</v>
          </cell>
          <cell r="C179" t="str">
            <v>1</v>
          </cell>
          <cell r="D179" t="str">
            <v>B</v>
          </cell>
          <cell r="E179">
            <v>1</v>
          </cell>
          <cell r="F179">
            <v>0</v>
          </cell>
          <cell r="G179" t="str">
            <v>Vegyszerbeszerzés</v>
          </cell>
        </row>
        <row r="180">
          <cell r="A180" t="str">
            <v>4</v>
          </cell>
          <cell r="B180" t="str">
            <v>03</v>
          </cell>
          <cell r="C180" t="str">
            <v>1</v>
          </cell>
          <cell r="D180" t="str">
            <v>B</v>
          </cell>
          <cell r="E180">
            <v>1</v>
          </cell>
          <cell r="F180">
            <v>0</v>
          </cell>
          <cell r="G180" t="str">
            <v>Irodaszer, nyomtatvány beszerzése</v>
          </cell>
        </row>
        <row r="181">
          <cell r="A181" t="str">
            <v>5</v>
          </cell>
          <cell r="B181" t="str">
            <v>03</v>
          </cell>
          <cell r="C181" t="str">
            <v>1</v>
          </cell>
          <cell r="D181" t="str">
            <v>B</v>
          </cell>
          <cell r="E181">
            <v>1</v>
          </cell>
          <cell r="F181">
            <v>0</v>
          </cell>
          <cell r="G181" t="str">
            <v>Könyv beszerzése</v>
          </cell>
        </row>
        <row r="182">
          <cell r="A182" t="str">
            <v>6</v>
          </cell>
          <cell r="B182" t="str">
            <v>03</v>
          </cell>
          <cell r="C182" t="str">
            <v>1</v>
          </cell>
          <cell r="D182" t="str">
            <v>B</v>
          </cell>
          <cell r="E182">
            <v>1</v>
          </cell>
          <cell r="F182">
            <v>0</v>
          </cell>
          <cell r="G182" t="str">
            <v>Folyoirat beszerzése</v>
          </cell>
        </row>
        <row r="183">
          <cell r="A183" t="str">
            <v>7</v>
          </cell>
          <cell r="B183" t="str">
            <v>03</v>
          </cell>
          <cell r="C183" t="str">
            <v>1</v>
          </cell>
          <cell r="D183" t="str">
            <v>B</v>
          </cell>
          <cell r="E183">
            <v>1</v>
          </cell>
          <cell r="F183">
            <v>0</v>
          </cell>
          <cell r="G183" t="str">
            <v>Egyéb informáciohordozo beszerzése</v>
          </cell>
        </row>
        <row r="184">
          <cell r="A184" t="str">
            <v>8</v>
          </cell>
          <cell r="B184" t="str">
            <v>03</v>
          </cell>
          <cell r="C184" t="str">
            <v>1</v>
          </cell>
          <cell r="D184" t="str">
            <v>B</v>
          </cell>
          <cell r="E184">
            <v>1</v>
          </cell>
          <cell r="F184">
            <v>0</v>
          </cell>
          <cell r="G184" t="str">
            <v>Tüzelöanyagok beszerzése</v>
          </cell>
        </row>
        <row r="185">
          <cell r="A185" t="str">
            <v>9</v>
          </cell>
          <cell r="B185" t="str">
            <v>03</v>
          </cell>
          <cell r="C185" t="str">
            <v>1</v>
          </cell>
          <cell r="D185" t="str">
            <v>B</v>
          </cell>
          <cell r="E185">
            <v>1</v>
          </cell>
          <cell r="F185">
            <v>0</v>
          </cell>
          <cell r="G185" t="str">
            <v>Hajto- és kenöanyag beszerzése</v>
          </cell>
        </row>
        <row r="186">
          <cell r="A186" t="str">
            <v>10</v>
          </cell>
          <cell r="B186" t="str">
            <v>03</v>
          </cell>
          <cell r="C186" t="str">
            <v>1</v>
          </cell>
          <cell r="D186" t="str">
            <v>B</v>
          </cell>
          <cell r="E186">
            <v>1</v>
          </cell>
          <cell r="F186">
            <v>0</v>
          </cell>
          <cell r="G186" t="str">
            <v>Szakmai anyagok beszerzése</v>
          </cell>
        </row>
        <row r="187">
          <cell r="A187" t="str">
            <v>11</v>
          </cell>
          <cell r="B187" t="str">
            <v>03</v>
          </cell>
          <cell r="C187" t="str">
            <v>1</v>
          </cell>
          <cell r="D187" t="str">
            <v>B</v>
          </cell>
          <cell r="E187">
            <v>1</v>
          </cell>
          <cell r="F187">
            <v>0</v>
          </cell>
          <cell r="G187" t="str">
            <v>Kis értékü tárgyi eszköz,szellemi termékek beszerzése</v>
          </cell>
        </row>
        <row r="188">
          <cell r="A188" t="str">
            <v>12</v>
          </cell>
          <cell r="B188" t="str">
            <v>03</v>
          </cell>
          <cell r="C188" t="str">
            <v>1</v>
          </cell>
          <cell r="D188" t="str">
            <v>B</v>
          </cell>
          <cell r="E188">
            <v>1</v>
          </cell>
          <cell r="F188">
            <v>0</v>
          </cell>
          <cell r="G188" t="str">
            <v>Munkaruha,védöruha,formaruha,egyenruha</v>
          </cell>
        </row>
        <row r="189">
          <cell r="A189" t="str">
            <v>13</v>
          </cell>
          <cell r="B189" t="str">
            <v>03</v>
          </cell>
          <cell r="C189" t="str">
            <v>1</v>
          </cell>
          <cell r="D189" t="str">
            <v>B</v>
          </cell>
          <cell r="E189">
            <v>1</v>
          </cell>
          <cell r="F189">
            <v>0</v>
          </cell>
          <cell r="G189" t="str">
            <v>Egyéb anyagbeszerzés</v>
          </cell>
        </row>
        <row r="190">
          <cell r="A190" t="str">
            <v>14</v>
          </cell>
          <cell r="B190" t="str">
            <v>03</v>
          </cell>
          <cell r="C190" t="str">
            <v>1</v>
          </cell>
          <cell r="D190" t="str">
            <v>B</v>
          </cell>
          <cell r="E190">
            <v>1</v>
          </cell>
          <cell r="F190">
            <v>3</v>
          </cell>
          <cell r="G190" t="str">
            <v>Készletbeszerzés (01+...+13)</v>
          </cell>
        </row>
        <row r="191">
          <cell r="A191" t="str">
            <v>15</v>
          </cell>
          <cell r="B191" t="str">
            <v>03</v>
          </cell>
          <cell r="C191" t="str">
            <v>1</v>
          </cell>
          <cell r="D191" t="str">
            <v>B</v>
          </cell>
          <cell r="E191">
            <v>1</v>
          </cell>
          <cell r="F191">
            <v>0</v>
          </cell>
          <cell r="G191" t="str">
            <v>Nem adatátviteli célu távközlési dijak</v>
          </cell>
        </row>
        <row r="192">
          <cell r="A192" t="str">
            <v>16</v>
          </cell>
          <cell r="B192" t="str">
            <v>03</v>
          </cell>
          <cell r="C192" t="str">
            <v>1</v>
          </cell>
          <cell r="D192" t="str">
            <v>B</v>
          </cell>
          <cell r="E192">
            <v>1</v>
          </cell>
          <cell r="F192">
            <v>0</v>
          </cell>
          <cell r="G192" t="str">
            <v>Adatátviteli célu távközlési dijak</v>
          </cell>
        </row>
        <row r="193">
          <cell r="A193" t="str">
            <v>17</v>
          </cell>
          <cell r="B193" t="str">
            <v>03</v>
          </cell>
          <cell r="C193" t="str">
            <v>1</v>
          </cell>
          <cell r="D193" t="str">
            <v>B</v>
          </cell>
          <cell r="E193">
            <v>1</v>
          </cell>
          <cell r="F193">
            <v>0</v>
          </cell>
          <cell r="G193" t="str">
            <v>Egyéb kommunikácios szolgáltatások</v>
          </cell>
        </row>
        <row r="194">
          <cell r="A194" t="str">
            <v>18</v>
          </cell>
          <cell r="B194" t="str">
            <v>03</v>
          </cell>
          <cell r="C194" t="str">
            <v>1</v>
          </cell>
          <cell r="D194" t="str">
            <v>B</v>
          </cell>
          <cell r="E194">
            <v>1</v>
          </cell>
          <cell r="F194">
            <v>3</v>
          </cell>
          <cell r="G194" t="str">
            <v>Kommunikácios szolgáltatások  (15+16+17)</v>
          </cell>
        </row>
        <row r="195">
          <cell r="A195" t="str">
            <v>19</v>
          </cell>
          <cell r="B195" t="str">
            <v>03</v>
          </cell>
          <cell r="C195" t="str">
            <v>1</v>
          </cell>
          <cell r="D195" t="str">
            <v>B</v>
          </cell>
          <cell r="E195">
            <v>1</v>
          </cell>
          <cell r="F195">
            <v>0</v>
          </cell>
          <cell r="G195" t="str">
            <v>Vásárolt élelmezés</v>
          </cell>
        </row>
        <row r="196">
          <cell r="A196" t="str">
            <v>20</v>
          </cell>
          <cell r="B196" t="str">
            <v>03</v>
          </cell>
          <cell r="C196" t="str">
            <v>1</v>
          </cell>
          <cell r="D196" t="str">
            <v>B</v>
          </cell>
          <cell r="E196">
            <v>1</v>
          </cell>
          <cell r="F196">
            <v>0</v>
          </cell>
          <cell r="G196" t="str">
            <v>Bérleti és lizing dijak</v>
          </cell>
        </row>
        <row r="197">
          <cell r="A197" t="str">
            <v>21</v>
          </cell>
          <cell r="B197" t="str">
            <v>03</v>
          </cell>
          <cell r="C197" t="str">
            <v>1</v>
          </cell>
          <cell r="D197" t="str">
            <v>B</v>
          </cell>
          <cell r="E197">
            <v>1</v>
          </cell>
          <cell r="F197">
            <v>0</v>
          </cell>
          <cell r="G197" t="str">
            <v>Szállitási szolgáltatás</v>
          </cell>
        </row>
        <row r="198">
          <cell r="A198" t="str">
            <v>22</v>
          </cell>
          <cell r="B198" t="str">
            <v>03</v>
          </cell>
          <cell r="C198" t="str">
            <v>1</v>
          </cell>
          <cell r="D198" t="str">
            <v>B</v>
          </cell>
          <cell r="E198">
            <v>1</v>
          </cell>
          <cell r="F198">
            <v>0</v>
          </cell>
          <cell r="G198" t="str">
            <v>Gázenergia-szolgáltatás dija</v>
          </cell>
        </row>
        <row r="199">
          <cell r="A199" t="str">
            <v>23</v>
          </cell>
          <cell r="B199" t="str">
            <v>03</v>
          </cell>
          <cell r="C199" t="str">
            <v>1</v>
          </cell>
          <cell r="D199" t="str">
            <v>B</v>
          </cell>
          <cell r="E199">
            <v>1</v>
          </cell>
          <cell r="F199">
            <v>0</v>
          </cell>
          <cell r="G199" t="str">
            <v>Villamosenergia-szolgáltatás dija</v>
          </cell>
        </row>
        <row r="200">
          <cell r="A200" t="str">
            <v>24</v>
          </cell>
          <cell r="B200" t="str">
            <v>03</v>
          </cell>
          <cell r="C200" t="str">
            <v>1</v>
          </cell>
          <cell r="D200" t="str">
            <v>B</v>
          </cell>
          <cell r="E200">
            <v>1</v>
          </cell>
          <cell r="F200">
            <v>0</v>
          </cell>
          <cell r="G200" t="str">
            <v>Távhö- és melegviz-szolgáltatás dija</v>
          </cell>
        </row>
        <row r="201">
          <cell r="A201" t="str">
            <v>25</v>
          </cell>
          <cell r="B201" t="str">
            <v>03</v>
          </cell>
          <cell r="C201" t="str">
            <v>1</v>
          </cell>
          <cell r="D201" t="str">
            <v>B</v>
          </cell>
          <cell r="E201">
            <v>1</v>
          </cell>
          <cell r="F201">
            <v>0</v>
          </cell>
          <cell r="G201" t="str">
            <v>Viz- és csatornadijak</v>
          </cell>
        </row>
        <row r="202">
          <cell r="A202" t="str">
            <v>26</v>
          </cell>
          <cell r="B202" t="str">
            <v>03</v>
          </cell>
          <cell r="C202" t="str">
            <v>1</v>
          </cell>
          <cell r="D202" t="str">
            <v>B</v>
          </cell>
          <cell r="E202">
            <v>1</v>
          </cell>
          <cell r="F202">
            <v>0</v>
          </cell>
          <cell r="G202" t="str">
            <v>Karbantartási,kisjavitási szolgáltatások kiadásai</v>
          </cell>
        </row>
        <row r="203">
          <cell r="A203" t="str">
            <v>27</v>
          </cell>
          <cell r="B203" t="str">
            <v>03</v>
          </cell>
          <cell r="C203" t="str">
            <v>1</v>
          </cell>
          <cell r="D203" t="str">
            <v>B</v>
          </cell>
          <cell r="E203">
            <v>1</v>
          </cell>
          <cell r="F203">
            <v>0</v>
          </cell>
          <cell r="G203" t="str">
            <v>Egyéb üzemeltetési,fenntartási szolgáltatási kiadások</v>
          </cell>
        </row>
        <row r="204">
          <cell r="A204" t="str">
            <v>28</v>
          </cell>
          <cell r="B204" t="str">
            <v>03</v>
          </cell>
          <cell r="C204" t="str">
            <v>1</v>
          </cell>
          <cell r="D204" t="str">
            <v>B</v>
          </cell>
          <cell r="E204">
            <v>1</v>
          </cell>
          <cell r="F204">
            <v>0</v>
          </cell>
          <cell r="G204" t="str">
            <v>Továbbszámlázott(közvetitett)szolg.kiadások ÁH-n belülre</v>
          </cell>
        </row>
        <row r="205">
          <cell r="A205" t="str">
            <v>29</v>
          </cell>
          <cell r="B205" t="str">
            <v>03</v>
          </cell>
          <cell r="C205" t="str">
            <v>1</v>
          </cell>
          <cell r="D205" t="str">
            <v>B</v>
          </cell>
          <cell r="E205">
            <v>1</v>
          </cell>
          <cell r="F205">
            <v>0</v>
          </cell>
          <cell r="G205" t="str">
            <v>Továbbszámlázott(közvetitett)szolg.kiadások ÁH-n kivülre</v>
          </cell>
        </row>
        <row r="206">
          <cell r="A206" t="str">
            <v>30</v>
          </cell>
          <cell r="B206" t="str">
            <v>03</v>
          </cell>
          <cell r="C206" t="str">
            <v>1</v>
          </cell>
          <cell r="D206" t="str">
            <v>B</v>
          </cell>
          <cell r="E206">
            <v>1</v>
          </cell>
          <cell r="F206">
            <v>3</v>
          </cell>
          <cell r="G206" t="str">
            <v>Szolgáltatási kiadások (19+...+29)</v>
          </cell>
        </row>
        <row r="207">
          <cell r="A207" t="str">
            <v>31</v>
          </cell>
          <cell r="B207" t="str">
            <v>03</v>
          </cell>
          <cell r="C207" t="str">
            <v>1</v>
          </cell>
          <cell r="D207" t="str">
            <v>B</v>
          </cell>
          <cell r="E207">
            <v>1</v>
          </cell>
          <cell r="F207">
            <v>0</v>
          </cell>
          <cell r="G207" t="str">
            <v>Vásárolt közszolgáltatások</v>
          </cell>
        </row>
        <row r="208">
          <cell r="A208" t="str">
            <v>32</v>
          </cell>
          <cell r="B208" t="str">
            <v>03</v>
          </cell>
          <cell r="C208" t="str">
            <v>1</v>
          </cell>
          <cell r="D208" t="str">
            <v>B</v>
          </cell>
          <cell r="E208">
            <v>1</v>
          </cell>
          <cell r="F208">
            <v>0</v>
          </cell>
          <cell r="G208" t="str">
            <v>Vásárolt termékek és szolgáltatások ÁFA-ja</v>
          </cell>
        </row>
        <row r="209">
          <cell r="A209" t="str">
            <v>33</v>
          </cell>
          <cell r="B209" t="str">
            <v>03</v>
          </cell>
          <cell r="C209" t="str">
            <v>1</v>
          </cell>
          <cell r="D209" t="str">
            <v>B</v>
          </cell>
          <cell r="E209">
            <v>1</v>
          </cell>
          <cell r="F209">
            <v>0</v>
          </cell>
          <cell r="G209" t="str">
            <v>Kiszámlázott termékek és szolgáltatások ÁFA befizetése</v>
          </cell>
        </row>
        <row r="210">
          <cell r="A210" t="str">
            <v>34</v>
          </cell>
          <cell r="B210" t="str">
            <v>03</v>
          </cell>
          <cell r="C210" t="str">
            <v>1</v>
          </cell>
          <cell r="D210" t="str">
            <v>B</v>
          </cell>
          <cell r="E210">
            <v>1</v>
          </cell>
          <cell r="F210">
            <v>0</v>
          </cell>
          <cell r="G210" t="str">
            <v>Ért.tárgyi eszköz.,immat.javak ÁFA befiz.(05.ürlap nélkül)</v>
          </cell>
        </row>
        <row r="211">
          <cell r="A211" t="str">
            <v>35</v>
          </cell>
          <cell r="B211" t="str">
            <v>03</v>
          </cell>
          <cell r="C211" t="str">
            <v>1</v>
          </cell>
          <cell r="D211" t="str">
            <v>B</v>
          </cell>
          <cell r="E211">
            <v>1</v>
          </cell>
          <cell r="F211">
            <v>3</v>
          </cell>
          <cell r="G211" t="str">
            <v>Általános forgalmi ado összesen (32+33+34)</v>
          </cell>
        </row>
        <row r="212">
          <cell r="A212" t="str">
            <v>36</v>
          </cell>
          <cell r="B212" t="str">
            <v>03</v>
          </cell>
          <cell r="C212" t="str">
            <v>1</v>
          </cell>
          <cell r="D212" t="str">
            <v>B</v>
          </cell>
          <cell r="E212">
            <v>1</v>
          </cell>
          <cell r="F212">
            <v>0</v>
          </cell>
          <cell r="G212" t="str">
            <v>Belföldi kiküldetés</v>
          </cell>
        </row>
        <row r="213">
          <cell r="A213" t="str">
            <v>37</v>
          </cell>
          <cell r="B213" t="str">
            <v>03</v>
          </cell>
          <cell r="C213" t="str">
            <v>1</v>
          </cell>
          <cell r="D213" t="str">
            <v>B</v>
          </cell>
          <cell r="E213">
            <v>1</v>
          </cell>
          <cell r="F213">
            <v>0</v>
          </cell>
          <cell r="G213" t="str">
            <v>Külföldi kiküldetés</v>
          </cell>
        </row>
        <row r="214">
          <cell r="A214" t="str">
            <v>38</v>
          </cell>
          <cell r="B214" t="str">
            <v>03</v>
          </cell>
          <cell r="C214" t="str">
            <v>1</v>
          </cell>
          <cell r="D214" t="str">
            <v>B</v>
          </cell>
          <cell r="E214">
            <v>1</v>
          </cell>
          <cell r="F214">
            <v>0</v>
          </cell>
          <cell r="G214" t="str">
            <v>Reprezentácio</v>
          </cell>
        </row>
        <row r="215">
          <cell r="A215" t="str">
            <v>39</v>
          </cell>
          <cell r="B215" t="str">
            <v>03</v>
          </cell>
          <cell r="C215" t="str">
            <v>1</v>
          </cell>
          <cell r="D215" t="str">
            <v>B</v>
          </cell>
          <cell r="E215">
            <v>1</v>
          </cell>
          <cell r="F215">
            <v>0</v>
          </cell>
          <cell r="G215" t="str">
            <v>Reklám és propaganda kiadások</v>
          </cell>
        </row>
        <row r="216">
          <cell r="A216" t="str">
            <v>40</v>
          </cell>
          <cell r="B216" t="str">
            <v>03</v>
          </cell>
          <cell r="C216" t="str">
            <v>1</v>
          </cell>
          <cell r="D216" t="str">
            <v>B</v>
          </cell>
          <cell r="E216">
            <v>1</v>
          </cell>
          <cell r="F216">
            <v>3</v>
          </cell>
          <cell r="G216" t="str">
            <v>Kiküldetés,reprezentácio,reklámkiadások (36+...+39)</v>
          </cell>
        </row>
        <row r="217">
          <cell r="A217" t="str">
            <v>41</v>
          </cell>
          <cell r="B217" t="str">
            <v>03</v>
          </cell>
          <cell r="C217" t="str">
            <v>1</v>
          </cell>
          <cell r="D217" t="str">
            <v>B</v>
          </cell>
          <cell r="E217">
            <v>1</v>
          </cell>
          <cell r="F217">
            <v>0</v>
          </cell>
          <cell r="G217" t="str">
            <v>Szellemi tevékenység végzésére kifizetés</v>
          </cell>
        </row>
        <row r="218">
          <cell r="A218" t="str">
            <v>42</v>
          </cell>
          <cell r="B218" t="str">
            <v>03</v>
          </cell>
          <cell r="C218" t="str">
            <v>1</v>
          </cell>
          <cell r="D218" t="str">
            <v>B</v>
          </cell>
          <cell r="E218">
            <v>1</v>
          </cell>
          <cell r="F218">
            <v>0</v>
          </cell>
          <cell r="G218" t="str">
            <v>Egyéb dologi kiadások</v>
          </cell>
        </row>
        <row r="219">
          <cell r="A219" t="str">
            <v>43</v>
          </cell>
          <cell r="B219" t="str">
            <v>03</v>
          </cell>
          <cell r="C219" t="str">
            <v>1</v>
          </cell>
          <cell r="D219" t="str">
            <v>B</v>
          </cell>
          <cell r="E219">
            <v>1</v>
          </cell>
          <cell r="F219">
            <v>4</v>
          </cell>
          <cell r="G219" t="str">
            <v>Dologi kiadások (14+18+30+31+35+40+41+42)</v>
          </cell>
        </row>
        <row r="220">
          <cell r="A220" t="str">
            <v>44</v>
          </cell>
          <cell r="B220" t="str">
            <v>03</v>
          </cell>
          <cell r="C220" t="str">
            <v>1</v>
          </cell>
          <cell r="D220" t="str">
            <v>B</v>
          </cell>
          <cell r="E220">
            <v>1</v>
          </cell>
          <cell r="F220">
            <v>0</v>
          </cell>
          <cell r="G220" t="str">
            <v>Elözö évi maradvány visszafizetése (felügyeleti nélkül)</v>
          </cell>
        </row>
        <row r="221">
          <cell r="A221" t="str">
            <v>45</v>
          </cell>
          <cell r="B221" t="str">
            <v>03</v>
          </cell>
          <cell r="C221" t="str">
            <v>1</v>
          </cell>
          <cell r="D221" t="str">
            <v>B</v>
          </cell>
          <cell r="E221">
            <v>1</v>
          </cell>
          <cell r="F221">
            <v>0</v>
          </cell>
          <cell r="G221" t="str">
            <v>Vállalkozási tevékenység eredménye utáni befizetés</v>
          </cell>
        </row>
        <row r="222">
          <cell r="A222" t="str">
            <v>46</v>
          </cell>
          <cell r="B222" t="str">
            <v>03</v>
          </cell>
          <cell r="C222" t="str">
            <v>1</v>
          </cell>
          <cell r="D222" t="str">
            <v>B</v>
          </cell>
          <cell r="E222">
            <v>1</v>
          </cell>
          <cell r="F222">
            <v>0</v>
          </cell>
          <cell r="G222" t="str">
            <v>Felügyeleti szerv javára teljesitett egyéb befizetés</v>
          </cell>
        </row>
        <row r="223">
          <cell r="A223" t="str">
            <v>47</v>
          </cell>
          <cell r="B223" t="str">
            <v>03</v>
          </cell>
          <cell r="C223" t="str">
            <v>1</v>
          </cell>
          <cell r="D223" t="str">
            <v>B</v>
          </cell>
          <cell r="E223">
            <v>1</v>
          </cell>
          <cell r="F223">
            <v>0</v>
          </cell>
          <cell r="G223" t="str">
            <v>Eredeti elöirányzatot meghalado bevétel utáni befizetés</v>
          </cell>
        </row>
        <row r="224">
          <cell r="A224" t="str">
            <v>48</v>
          </cell>
          <cell r="B224" t="str">
            <v>03</v>
          </cell>
          <cell r="C224" t="str">
            <v>1</v>
          </cell>
          <cell r="D224" t="str">
            <v>B</v>
          </cell>
          <cell r="E224">
            <v>1</v>
          </cell>
          <cell r="F224">
            <v>0</v>
          </cell>
          <cell r="G224" t="str">
            <v>Bevételek meghatározott köre utáni befizetés</v>
          </cell>
        </row>
        <row r="225">
          <cell r="A225" t="str">
            <v>49</v>
          </cell>
          <cell r="B225" t="str">
            <v>03</v>
          </cell>
          <cell r="C225" t="str">
            <v>1</v>
          </cell>
          <cell r="D225" t="str">
            <v>B</v>
          </cell>
          <cell r="E225">
            <v>1</v>
          </cell>
          <cell r="F225">
            <v>0</v>
          </cell>
          <cell r="G225" t="str">
            <v>Befektetett eszközökkel kapcsolatos befizetési kötelezettség</v>
          </cell>
        </row>
        <row r="226">
          <cell r="A226" t="str">
            <v>50</v>
          </cell>
          <cell r="B226" t="str">
            <v>03</v>
          </cell>
          <cell r="C226" t="str">
            <v>1</v>
          </cell>
          <cell r="D226" t="str">
            <v>B</v>
          </cell>
          <cell r="E226">
            <v>1</v>
          </cell>
          <cell r="F226">
            <v>0</v>
          </cell>
          <cell r="G226" t="str">
            <v>Egyéb befizetési kötelezettség</v>
          </cell>
        </row>
        <row r="227">
          <cell r="A227" t="str">
            <v>51</v>
          </cell>
          <cell r="B227" t="str">
            <v>03</v>
          </cell>
          <cell r="C227" t="str">
            <v>1</v>
          </cell>
          <cell r="D227" t="str">
            <v>B</v>
          </cell>
          <cell r="E227">
            <v>1</v>
          </cell>
          <cell r="F227">
            <v>3</v>
          </cell>
          <cell r="G227" t="str">
            <v>Különféle költségvetési befizetések (44+...+50)</v>
          </cell>
        </row>
        <row r="228">
          <cell r="A228" t="str">
            <v>52</v>
          </cell>
          <cell r="B228" t="str">
            <v>03</v>
          </cell>
          <cell r="C228" t="str">
            <v>1</v>
          </cell>
          <cell r="D228" t="str">
            <v>B</v>
          </cell>
          <cell r="E228">
            <v>1</v>
          </cell>
          <cell r="F228">
            <v>0</v>
          </cell>
          <cell r="G228" t="str">
            <v>Munkáltato által fizetett személyi jövedelemado</v>
          </cell>
        </row>
        <row r="229">
          <cell r="A229" t="str">
            <v>53</v>
          </cell>
          <cell r="B229" t="str">
            <v>03</v>
          </cell>
          <cell r="C229" t="str">
            <v>1</v>
          </cell>
          <cell r="D229" t="str">
            <v>B</v>
          </cell>
          <cell r="E229">
            <v>1</v>
          </cell>
          <cell r="F229">
            <v>0</v>
          </cell>
          <cell r="G229" t="str">
            <v>Nemzetközi tagsági dijak</v>
          </cell>
        </row>
        <row r="230">
          <cell r="A230" t="str">
            <v>54</v>
          </cell>
          <cell r="B230" t="str">
            <v>03</v>
          </cell>
          <cell r="C230" t="str">
            <v>1</v>
          </cell>
          <cell r="D230" t="str">
            <v>B</v>
          </cell>
          <cell r="E230">
            <v>1</v>
          </cell>
          <cell r="F230">
            <v>0</v>
          </cell>
          <cell r="G230" t="str">
            <v>Adok,dijak,egyéb befizetések</v>
          </cell>
        </row>
        <row r="231">
          <cell r="A231" t="str">
            <v>55</v>
          </cell>
          <cell r="B231" t="str">
            <v>03</v>
          </cell>
          <cell r="C231" t="str">
            <v>1</v>
          </cell>
          <cell r="D231" t="str">
            <v>B</v>
          </cell>
          <cell r="E231">
            <v>1</v>
          </cell>
          <cell r="F231">
            <v>3</v>
          </cell>
          <cell r="G231" t="str">
            <v>Adok,dijak,befizetések (52+53+54)</v>
          </cell>
        </row>
        <row r="232">
          <cell r="A232" t="str">
            <v>56</v>
          </cell>
          <cell r="B232" t="str">
            <v>03</v>
          </cell>
          <cell r="C232" t="str">
            <v>1</v>
          </cell>
          <cell r="D232" t="str">
            <v>B</v>
          </cell>
          <cell r="E232">
            <v>1</v>
          </cell>
          <cell r="F232">
            <v>0</v>
          </cell>
          <cell r="G232" t="str">
            <v>Kamatkiadások államháztartáson kivülre</v>
          </cell>
        </row>
        <row r="233">
          <cell r="A233" t="str">
            <v>57</v>
          </cell>
          <cell r="B233" t="str">
            <v>03</v>
          </cell>
          <cell r="C233" t="str">
            <v>1</v>
          </cell>
          <cell r="D233" t="str">
            <v>B</v>
          </cell>
          <cell r="E233">
            <v>1</v>
          </cell>
          <cell r="F233">
            <v>0</v>
          </cell>
          <cell r="G233" t="str">
            <v>Kamatkiadások államháztartáson belülre</v>
          </cell>
        </row>
        <row r="234">
          <cell r="A234" t="str">
            <v>58</v>
          </cell>
          <cell r="B234" t="str">
            <v>03</v>
          </cell>
          <cell r="C234" t="str">
            <v>1</v>
          </cell>
          <cell r="D234" t="str">
            <v>B</v>
          </cell>
          <cell r="E234">
            <v>1</v>
          </cell>
          <cell r="F234">
            <v>2</v>
          </cell>
          <cell r="G234" t="str">
            <v>Kamatkiadások  (56+57)</v>
          </cell>
        </row>
        <row r="235">
          <cell r="A235" t="str">
            <v>59</v>
          </cell>
          <cell r="B235" t="str">
            <v>03</v>
          </cell>
          <cell r="C235" t="str">
            <v>1</v>
          </cell>
          <cell r="D235" t="str">
            <v>B</v>
          </cell>
          <cell r="E235">
            <v>1</v>
          </cell>
          <cell r="F235">
            <v>0</v>
          </cell>
          <cell r="G235" t="str">
            <v>Realizált árfolyamveszteségek</v>
          </cell>
        </row>
        <row r="236">
          <cell r="A236" t="str">
            <v>60</v>
          </cell>
          <cell r="B236" t="str">
            <v>03</v>
          </cell>
          <cell r="C236" t="str">
            <v>1</v>
          </cell>
          <cell r="D236" t="str">
            <v>B</v>
          </cell>
          <cell r="E236">
            <v>1</v>
          </cell>
          <cell r="F236">
            <v>2</v>
          </cell>
          <cell r="G236" t="str">
            <v>Egyéb folyo kiadások (51+55+58+59)</v>
          </cell>
        </row>
        <row r="237">
          <cell r="A237" t="str">
            <v>61</v>
          </cell>
          <cell r="B237" t="str">
            <v>03</v>
          </cell>
          <cell r="C237" t="str">
            <v>1</v>
          </cell>
          <cell r="D237" t="str">
            <v>B</v>
          </cell>
          <cell r="E237">
            <v>1</v>
          </cell>
          <cell r="F237">
            <v>3</v>
          </cell>
          <cell r="G237" t="str">
            <v>Dologi kiadások és egyéb folyo kiadások   (43+60)</v>
          </cell>
        </row>
        <row r="238">
          <cell r="A238" t="str">
            <v>1</v>
          </cell>
          <cell r="B238" t="str">
            <v>04</v>
          </cell>
          <cell r="C238" t="str">
            <v>1</v>
          </cell>
          <cell r="D238" t="str">
            <v>B</v>
          </cell>
          <cell r="E238">
            <v>1</v>
          </cell>
          <cell r="F238">
            <v>0</v>
          </cell>
          <cell r="G238" t="str">
            <v>Felügy. alá tartozo ktgv-i szerveknek folyositott támogatás</v>
          </cell>
        </row>
        <row r="239">
          <cell r="A239" t="str">
            <v>2</v>
          </cell>
          <cell r="B239" t="str">
            <v>04</v>
          </cell>
          <cell r="C239" t="str">
            <v>1</v>
          </cell>
          <cell r="D239" t="str">
            <v>B</v>
          </cell>
          <cell r="E239">
            <v>1</v>
          </cell>
          <cell r="F239">
            <v>0</v>
          </cell>
          <cell r="G239" t="str">
            <v>Müködési célu pénzeszközátadás államháztartáson kivülre</v>
          </cell>
        </row>
        <row r="240">
          <cell r="A240" t="str">
            <v>3</v>
          </cell>
          <cell r="B240" t="str">
            <v>04</v>
          </cell>
          <cell r="C240" t="str">
            <v>1</v>
          </cell>
          <cell r="D240" t="str">
            <v>B</v>
          </cell>
          <cell r="E240">
            <v>1</v>
          </cell>
          <cell r="F240">
            <v>0</v>
          </cell>
          <cell r="G240" t="str">
            <v>Müködési célu pénzeszközátadás államháztartáson belülre</v>
          </cell>
        </row>
        <row r="241">
          <cell r="A241" t="str">
            <v>4</v>
          </cell>
          <cell r="B241" t="str">
            <v>04</v>
          </cell>
          <cell r="C241" t="str">
            <v>1</v>
          </cell>
          <cell r="D241" t="str">
            <v>B</v>
          </cell>
          <cell r="E241">
            <v>1</v>
          </cell>
          <cell r="F241">
            <v>0</v>
          </cell>
          <cell r="G241" t="str">
            <v>Felhalmozási célu pénzeszközátadás államháztartáson kivülre</v>
          </cell>
        </row>
        <row r="242">
          <cell r="A242" t="str">
            <v>5</v>
          </cell>
          <cell r="B242" t="str">
            <v>04</v>
          </cell>
          <cell r="C242" t="str">
            <v>1</v>
          </cell>
          <cell r="D242" t="str">
            <v>B</v>
          </cell>
          <cell r="E242">
            <v>1</v>
          </cell>
          <cell r="F242">
            <v>0</v>
          </cell>
          <cell r="G242" t="str">
            <v>Felhalmozási célu pénzeszközátadás államháztartáson belülre</v>
          </cell>
        </row>
        <row r="243">
          <cell r="A243" t="str">
            <v>6</v>
          </cell>
          <cell r="B243" t="str">
            <v>04</v>
          </cell>
          <cell r="C243" t="str">
            <v>1</v>
          </cell>
          <cell r="D243" t="str">
            <v>B</v>
          </cell>
          <cell r="E243">
            <v>1</v>
          </cell>
          <cell r="F243">
            <v>0</v>
          </cell>
          <cell r="G243" t="str">
            <v>Családi támogatások</v>
          </cell>
        </row>
        <row r="244">
          <cell r="A244" t="str">
            <v>7</v>
          </cell>
          <cell r="B244" t="str">
            <v>04</v>
          </cell>
          <cell r="C244" t="str">
            <v>1</v>
          </cell>
          <cell r="D244" t="str">
            <v>B</v>
          </cell>
          <cell r="E244">
            <v>1</v>
          </cell>
          <cell r="F244">
            <v>0</v>
          </cell>
          <cell r="G244" t="str">
            <v>Központi költségvetésböl folyositott egyéb ellátások</v>
          </cell>
        </row>
        <row r="245">
          <cell r="A245" t="str">
            <v>8</v>
          </cell>
          <cell r="B245" t="str">
            <v>04</v>
          </cell>
          <cell r="C245" t="str">
            <v>1</v>
          </cell>
          <cell r="D245" t="str">
            <v>B</v>
          </cell>
          <cell r="E245">
            <v>1</v>
          </cell>
          <cell r="F245">
            <v>0</v>
          </cell>
          <cell r="G245" t="str">
            <v>Önkormányzatok által folyositott ellátások</v>
          </cell>
        </row>
        <row r="246">
          <cell r="A246" t="str">
            <v>9</v>
          </cell>
          <cell r="B246" t="str">
            <v>04</v>
          </cell>
          <cell r="C246" t="str">
            <v>1</v>
          </cell>
          <cell r="D246" t="str">
            <v>B</v>
          </cell>
          <cell r="E246">
            <v>1</v>
          </cell>
          <cell r="F246">
            <v>0</v>
          </cell>
          <cell r="G246" t="str">
            <v>Pénzbeli kártérités,egyéb pénzbeli juttatások</v>
          </cell>
        </row>
        <row r="247">
          <cell r="A247" t="str">
            <v>10</v>
          </cell>
          <cell r="B247" t="str">
            <v>04</v>
          </cell>
          <cell r="C247" t="str">
            <v>1</v>
          </cell>
          <cell r="D247" t="str">
            <v>B</v>
          </cell>
          <cell r="E247">
            <v>1</v>
          </cell>
          <cell r="F247">
            <v>2</v>
          </cell>
          <cell r="G247" t="str">
            <v>Társadalom- és szociálpolitikai juttatások (06+07+08+09)</v>
          </cell>
        </row>
        <row r="248">
          <cell r="A248" t="str">
            <v>11</v>
          </cell>
          <cell r="B248" t="str">
            <v>04</v>
          </cell>
          <cell r="C248" t="str">
            <v>1</v>
          </cell>
          <cell r="D248" t="str">
            <v>B</v>
          </cell>
          <cell r="E248">
            <v>1</v>
          </cell>
          <cell r="F248">
            <v>2</v>
          </cell>
          <cell r="G248" t="str">
            <v>Pénzeszközátadás,egyéb támogatás (01+...+05+10)</v>
          </cell>
        </row>
        <row r="249">
          <cell r="A249" t="str">
            <v>12</v>
          </cell>
          <cell r="B249" t="str">
            <v>04</v>
          </cell>
          <cell r="C249" t="str">
            <v>1</v>
          </cell>
          <cell r="D249" t="str">
            <v>B</v>
          </cell>
          <cell r="E249">
            <v>1</v>
          </cell>
          <cell r="F249">
            <v>0</v>
          </cell>
          <cell r="G249" t="str">
            <v>Állami gondozásban levök pénzbeli juttatásai</v>
          </cell>
        </row>
        <row r="250">
          <cell r="A250" t="str">
            <v>13</v>
          </cell>
          <cell r="B250" t="str">
            <v>04</v>
          </cell>
          <cell r="C250" t="str">
            <v>1</v>
          </cell>
          <cell r="D250" t="str">
            <v>B</v>
          </cell>
          <cell r="E250">
            <v>1</v>
          </cell>
          <cell r="F250">
            <v>0</v>
          </cell>
          <cell r="G250" t="str">
            <v>Középfoku oktatásban részt vevök pénzbeli juttatásai</v>
          </cell>
        </row>
        <row r="251">
          <cell r="A251" t="str">
            <v>14</v>
          </cell>
          <cell r="B251" t="str">
            <v>04</v>
          </cell>
          <cell r="C251" t="str">
            <v>1</v>
          </cell>
          <cell r="D251" t="str">
            <v>B</v>
          </cell>
          <cell r="E251">
            <v>1</v>
          </cell>
          <cell r="F251">
            <v>0</v>
          </cell>
          <cell r="G251" t="str">
            <v>Felsöfoku oktatásban részt vevök pénzbeli juttatásai</v>
          </cell>
        </row>
        <row r="252">
          <cell r="A252" t="str">
            <v>15</v>
          </cell>
          <cell r="B252" t="str">
            <v>04</v>
          </cell>
          <cell r="C252" t="str">
            <v>1</v>
          </cell>
          <cell r="D252" t="str">
            <v>B</v>
          </cell>
          <cell r="E252">
            <v>1</v>
          </cell>
          <cell r="F252">
            <v>0</v>
          </cell>
          <cell r="G252" t="str">
            <v>Felnöttoktatásban részt vevök pénzbeli juttatásai</v>
          </cell>
        </row>
        <row r="253">
          <cell r="A253" t="str">
            <v>16</v>
          </cell>
          <cell r="B253" t="str">
            <v>04</v>
          </cell>
          <cell r="C253" t="str">
            <v>1</v>
          </cell>
          <cell r="D253" t="str">
            <v>B</v>
          </cell>
          <cell r="E253">
            <v>1</v>
          </cell>
          <cell r="F253">
            <v>0</v>
          </cell>
          <cell r="G253" t="str">
            <v>Ellátottak egyéb pénzbeli juttatásai</v>
          </cell>
        </row>
        <row r="254">
          <cell r="A254" t="str">
            <v>17</v>
          </cell>
          <cell r="B254" t="str">
            <v>04</v>
          </cell>
          <cell r="C254" t="str">
            <v>1</v>
          </cell>
          <cell r="D254" t="str">
            <v>B</v>
          </cell>
          <cell r="E254">
            <v>1</v>
          </cell>
          <cell r="F254">
            <v>3</v>
          </cell>
          <cell r="G254" t="str">
            <v>Ellátottak pénzbeli juttatásai (12+...+16)</v>
          </cell>
        </row>
        <row r="255">
          <cell r="A255" t="str">
            <v>18</v>
          </cell>
          <cell r="B255" t="str">
            <v>04</v>
          </cell>
          <cell r="C255" t="str">
            <v>1</v>
          </cell>
          <cell r="D255" t="str">
            <v>B</v>
          </cell>
          <cell r="E255">
            <v>1</v>
          </cell>
          <cell r="F255">
            <v>0</v>
          </cell>
          <cell r="G255" t="str">
            <v>Nyugdijbiztositási pénzbeli ellátások</v>
          </cell>
        </row>
        <row r="256">
          <cell r="A256" t="str">
            <v>19</v>
          </cell>
          <cell r="B256" t="str">
            <v>04</v>
          </cell>
          <cell r="C256" t="str">
            <v>1</v>
          </cell>
          <cell r="D256" t="str">
            <v>B</v>
          </cell>
          <cell r="E256">
            <v>1</v>
          </cell>
          <cell r="F256">
            <v>0</v>
          </cell>
          <cell r="G256" t="str">
            <v>Egészségbiztositási pénzbeli ellátások</v>
          </cell>
        </row>
        <row r="257">
          <cell r="A257" t="str">
            <v>20</v>
          </cell>
          <cell r="B257" t="str">
            <v>04</v>
          </cell>
          <cell r="C257" t="str">
            <v>1</v>
          </cell>
          <cell r="D257" t="str">
            <v>B</v>
          </cell>
          <cell r="E257">
            <v>1</v>
          </cell>
          <cell r="F257">
            <v>0</v>
          </cell>
          <cell r="G257" t="str">
            <v>Munkaeröpiaci pénzbeli ellátások</v>
          </cell>
        </row>
        <row r="258">
          <cell r="A258" t="str">
            <v>21</v>
          </cell>
          <cell r="B258" t="str">
            <v>04</v>
          </cell>
          <cell r="C258" t="str">
            <v>1</v>
          </cell>
          <cell r="D258" t="str">
            <v>B</v>
          </cell>
          <cell r="E258">
            <v>1</v>
          </cell>
          <cell r="F258">
            <v>0</v>
          </cell>
          <cell r="G258" t="str">
            <v>Háztartások közvetett támogatása</v>
          </cell>
        </row>
        <row r="259">
          <cell r="A259" t="str">
            <v>1</v>
          </cell>
          <cell r="B259" t="str">
            <v>05</v>
          </cell>
          <cell r="C259" t="str">
            <v>1</v>
          </cell>
          <cell r="D259" t="str">
            <v>B</v>
          </cell>
          <cell r="E259">
            <v>1</v>
          </cell>
          <cell r="F259">
            <v>0</v>
          </cell>
          <cell r="G259" t="str">
            <v>Ingatlanok felujitása</v>
          </cell>
        </row>
        <row r="260">
          <cell r="A260" t="str">
            <v>2</v>
          </cell>
          <cell r="B260" t="str">
            <v>05</v>
          </cell>
          <cell r="C260" t="str">
            <v>1</v>
          </cell>
          <cell r="D260" t="str">
            <v>B</v>
          </cell>
          <cell r="E260">
            <v>1</v>
          </cell>
          <cell r="F260">
            <v>0</v>
          </cell>
          <cell r="G260" t="str">
            <v>Gépek, berendezések és felszerelések felujitása</v>
          </cell>
        </row>
        <row r="261">
          <cell r="A261" t="str">
            <v>3</v>
          </cell>
          <cell r="B261" t="str">
            <v>05</v>
          </cell>
          <cell r="C261" t="str">
            <v>1</v>
          </cell>
          <cell r="D261" t="str">
            <v>B</v>
          </cell>
          <cell r="E261">
            <v>1</v>
          </cell>
          <cell r="F261">
            <v>0</v>
          </cell>
          <cell r="G261" t="str">
            <v>Jármüvek felujitása</v>
          </cell>
        </row>
        <row r="262">
          <cell r="A262" t="str">
            <v>4</v>
          </cell>
          <cell r="B262" t="str">
            <v>05</v>
          </cell>
          <cell r="C262" t="str">
            <v>1</v>
          </cell>
          <cell r="D262" t="str">
            <v>B</v>
          </cell>
          <cell r="E262">
            <v>1</v>
          </cell>
          <cell r="F262">
            <v>0</v>
          </cell>
          <cell r="G262" t="str">
            <v>Tenyészállatok felújítása</v>
          </cell>
        </row>
        <row r="263">
          <cell r="A263" t="str">
            <v>5</v>
          </cell>
          <cell r="B263" t="str">
            <v>05</v>
          </cell>
          <cell r="C263" t="str">
            <v>1</v>
          </cell>
          <cell r="D263" t="str">
            <v>B</v>
          </cell>
          <cell r="E263">
            <v>1</v>
          </cell>
          <cell r="F263">
            <v>0</v>
          </cell>
          <cell r="G263" t="str">
            <v>Felujitás elözetesen felszámitott általános forgalmi adoja</v>
          </cell>
        </row>
        <row r="264">
          <cell r="A264" t="str">
            <v>6</v>
          </cell>
          <cell r="B264" t="str">
            <v>05</v>
          </cell>
          <cell r="C264" t="str">
            <v>1</v>
          </cell>
          <cell r="D264" t="str">
            <v>B</v>
          </cell>
          <cell r="E264">
            <v>1</v>
          </cell>
          <cell r="F264">
            <v>3</v>
          </cell>
          <cell r="G264" t="str">
            <v>Felujitás összesen (01+...+05)</v>
          </cell>
        </row>
        <row r="265">
          <cell r="A265" t="str">
            <v>7</v>
          </cell>
          <cell r="B265" t="str">
            <v>05</v>
          </cell>
          <cell r="C265" t="str">
            <v>1</v>
          </cell>
          <cell r="D265" t="str">
            <v>B</v>
          </cell>
          <cell r="E265">
            <v>1</v>
          </cell>
          <cell r="F265">
            <v>0</v>
          </cell>
          <cell r="G265" t="str">
            <v>Immateriális javak vásárlása</v>
          </cell>
        </row>
        <row r="266">
          <cell r="A266" t="str">
            <v>8</v>
          </cell>
          <cell r="B266" t="str">
            <v>05</v>
          </cell>
          <cell r="C266" t="str">
            <v>1</v>
          </cell>
          <cell r="D266" t="str">
            <v>B</v>
          </cell>
          <cell r="E266">
            <v>1</v>
          </cell>
          <cell r="F266">
            <v>0</v>
          </cell>
          <cell r="G266" t="str">
            <v>Ingatlanok vásárlása, létesitése (föld kivételével)</v>
          </cell>
        </row>
        <row r="267">
          <cell r="A267" t="str">
            <v>9</v>
          </cell>
          <cell r="B267" t="str">
            <v>05</v>
          </cell>
          <cell r="C267" t="str">
            <v>1</v>
          </cell>
          <cell r="D267" t="str">
            <v>B</v>
          </cell>
          <cell r="E267">
            <v>1</v>
          </cell>
          <cell r="F267">
            <v>0</v>
          </cell>
          <cell r="G267" t="str">
            <v>Földterület vásárlása</v>
          </cell>
        </row>
        <row r="268">
          <cell r="A268" t="str">
            <v>10</v>
          </cell>
          <cell r="B268" t="str">
            <v>05</v>
          </cell>
          <cell r="C268" t="str">
            <v>1</v>
          </cell>
          <cell r="D268" t="str">
            <v>B</v>
          </cell>
          <cell r="E268">
            <v>1</v>
          </cell>
          <cell r="F268">
            <v>0</v>
          </cell>
          <cell r="G268" t="str">
            <v>Gépek,berendezések és felszerelések vásárlása,létesitése</v>
          </cell>
        </row>
        <row r="269">
          <cell r="A269" t="str">
            <v>11</v>
          </cell>
          <cell r="B269" t="str">
            <v>05</v>
          </cell>
          <cell r="C269" t="str">
            <v>1</v>
          </cell>
          <cell r="D269" t="str">
            <v>B</v>
          </cell>
          <cell r="E269">
            <v>1</v>
          </cell>
          <cell r="F269">
            <v>0</v>
          </cell>
          <cell r="G269" t="str">
            <v>Jármüvek vásárlása,létesitése</v>
          </cell>
        </row>
        <row r="270">
          <cell r="A270" t="str">
            <v>12</v>
          </cell>
          <cell r="B270" t="str">
            <v>05</v>
          </cell>
          <cell r="C270" t="str">
            <v>1</v>
          </cell>
          <cell r="D270" t="str">
            <v>B</v>
          </cell>
          <cell r="E270">
            <v>1</v>
          </cell>
          <cell r="F270">
            <v>0</v>
          </cell>
          <cell r="G270" t="str">
            <v>Tenyészállatok vásárlása</v>
          </cell>
        </row>
        <row r="271">
          <cell r="A271" t="str">
            <v>13</v>
          </cell>
          <cell r="B271" t="str">
            <v>05</v>
          </cell>
          <cell r="C271" t="str">
            <v>1</v>
          </cell>
          <cell r="D271" t="str">
            <v>B</v>
          </cell>
          <cell r="E271">
            <v>1</v>
          </cell>
          <cell r="F271">
            <v>3</v>
          </cell>
          <cell r="G271" t="str">
            <v>Intézményi beruházási kiadások  (07+...+12)</v>
          </cell>
        </row>
        <row r="272">
          <cell r="A272" t="str">
            <v>14</v>
          </cell>
          <cell r="B272" t="str">
            <v>05</v>
          </cell>
          <cell r="C272" t="str">
            <v>1</v>
          </cell>
          <cell r="D272" t="str">
            <v>B</v>
          </cell>
          <cell r="E272">
            <v>1</v>
          </cell>
          <cell r="F272">
            <v>0</v>
          </cell>
          <cell r="G272" t="str">
            <v>Immateriális javak vásárlása</v>
          </cell>
        </row>
        <row r="273">
          <cell r="A273" t="str">
            <v>15</v>
          </cell>
          <cell r="B273" t="str">
            <v>05</v>
          </cell>
          <cell r="C273" t="str">
            <v>1</v>
          </cell>
          <cell r="D273" t="str">
            <v>B</v>
          </cell>
          <cell r="E273">
            <v>1</v>
          </cell>
          <cell r="F273">
            <v>0</v>
          </cell>
          <cell r="G273" t="str">
            <v>Ingatlanok vásárlása, létesitése (föld nélkül)</v>
          </cell>
        </row>
        <row r="274">
          <cell r="A274" t="str">
            <v>16</v>
          </cell>
          <cell r="B274" t="str">
            <v>05</v>
          </cell>
          <cell r="C274" t="str">
            <v>1</v>
          </cell>
          <cell r="D274" t="str">
            <v>B</v>
          </cell>
          <cell r="E274">
            <v>1</v>
          </cell>
          <cell r="F274">
            <v>0</v>
          </cell>
          <cell r="G274" t="str">
            <v>Földterület vásárlása</v>
          </cell>
        </row>
        <row r="275">
          <cell r="A275" t="str">
            <v>17</v>
          </cell>
          <cell r="B275" t="str">
            <v>05</v>
          </cell>
          <cell r="C275" t="str">
            <v>1</v>
          </cell>
          <cell r="D275" t="str">
            <v>B</v>
          </cell>
          <cell r="E275">
            <v>1</v>
          </cell>
          <cell r="F275">
            <v>0</v>
          </cell>
          <cell r="G275" t="str">
            <v>Gépek,berendezések és felszerelések vásárlása,létesitése</v>
          </cell>
        </row>
        <row r="276">
          <cell r="A276" t="str">
            <v>18</v>
          </cell>
          <cell r="B276" t="str">
            <v>05</v>
          </cell>
          <cell r="C276" t="str">
            <v>1</v>
          </cell>
          <cell r="D276" t="str">
            <v>B</v>
          </cell>
          <cell r="E276">
            <v>1</v>
          </cell>
          <cell r="F276">
            <v>0</v>
          </cell>
          <cell r="G276" t="str">
            <v>Jármüvek vásárlása, létesitése</v>
          </cell>
        </row>
        <row r="277">
          <cell r="A277" t="str">
            <v>19</v>
          </cell>
          <cell r="B277" t="str">
            <v>05</v>
          </cell>
          <cell r="C277" t="str">
            <v>1</v>
          </cell>
          <cell r="D277" t="str">
            <v>B</v>
          </cell>
          <cell r="E277">
            <v>1</v>
          </cell>
          <cell r="F277">
            <v>0</v>
          </cell>
          <cell r="G277" t="str">
            <v>Felhalm. célu pénzeszközátadás vállalkozásoknak</v>
          </cell>
        </row>
        <row r="278">
          <cell r="A278" t="str">
            <v>20</v>
          </cell>
          <cell r="B278" t="str">
            <v>05</v>
          </cell>
          <cell r="C278" t="str">
            <v>1</v>
          </cell>
          <cell r="D278" t="str">
            <v>B</v>
          </cell>
          <cell r="E278">
            <v>1</v>
          </cell>
          <cell r="F278">
            <v>0</v>
          </cell>
          <cell r="G278" t="str">
            <v>Felhalm. célu egyéb pénzeszközátadás államházt.kivülre</v>
          </cell>
        </row>
        <row r="279">
          <cell r="A279" t="str">
            <v>21</v>
          </cell>
          <cell r="B279" t="str">
            <v>05</v>
          </cell>
          <cell r="C279" t="str">
            <v>1</v>
          </cell>
          <cell r="D279" t="str">
            <v>B</v>
          </cell>
          <cell r="E279">
            <v>1</v>
          </cell>
          <cell r="F279">
            <v>3</v>
          </cell>
          <cell r="G279" t="str">
            <v>Központi beruházási kiadások (14+...+20)</v>
          </cell>
        </row>
        <row r="280">
          <cell r="A280" t="str">
            <v>22</v>
          </cell>
          <cell r="B280" t="str">
            <v>05</v>
          </cell>
          <cell r="C280" t="str">
            <v>1</v>
          </cell>
          <cell r="D280" t="str">
            <v>B</v>
          </cell>
          <cell r="E280">
            <v>1</v>
          </cell>
          <cell r="F280">
            <v>0</v>
          </cell>
          <cell r="G280" t="str">
            <v>Felhalmozási célu pénzeszközátadás háztartásoknak</v>
          </cell>
        </row>
        <row r="281">
          <cell r="A281" t="str">
            <v>23</v>
          </cell>
          <cell r="B281" t="str">
            <v>05</v>
          </cell>
          <cell r="C281" t="str">
            <v>1</v>
          </cell>
          <cell r="D281" t="str">
            <v>B</v>
          </cell>
          <cell r="E281">
            <v>1</v>
          </cell>
          <cell r="F281">
            <v>3</v>
          </cell>
          <cell r="G281" t="str">
            <v>Lakástámogatás (=22)</v>
          </cell>
        </row>
        <row r="282">
          <cell r="A282" t="str">
            <v>24</v>
          </cell>
          <cell r="B282" t="str">
            <v>05</v>
          </cell>
          <cell r="C282" t="str">
            <v>1</v>
          </cell>
          <cell r="D282" t="str">
            <v>B</v>
          </cell>
          <cell r="E282">
            <v>1</v>
          </cell>
          <cell r="F282">
            <v>0</v>
          </cell>
          <cell r="G282" t="str">
            <v>Ingatlanok vásárlása, létesitése</v>
          </cell>
        </row>
        <row r="283">
          <cell r="A283" t="str">
            <v>25</v>
          </cell>
          <cell r="B283" t="str">
            <v>05</v>
          </cell>
          <cell r="C283" t="str">
            <v>1</v>
          </cell>
          <cell r="D283" t="str">
            <v>B</v>
          </cell>
          <cell r="E283">
            <v>1</v>
          </cell>
          <cell r="F283">
            <v>3</v>
          </cell>
          <cell r="G283" t="str">
            <v>Lakásépités (=24)</v>
          </cell>
        </row>
        <row r="284">
          <cell r="A284" t="str">
            <v>26</v>
          </cell>
          <cell r="B284" t="str">
            <v>05</v>
          </cell>
          <cell r="C284" t="str">
            <v>1</v>
          </cell>
          <cell r="D284" t="str">
            <v>B</v>
          </cell>
          <cell r="E284">
            <v>1</v>
          </cell>
          <cell r="F284">
            <v>0</v>
          </cell>
          <cell r="G284" t="str">
            <v>Állami készletek,tartalékok felhalmozási kiadásai</v>
          </cell>
        </row>
        <row r="285">
          <cell r="A285" t="str">
            <v>27</v>
          </cell>
          <cell r="B285" t="str">
            <v>05</v>
          </cell>
          <cell r="C285" t="str">
            <v>1</v>
          </cell>
          <cell r="D285" t="str">
            <v>B</v>
          </cell>
          <cell r="E285">
            <v>1</v>
          </cell>
          <cell r="F285">
            <v>0</v>
          </cell>
          <cell r="G285" t="str">
            <v>Intézményi beruházások általános forgalmi adoja</v>
          </cell>
        </row>
        <row r="286">
          <cell r="A286" t="str">
            <v>28</v>
          </cell>
          <cell r="B286" t="str">
            <v>05</v>
          </cell>
          <cell r="C286" t="str">
            <v>1</v>
          </cell>
          <cell r="D286" t="str">
            <v>B</v>
          </cell>
          <cell r="E286">
            <v>1</v>
          </cell>
          <cell r="F286">
            <v>0</v>
          </cell>
          <cell r="G286" t="str">
            <v>Központi beruházási kiadások általános forgalmi adoja</v>
          </cell>
        </row>
        <row r="287">
          <cell r="A287" t="str">
            <v>29</v>
          </cell>
          <cell r="B287" t="str">
            <v>05</v>
          </cell>
          <cell r="C287" t="str">
            <v>1</v>
          </cell>
          <cell r="D287" t="str">
            <v>B</v>
          </cell>
          <cell r="E287">
            <v>1</v>
          </cell>
          <cell r="F287">
            <v>0</v>
          </cell>
          <cell r="G287" t="str">
            <v>Lakásépités általános forgalmi adoja</v>
          </cell>
        </row>
        <row r="288">
          <cell r="A288" t="str">
            <v>30</v>
          </cell>
          <cell r="B288" t="str">
            <v>05</v>
          </cell>
          <cell r="C288" t="str">
            <v>1</v>
          </cell>
          <cell r="D288" t="str">
            <v>B</v>
          </cell>
          <cell r="E288">
            <v>1</v>
          </cell>
          <cell r="F288">
            <v>0</v>
          </cell>
          <cell r="G288" t="str">
            <v>Állami készletek,tartalékok általános forgalmi adoja</v>
          </cell>
        </row>
        <row r="289">
          <cell r="A289" t="str">
            <v>31</v>
          </cell>
          <cell r="B289" t="str">
            <v>05</v>
          </cell>
          <cell r="C289" t="str">
            <v>1</v>
          </cell>
          <cell r="D289" t="str">
            <v>B</v>
          </cell>
          <cell r="E289">
            <v>1</v>
          </cell>
          <cell r="F289">
            <v>0</v>
          </cell>
          <cell r="G289" t="str">
            <v>Beruházásokhoz kapcsolodo általános forgalmi ado befizetés</v>
          </cell>
        </row>
        <row r="290">
          <cell r="A290" t="str">
            <v>32</v>
          </cell>
          <cell r="B290" t="str">
            <v>05</v>
          </cell>
          <cell r="C290" t="str">
            <v>1</v>
          </cell>
          <cell r="D290" t="str">
            <v>B</v>
          </cell>
          <cell r="E290">
            <v>1</v>
          </cell>
          <cell r="F290">
            <v>3</v>
          </cell>
          <cell r="G290" t="str">
            <v>Beruházások általános forgalmi adoja (27+...+31)</v>
          </cell>
        </row>
        <row r="291">
          <cell r="A291" t="str">
            <v>33</v>
          </cell>
          <cell r="B291" t="str">
            <v>05</v>
          </cell>
          <cell r="C291" t="str">
            <v>1</v>
          </cell>
          <cell r="D291" t="str">
            <v>B</v>
          </cell>
          <cell r="E291">
            <v>1</v>
          </cell>
          <cell r="F291">
            <v>3</v>
          </cell>
          <cell r="G291" t="str">
            <v>Felhalmozási kiadások összesen (13+21+23+25+26+32)</v>
          </cell>
        </row>
        <row r="292">
          <cell r="A292" t="str">
            <v>34</v>
          </cell>
          <cell r="B292" t="str">
            <v>05</v>
          </cell>
          <cell r="C292" t="str">
            <v>1</v>
          </cell>
          <cell r="D292" t="str">
            <v>B</v>
          </cell>
          <cell r="E292">
            <v>1</v>
          </cell>
          <cell r="F292">
            <v>0</v>
          </cell>
          <cell r="G292" t="str">
            <v>Részvények és részesedések vásárlása</v>
          </cell>
        </row>
        <row r="293">
          <cell r="A293" t="str">
            <v>35</v>
          </cell>
          <cell r="B293" t="str">
            <v>05</v>
          </cell>
          <cell r="C293" t="str">
            <v>1</v>
          </cell>
          <cell r="D293" t="str">
            <v>B</v>
          </cell>
          <cell r="E293">
            <v>1</v>
          </cell>
          <cell r="F293">
            <v>0</v>
          </cell>
          <cell r="G293" t="str">
            <v>Kárpotlási jegyek vásárlása</v>
          </cell>
        </row>
        <row r="294">
          <cell r="A294" t="str">
            <v>36</v>
          </cell>
          <cell r="B294" t="str">
            <v>05</v>
          </cell>
          <cell r="C294" t="str">
            <v>1</v>
          </cell>
          <cell r="D294" t="str">
            <v>B</v>
          </cell>
          <cell r="E294">
            <v>1</v>
          </cell>
          <cell r="F294">
            <v>0</v>
          </cell>
          <cell r="G294" t="str">
            <v>Államkötvények,egyéb értékpapirok vásárlása</v>
          </cell>
        </row>
        <row r="295">
          <cell r="A295" t="str">
            <v>37</v>
          </cell>
          <cell r="B295" t="str">
            <v>05</v>
          </cell>
          <cell r="C295" t="str">
            <v>1</v>
          </cell>
          <cell r="D295" t="str">
            <v>B</v>
          </cell>
          <cell r="E295">
            <v>1</v>
          </cell>
          <cell r="F295">
            <v>0</v>
          </cell>
          <cell r="G295" t="str">
            <v>Egyéb pénzügyi befektetések</v>
          </cell>
        </row>
        <row r="296">
          <cell r="A296" t="str">
            <v>38</v>
          </cell>
          <cell r="B296" t="str">
            <v>05</v>
          </cell>
          <cell r="C296" t="str">
            <v>1</v>
          </cell>
          <cell r="D296" t="str">
            <v>B</v>
          </cell>
          <cell r="E296">
            <v>1</v>
          </cell>
          <cell r="F296">
            <v>3</v>
          </cell>
          <cell r="G296" t="str">
            <v>Pénzügyi befektetések kiadásai (34+...+37)</v>
          </cell>
        </row>
        <row r="297">
          <cell r="A297" t="str">
            <v>39</v>
          </cell>
          <cell r="B297" t="str">
            <v>05</v>
          </cell>
          <cell r="C297" t="str">
            <v>1</v>
          </cell>
          <cell r="D297" t="str">
            <v>B</v>
          </cell>
          <cell r="E297">
            <v>1</v>
          </cell>
          <cell r="F297">
            <v>3</v>
          </cell>
          <cell r="G297" t="str">
            <v>Felhalmozási kiadások és pénzügyi befekt.össz.(33+38)</v>
          </cell>
        </row>
        <row r="298">
          <cell r="A298" t="str">
            <v>1</v>
          </cell>
          <cell r="B298" t="str">
            <v>06</v>
          </cell>
          <cell r="C298" t="str">
            <v>1</v>
          </cell>
          <cell r="D298" t="str">
            <v>B</v>
          </cell>
          <cell r="E298">
            <v>1</v>
          </cell>
          <cell r="F298">
            <v>0</v>
          </cell>
          <cell r="G298" t="str">
            <v>Mük.célu tám.-i kölcsönök nyujtása központi ktgv-i szervnek</v>
          </cell>
        </row>
        <row r="299">
          <cell r="A299" t="str">
            <v>2</v>
          </cell>
          <cell r="B299" t="str">
            <v>06</v>
          </cell>
          <cell r="C299" t="str">
            <v>1</v>
          </cell>
          <cell r="D299" t="str">
            <v>B</v>
          </cell>
          <cell r="E299">
            <v>1</v>
          </cell>
          <cell r="F299">
            <v>0</v>
          </cell>
          <cell r="G299" t="str">
            <v>Mük.célu tám.-i kölcsönök nyujtása helyi önk. ktgv-i sz-nek</v>
          </cell>
        </row>
        <row r="300">
          <cell r="A300" t="str">
            <v>3</v>
          </cell>
          <cell r="B300" t="str">
            <v>06</v>
          </cell>
          <cell r="C300" t="str">
            <v>1</v>
          </cell>
          <cell r="D300" t="str">
            <v>B</v>
          </cell>
          <cell r="E300">
            <v>1</v>
          </cell>
          <cell r="F300">
            <v>0</v>
          </cell>
          <cell r="G300" t="str">
            <v>Mük.célu tám.-i kölcsönök nyujtása fejezeten (önk.) belül</v>
          </cell>
        </row>
        <row r="301">
          <cell r="A301" t="str">
            <v>4</v>
          </cell>
          <cell r="B301" t="str">
            <v>06</v>
          </cell>
          <cell r="C301" t="str">
            <v>1</v>
          </cell>
          <cell r="D301" t="str">
            <v>B</v>
          </cell>
          <cell r="E301">
            <v>1</v>
          </cell>
          <cell r="F301">
            <v>0</v>
          </cell>
          <cell r="G301" t="str">
            <v>Mük.célu tám.-i kölcsönök nyujtása TB.alapoknak és kezelöin.</v>
          </cell>
        </row>
        <row r="302">
          <cell r="A302" t="str">
            <v>5</v>
          </cell>
          <cell r="B302" t="str">
            <v>06</v>
          </cell>
          <cell r="C302" t="str">
            <v>1</v>
          </cell>
          <cell r="D302" t="str">
            <v>B</v>
          </cell>
          <cell r="E302">
            <v>1</v>
          </cell>
          <cell r="F302">
            <v>0</v>
          </cell>
          <cell r="G302" t="str">
            <v>Mük.célu tám.-i kölcsönök nyujtása elkül.állami pénzalapokn.</v>
          </cell>
        </row>
        <row r="303">
          <cell r="A303" t="str">
            <v>6</v>
          </cell>
          <cell r="B303" t="str">
            <v>06</v>
          </cell>
          <cell r="C303" t="str">
            <v>1</v>
          </cell>
          <cell r="D303" t="str">
            <v>B</v>
          </cell>
          <cell r="E303">
            <v>1</v>
          </cell>
          <cell r="F303">
            <v>2</v>
          </cell>
          <cell r="G303" t="str">
            <v>Mük.célu tám.-i kölcsön nyujt.áht.belülre (01+...+05)</v>
          </cell>
        </row>
        <row r="304">
          <cell r="A304" t="str">
            <v>7</v>
          </cell>
          <cell r="B304" t="str">
            <v>06</v>
          </cell>
          <cell r="C304" t="str">
            <v>1</v>
          </cell>
          <cell r="D304" t="str">
            <v>B</v>
          </cell>
          <cell r="E304">
            <v>1</v>
          </cell>
          <cell r="F304">
            <v>0</v>
          </cell>
          <cell r="G304" t="str">
            <v>Felh.célu tám.-i kölcsönök nyujtása kp-i ktgv-i szervnek</v>
          </cell>
        </row>
        <row r="305">
          <cell r="A305" t="str">
            <v>8</v>
          </cell>
          <cell r="B305" t="str">
            <v>06</v>
          </cell>
          <cell r="C305" t="str">
            <v>1</v>
          </cell>
          <cell r="D305" t="str">
            <v>B</v>
          </cell>
          <cell r="E305">
            <v>1</v>
          </cell>
          <cell r="F305">
            <v>0</v>
          </cell>
          <cell r="G305" t="str">
            <v>Felh.célu tám.-i kölcsönök nyujtása helyi önk.ktgv-i sz-nek</v>
          </cell>
        </row>
        <row r="306">
          <cell r="A306" t="str">
            <v>9</v>
          </cell>
          <cell r="B306" t="str">
            <v>06</v>
          </cell>
          <cell r="C306" t="str">
            <v>1</v>
          </cell>
          <cell r="D306" t="str">
            <v>B</v>
          </cell>
          <cell r="E306">
            <v>1</v>
          </cell>
          <cell r="F306">
            <v>0</v>
          </cell>
          <cell r="G306" t="str">
            <v>Felh.célu tám.-i kölcsönök nyujtása fejezeten (önk.) belül</v>
          </cell>
        </row>
        <row r="307">
          <cell r="A307" t="str">
            <v>10</v>
          </cell>
          <cell r="B307" t="str">
            <v>06</v>
          </cell>
          <cell r="C307" t="str">
            <v>1</v>
          </cell>
          <cell r="D307" t="str">
            <v>B</v>
          </cell>
          <cell r="E307">
            <v>1</v>
          </cell>
          <cell r="F307">
            <v>0</v>
          </cell>
          <cell r="G307" t="str">
            <v>Felh.célu tám.-i kölcsönök nyujtása TB.alapoknak és kezelöi.</v>
          </cell>
        </row>
        <row r="308">
          <cell r="A308" t="str">
            <v>11</v>
          </cell>
          <cell r="B308" t="str">
            <v>06</v>
          </cell>
          <cell r="C308" t="str">
            <v>1</v>
          </cell>
          <cell r="D308" t="str">
            <v>B</v>
          </cell>
          <cell r="E308">
            <v>1</v>
          </cell>
          <cell r="F308">
            <v>0</v>
          </cell>
          <cell r="G308" t="str">
            <v>Felh.célu tám.-i kölcsönök nyujtása elkül.állami pénzalapok.</v>
          </cell>
        </row>
        <row r="309">
          <cell r="A309" t="str">
            <v>12</v>
          </cell>
          <cell r="B309" t="str">
            <v>06</v>
          </cell>
          <cell r="C309" t="str">
            <v>1</v>
          </cell>
          <cell r="D309" t="str">
            <v>B</v>
          </cell>
          <cell r="E309">
            <v>1</v>
          </cell>
          <cell r="F309">
            <v>2</v>
          </cell>
          <cell r="G309" t="str">
            <v>Felh.célu tám.-i kölcsön nyujtása áht.belülre (07+...+11)</v>
          </cell>
        </row>
        <row r="310">
          <cell r="A310" t="str">
            <v>13</v>
          </cell>
          <cell r="B310" t="str">
            <v>06</v>
          </cell>
          <cell r="C310" t="str">
            <v>1</v>
          </cell>
          <cell r="D310" t="str">
            <v>B</v>
          </cell>
          <cell r="E310">
            <v>1</v>
          </cell>
          <cell r="F310">
            <v>3</v>
          </cell>
          <cell r="G310" t="str">
            <v>Támogatási kölcsönök nyujtása áht.belülre (06+12)</v>
          </cell>
        </row>
        <row r="311">
          <cell r="A311" t="str">
            <v>14</v>
          </cell>
          <cell r="B311" t="str">
            <v>06</v>
          </cell>
          <cell r="C311" t="str">
            <v>1</v>
          </cell>
          <cell r="D311" t="str">
            <v>B</v>
          </cell>
          <cell r="E311">
            <v>1</v>
          </cell>
          <cell r="F311">
            <v>0</v>
          </cell>
          <cell r="G311" t="str">
            <v>Mük.célu tám.-i kölcsönök nyujtása állami nem pü-i váll-nak</v>
          </cell>
        </row>
        <row r="312">
          <cell r="A312" t="str">
            <v>15</v>
          </cell>
          <cell r="B312" t="str">
            <v>06</v>
          </cell>
          <cell r="C312" t="str">
            <v>1</v>
          </cell>
          <cell r="D312" t="str">
            <v>B</v>
          </cell>
          <cell r="E312">
            <v>1</v>
          </cell>
          <cell r="F312">
            <v>0</v>
          </cell>
          <cell r="G312" t="str">
            <v>Mük.célu tám.-i kölcsönök nyujtása pénzügyi vállalkozásoknak</v>
          </cell>
        </row>
        <row r="313">
          <cell r="A313" t="str">
            <v>16</v>
          </cell>
          <cell r="B313" t="str">
            <v>06</v>
          </cell>
          <cell r="C313" t="str">
            <v>1</v>
          </cell>
          <cell r="D313" t="str">
            <v>B</v>
          </cell>
          <cell r="E313">
            <v>1</v>
          </cell>
          <cell r="F313">
            <v>0</v>
          </cell>
          <cell r="G313" t="str">
            <v>Mük.célu tám.RSz 87.cikkely.kölcs.nyujt.önk.többs.tul.váll.</v>
          </cell>
        </row>
        <row r="314">
          <cell r="A314" t="str">
            <v>17</v>
          </cell>
          <cell r="B314" t="str">
            <v>06</v>
          </cell>
          <cell r="C314" t="str">
            <v>1</v>
          </cell>
          <cell r="D314" t="str">
            <v>B</v>
          </cell>
          <cell r="E314">
            <v>1</v>
          </cell>
          <cell r="F314">
            <v>0</v>
          </cell>
          <cell r="G314" t="str">
            <v>Mük.célu tám.RSz 87.cikkely.kölcs.nyujt.nem önk.többs.váll.</v>
          </cell>
        </row>
        <row r="315">
          <cell r="A315" t="str">
            <v>18</v>
          </cell>
          <cell r="B315" t="str">
            <v>06</v>
          </cell>
          <cell r="C315" t="str">
            <v>1</v>
          </cell>
          <cell r="D315" t="str">
            <v>B</v>
          </cell>
          <cell r="E315">
            <v>1</v>
          </cell>
          <cell r="F315">
            <v>2</v>
          </cell>
          <cell r="G315" t="str">
            <v>Mük.célu tám.RSz 87.cikkely.kölcs.nyujt.egyéb váll.(16+17)</v>
          </cell>
        </row>
        <row r="316">
          <cell r="A316" t="str">
            <v>19</v>
          </cell>
          <cell r="B316" t="str">
            <v>06</v>
          </cell>
          <cell r="C316" t="str">
            <v>1</v>
          </cell>
          <cell r="D316" t="str">
            <v>B</v>
          </cell>
          <cell r="E316">
            <v>1</v>
          </cell>
          <cell r="F316">
            <v>0</v>
          </cell>
          <cell r="G316" t="str">
            <v>Mük.célu tám.nem 16. sorba tart.kölcsön önk.többs.váll-nak</v>
          </cell>
        </row>
        <row r="317">
          <cell r="A317" t="str">
            <v>20</v>
          </cell>
          <cell r="B317" t="str">
            <v>06</v>
          </cell>
          <cell r="C317" t="str">
            <v>1</v>
          </cell>
          <cell r="D317" t="str">
            <v>B</v>
          </cell>
          <cell r="E317">
            <v>1</v>
          </cell>
          <cell r="F317">
            <v>0</v>
          </cell>
          <cell r="G317" t="str">
            <v>Mük.célu tám.nem 17. sorba tart.kölcsön nem önk.többs.v-nak</v>
          </cell>
        </row>
        <row r="318">
          <cell r="A318" t="str">
            <v>21</v>
          </cell>
          <cell r="B318" t="str">
            <v>06</v>
          </cell>
          <cell r="C318" t="str">
            <v>1</v>
          </cell>
          <cell r="D318" t="str">
            <v>B</v>
          </cell>
          <cell r="E318">
            <v>1</v>
          </cell>
          <cell r="F318">
            <v>2</v>
          </cell>
          <cell r="G318" t="str">
            <v>Mük.célu tám.-i kölcsönök nyujtása egyéb vállal.(18+19+20)</v>
          </cell>
        </row>
        <row r="319">
          <cell r="A319" t="str">
            <v>22</v>
          </cell>
          <cell r="B319" t="str">
            <v>06</v>
          </cell>
          <cell r="C319" t="str">
            <v>1</v>
          </cell>
          <cell r="D319" t="str">
            <v>B</v>
          </cell>
          <cell r="E319">
            <v>1</v>
          </cell>
          <cell r="F319">
            <v>0</v>
          </cell>
          <cell r="G319" t="str">
            <v>Mük.célu tám.-i kölcsönök nyujtása háztartásoknak</v>
          </cell>
        </row>
        <row r="320">
          <cell r="A320" t="str">
            <v>23</v>
          </cell>
          <cell r="B320" t="str">
            <v>06</v>
          </cell>
          <cell r="C320" t="str">
            <v>1</v>
          </cell>
          <cell r="D320" t="str">
            <v>B</v>
          </cell>
          <cell r="E320">
            <v>1</v>
          </cell>
          <cell r="F320">
            <v>0</v>
          </cell>
          <cell r="G320" t="str">
            <v>Mük.célu tám.-i kölcsönök nyujtása non-profit szervezeteknek</v>
          </cell>
        </row>
        <row r="321">
          <cell r="A321" t="str">
            <v>24</v>
          </cell>
          <cell r="B321" t="str">
            <v>06</v>
          </cell>
          <cell r="C321" t="str">
            <v>1</v>
          </cell>
          <cell r="D321" t="str">
            <v>B</v>
          </cell>
          <cell r="E321">
            <v>1</v>
          </cell>
          <cell r="F321">
            <v>0</v>
          </cell>
          <cell r="G321" t="str">
            <v>Mük.célu tám.-i kölcsönök nyujtása külföldre</v>
          </cell>
        </row>
        <row r="322">
          <cell r="A322" t="str">
            <v>25</v>
          </cell>
          <cell r="B322" t="str">
            <v>06</v>
          </cell>
          <cell r="C322" t="str">
            <v>1</v>
          </cell>
          <cell r="D322" t="str">
            <v>B</v>
          </cell>
          <cell r="E322">
            <v>1</v>
          </cell>
          <cell r="F322">
            <v>2</v>
          </cell>
          <cell r="G322" t="str">
            <v>Mük.célu tám.kölcs.nyujt.áht.-n kivülre (14+15+21+...+24)</v>
          </cell>
        </row>
        <row r="323">
          <cell r="A323" t="str">
            <v>26</v>
          </cell>
          <cell r="B323" t="str">
            <v>06</v>
          </cell>
          <cell r="C323" t="str">
            <v>1</v>
          </cell>
          <cell r="D323" t="str">
            <v>B</v>
          </cell>
          <cell r="E323">
            <v>1</v>
          </cell>
          <cell r="F323">
            <v>0</v>
          </cell>
          <cell r="G323" t="str">
            <v>Felh.célu tám.-i kölcsönök nyujtása állami nem pü-i váll-nak</v>
          </cell>
        </row>
        <row r="324">
          <cell r="A324" t="str">
            <v>27</v>
          </cell>
          <cell r="B324" t="str">
            <v>06</v>
          </cell>
          <cell r="C324" t="str">
            <v>1</v>
          </cell>
          <cell r="D324" t="str">
            <v>B</v>
          </cell>
          <cell r="E324">
            <v>1</v>
          </cell>
          <cell r="F324">
            <v>0</v>
          </cell>
          <cell r="G324" t="str">
            <v>Felh.célu tám.-i kölcsönök nyujtása pénzügyi vállalkozásnak</v>
          </cell>
        </row>
        <row r="325">
          <cell r="A325" t="str">
            <v>28</v>
          </cell>
          <cell r="B325" t="str">
            <v>06</v>
          </cell>
          <cell r="C325" t="str">
            <v>1</v>
          </cell>
          <cell r="D325" t="str">
            <v>B</v>
          </cell>
          <cell r="E325">
            <v>1</v>
          </cell>
          <cell r="F325">
            <v>0</v>
          </cell>
          <cell r="G325" t="str">
            <v>Felh.célu tám.RSz 87.cikkely.kölcs.nyujt.önk.többs.tul.váll.</v>
          </cell>
        </row>
        <row r="326">
          <cell r="A326" t="str">
            <v>29</v>
          </cell>
          <cell r="B326" t="str">
            <v>06</v>
          </cell>
          <cell r="C326" t="str">
            <v>1</v>
          </cell>
          <cell r="D326" t="str">
            <v>B</v>
          </cell>
          <cell r="E326">
            <v>1</v>
          </cell>
          <cell r="F326">
            <v>0</v>
          </cell>
          <cell r="G326" t="str">
            <v>Felh.célu tám.RSz 87.cikkely.kölcs.nyujt.nem önk.többs.váll.</v>
          </cell>
        </row>
        <row r="327">
          <cell r="A327" t="str">
            <v>30</v>
          </cell>
          <cell r="B327" t="str">
            <v>06</v>
          </cell>
          <cell r="C327" t="str">
            <v>1</v>
          </cell>
          <cell r="D327" t="str">
            <v>B</v>
          </cell>
          <cell r="E327">
            <v>1</v>
          </cell>
          <cell r="F327">
            <v>2</v>
          </cell>
          <cell r="G327" t="str">
            <v>Felh.célu tám.RSz87.cikkely.kölcs.nyujt.egyéb váll.(28+29)</v>
          </cell>
        </row>
        <row r="328">
          <cell r="A328" t="str">
            <v>31</v>
          </cell>
          <cell r="B328" t="str">
            <v>06</v>
          </cell>
          <cell r="C328" t="str">
            <v>1</v>
          </cell>
          <cell r="D328" t="str">
            <v>B</v>
          </cell>
          <cell r="E328">
            <v>1</v>
          </cell>
          <cell r="F328">
            <v>0</v>
          </cell>
          <cell r="G328" t="str">
            <v>Felh.célu tám.nem 28. sorba tart.kölcs.nyujt.önk.többs.váll.</v>
          </cell>
        </row>
        <row r="329">
          <cell r="A329" t="str">
            <v>32</v>
          </cell>
          <cell r="B329" t="str">
            <v>06</v>
          </cell>
          <cell r="C329" t="str">
            <v>1</v>
          </cell>
          <cell r="D329" t="str">
            <v>B</v>
          </cell>
          <cell r="E329">
            <v>1</v>
          </cell>
          <cell r="F329">
            <v>0</v>
          </cell>
          <cell r="G329" t="str">
            <v>Felh.célu tám.nem 29.sorba tart.kölcsön nem önk.többs.v-nak</v>
          </cell>
        </row>
        <row r="330">
          <cell r="A330" t="str">
            <v>33</v>
          </cell>
          <cell r="B330" t="str">
            <v>06</v>
          </cell>
          <cell r="C330" t="str">
            <v>1</v>
          </cell>
          <cell r="D330" t="str">
            <v>B</v>
          </cell>
          <cell r="E330">
            <v>1</v>
          </cell>
          <cell r="F330">
            <v>2</v>
          </cell>
          <cell r="G330" t="str">
            <v>Felh.célu tám.-i kölcsönök nyujtása egyéb váll.(30+31+32)</v>
          </cell>
        </row>
        <row r="331">
          <cell r="A331" t="str">
            <v>34</v>
          </cell>
          <cell r="B331" t="str">
            <v>06</v>
          </cell>
          <cell r="C331" t="str">
            <v>1</v>
          </cell>
          <cell r="D331" t="str">
            <v>B</v>
          </cell>
          <cell r="E331">
            <v>1</v>
          </cell>
          <cell r="F331">
            <v>0</v>
          </cell>
          <cell r="G331" t="str">
            <v>Felh.célu id.tám.-i kölcs.nyujtása háztartásoknak(lak.tám.)</v>
          </cell>
        </row>
        <row r="332">
          <cell r="A332" t="str">
            <v>35</v>
          </cell>
          <cell r="B332" t="str">
            <v>06</v>
          </cell>
          <cell r="C332" t="str">
            <v>1</v>
          </cell>
          <cell r="D332" t="str">
            <v>B</v>
          </cell>
          <cell r="E332">
            <v>1</v>
          </cell>
          <cell r="F332">
            <v>0</v>
          </cell>
          <cell r="G332" t="str">
            <v>Egyéb felh.célu tám.-i kölcsönök nyujtása háztartásoknak</v>
          </cell>
        </row>
        <row r="333">
          <cell r="A333" t="str">
            <v>36</v>
          </cell>
          <cell r="B333" t="str">
            <v>06</v>
          </cell>
          <cell r="C333" t="str">
            <v>1</v>
          </cell>
          <cell r="D333" t="str">
            <v>B</v>
          </cell>
          <cell r="E333">
            <v>1</v>
          </cell>
          <cell r="F333">
            <v>0</v>
          </cell>
          <cell r="G333" t="str">
            <v>Felh.célu tám.-i kölcsönök nyujtása non-profit szervezetekn.</v>
          </cell>
        </row>
        <row r="334">
          <cell r="A334" t="str">
            <v>37</v>
          </cell>
          <cell r="B334" t="str">
            <v>06</v>
          </cell>
          <cell r="C334" t="str">
            <v>1</v>
          </cell>
          <cell r="D334" t="str">
            <v>B</v>
          </cell>
          <cell r="E334">
            <v>1</v>
          </cell>
          <cell r="F334">
            <v>0</v>
          </cell>
          <cell r="G334" t="str">
            <v>Felh.célu tám.-i kölcsönök nyujtása külföldre</v>
          </cell>
        </row>
        <row r="335">
          <cell r="A335" t="str">
            <v>38</v>
          </cell>
          <cell r="B335" t="str">
            <v>06</v>
          </cell>
          <cell r="C335" t="str">
            <v>1</v>
          </cell>
          <cell r="D335" t="str">
            <v>B</v>
          </cell>
          <cell r="E335">
            <v>1</v>
          </cell>
          <cell r="F335">
            <v>2</v>
          </cell>
          <cell r="G335" t="str">
            <v>Felh.célu tám.kölcsön nyujt.áht.kivülre (26+27+33+...+37)</v>
          </cell>
        </row>
        <row r="336">
          <cell r="A336" t="str">
            <v>39</v>
          </cell>
          <cell r="B336" t="str">
            <v>06</v>
          </cell>
          <cell r="C336" t="str">
            <v>1</v>
          </cell>
          <cell r="D336" t="str">
            <v>B</v>
          </cell>
          <cell r="E336">
            <v>1</v>
          </cell>
          <cell r="F336">
            <v>2</v>
          </cell>
          <cell r="G336" t="str">
            <v>Támogatási kölcsönök nyujtása áht.kivülre (25+38)</v>
          </cell>
        </row>
        <row r="337">
          <cell r="A337" t="str">
            <v>40</v>
          </cell>
          <cell r="B337" t="str">
            <v>06</v>
          </cell>
          <cell r="C337" t="str">
            <v>1</v>
          </cell>
          <cell r="D337" t="str">
            <v>B</v>
          </cell>
          <cell r="E337">
            <v>1</v>
          </cell>
          <cell r="F337">
            <v>0</v>
          </cell>
          <cell r="G337" t="str">
            <v>Mük.célu tám.-i kölcsönök törleszt.központi ktgv-i szervnek</v>
          </cell>
        </row>
        <row r="338">
          <cell r="A338" t="str">
            <v>41</v>
          </cell>
          <cell r="B338" t="str">
            <v>06</v>
          </cell>
          <cell r="C338" t="str">
            <v>1</v>
          </cell>
          <cell r="D338" t="str">
            <v>B</v>
          </cell>
          <cell r="E338">
            <v>1</v>
          </cell>
          <cell r="F338">
            <v>0</v>
          </cell>
          <cell r="G338" t="str">
            <v>Mük.célu tám.-i kölcsönök törleszt.helyi önk. ktgv-i sz-nek</v>
          </cell>
        </row>
        <row r="339">
          <cell r="A339" t="str">
            <v>42</v>
          </cell>
          <cell r="B339" t="str">
            <v>06</v>
          </cell>
          <cell r="C339" t="str">
            <v>1</v>
          </cell>
          <cell r="D339" t="str">
            <v>B</v>
          </cell>
          <cell r="E339">
            <v>1</v>
          </cell>
          <cell r="F339">
            <v>0</v>
          </cell>
          <cell r="G339" t="str">
            <v>Mük.célu tám.-i kölcsönök törleszt.fejezeten (önk.) belül</v>
          </cell>
        </row>
        <row r="340">
          <cell r="A340" t="str">
            <v>43</v>
          </cell>
          <cell r="B340" t="str">
            <v>06</v>
          </cell>
          <cell r="C340" t="str">
            <v>1</v>
          </cell>
          <cell r="D340" t="str">
            <v>B</v>
          </cell>
          <cell r="E340">
            <v>1</v>
          </cell>
          <cell r="F340">
            <v>0</v>
          </cell>
          <cell r="G340" t="str">
            <v>Mük.célu tám.-i kölcsönök törleszt.TB.alapoknak és kezelöin.</v>
          </cell>
        </row>
        <row r="341">
          <cell r="A341" t="str">
            <v>44</v>
          </cell>
          <cell r="B341" t="str">
            <v>06</v>
          </cell>
          <cell r="C341" t="str">
            <v>1</v>
          </cell>
          <cell r="D341" t="str">
            <v>B</v>
          </cell>
          <cell r="E341">
            <v>1</v>
          </cell>
          <cell r="F341">
            <v>0</v>
          </cell>
          <cell r="G341" t="str">
            <v>Mük.célu tám.-i kölcsönök törleszt.elkül.állami pénzalapokn.</v>
          </cell>
        </row>
        <row r="342">
          <cell r="A342" t="str">
            <v>45</v>
          </cell>
          <cell r="B342" t="str">
            <v>06</v>
          </cell>
          <cell r="C342" t="str">
            <v>1</v>
          </cell>
          <cell r="D342" t="str">
            <v>B</v>
          </cell>
          <cell r="E342">
            <v>1</v>
          </cell>
          <cell r="F342">
            <v>2</v>
          </cell>
          <cell r="G342" t="str">
            <v>Mük.célu tám.-i kölcsön törleszt.áht.belülre (40+...+44)</v>
          </cell>
        </row>
        <row r="343">
          <cell r="A343" t="str">
            <v>46</v>
          </cell>
          <cell r="B343" t="str">
            <v>06</v>
          </cell>
          <cell r="C343" t="str">
            <v>1</v>
          </cell>
          <cell r="D343" t="str">
            <v>B</v>
          </cell>
          <cell r="E343">
            <v>1</v>
          </cell>
          <cell r="F343">
            <v>0</v>
          </cell>
          <cell r="G343" t="str">
            <v>Felh.célu tám.-i kölcsönök törleszt. kp-i ktgv-i szervnek</v>
          </cell>
        </row>
        <row r="344">
          <cell r="A344" t="str">
            <v>47</v>
          </cell>
          <cell r="B344" t="str">
            <v>06</v>
          </cell>
          <cell r="C344" t="str">
            <v>1</v>
          </cell>
          <cell r="D344" t="str">
            <v>B</v>
          </cell>
          <cell r="E344">
            <v>1</v>
          </cell>
          <cell r="F344">
            <v>0</v>
          </cell>
          <cell r="G344" t="str">
            <v>Felh.célu tám.-i kölcsönök törleszt.helyi önk.ktgv-i sz-nek</v>
          </cell>
        </row>
        <row r="345">
          <cell r="A345" t="str">
            <v>48</v>
          </cell>
          <cell r="B345" t="str">
            <v>06</v>
          </cell>
          <cell r="C345" t="str">
            <v>1</v>
          </cell>
          <cell r="D345" t="str">
            <v>B</v>
          </cell>
          <cell r="E345">
            <v>1</v>
          </cell>
          <cell r="F345">
            <v>0</v>
          </cell>
          <cell r="G345" t="str">
            <v>Felh.célu tám.-i kölcsönök törleszt.fejezeten (önk.) belül</v>
          </cell>
        </row>
        <row r="346">
          <cell r="A346" t="str">
            <v>49</v>
          </cell>
          <cell r="B346" t="str">
            <v>06</v>
          </cell>
          <cell r="C346" t="str">
            <v>1</v>
          </cell>
          <cell r="D346" t="str">
            <v>B</v>
          </cell>
          <cell r="E346">
            <v>1</v>
          </cell>
          <cell r="F346">
            <v>0</v>
          </cell>
          <cell r="G346" t="str">
            <v>Felh.célu tám.-i kölcsönök törleszt.TB.alapoknak és kezelöi.</v>
          </cell>
        </row>
        <row r="347">
          <cell r="A347" t="str">
            <v>50</v>
          </cell>
          <cell r="B347" t="str">
            <v>06</v>
          </cell>
          <cell r="C347" t="str">
            <v>1</v>
          </cell>
          <cell r="D347" t="str">
            <v>B</v>
          </cell>
          <cell r="E347">
            <v>1</v>
          </cell>
          <cell r="F347">
            <v>0</v>
          </cell>
          <cell r="G347" t="str">
            <v>Felh.célu tám.-i kölcsönök törleszt.elkül.állami pénzalapok.</v>
          </cell>
        </row>
        <row r="348">
          <cell r="A348" t="str">
            <v>51</v>
          </cell>
          <cell r="B348" t="str">
            <v>06</v>
          </cell>
          <cell r="C348" t="str">
            <v>1</v>
          </cell>
          <cell r="D348" t="str">
            <v>B</v>
          </cell>
          <cell r="E348">
            <v>1</v>
          </cell>
          <cell r="F348">
            <v>2</v>
          </cell>
          <cell r="G348" t="str">
            <v>Felh.célu tám.-i kölcsön törl.áht.-belülre (46+...+50)</v>
          </cell>
        </row>
        <row r="349">
          <cell r="A349" t="str">
            <v>52</v>
          </cell>
          <cell r="B349" t="str">
            <v>06</v>
          </cell>
          <cell r="C349" t="str">
            <v>1</v>
          </cell>
          <cell r="D349" t="str">
            <v>B</v>
          </cell>
          <cell r="E349">
            <v>1</v>
          </cell>
          <cell r="F349">
            <v>2</v>
          </cell>
          <cell r="G349" t="str">
            <v>Támogatási kölcsönök törleszt.államházt. belülre (45+51)</v>
          </cell>
        </row>
        <row r="350">
          <cell r="A350" t="str">
            <v>53</v>
          </cell>
          <cell r="B350" t="str">
            <v>06</v>
          </cell>
          <cell r="C350" t="str">
            <v>1</v>
          </cell>
          <cell r="D350" t="str">
            <v>B</v>
          </cell>
          <cell r="E350">
            <v>1</v>
          </cell>
          <cell r="F350">
            <v>2</v>
          </cell>
          <cell r="G350" t="str">
            <v>Kölcsönök nyujtása és törlesztése (13+39+52)</v>
          </cell>
        </row>
        <row r="351">
          <cell r="A351" t="str">
            <v>54</v>
          </cell>
          <cell r="B351" t="str">
            <v>06</v>
          </cell>
          <cell r="C351" t="str">
            <v>1</v>
          </cell>
          <cell r="D351" t="str">
            <v>B</v>
          </cell>
          <cell r="E351">
            <v>1</v>
          </cell>
          <cell r="F351">
            <v>0</v>
          </cell>
          <cell r="G351" t="str">
            <v>Hosszu lejáratu hitelek visszafiz.(törl.)pénzügyi vállalk.</v>
          </cell>
        </row>
        <row r="352">
          <cell r="A352" t="str">
            <v>55</v>
          </cell>
          <cell r="B352" t="str">
            <v>06</v>
          </cell>
          <cell r="C352" t="str">
            <v>1</v>
          </cell>
          <cell r="D352" t="str">
            <v>B</v>
          </cell>
          <cell r="E352">
            <v>1</v>
          </cell>
          <cell r="F352">
            <v>0</v>
          </cell>
          <cell r="G352" t="str">
            <v>Hosszu lejáratu hitelek visszafiz.(törl.)egyéb belföldi hit.</v>
          </cell>
        </row>
        <row r="353">
          <cell r="A353" t="str">
            <v>56</v>
          </cell>
          <cell r="B353" t="str">
            <v>06</v>
          </cell>
          <cell r="C353" t="str">
            <v>1</v>
          </cell>
          <cell r="D353" t="str">
            <v>B</v>
          </cell>
          <cell r="E353">
            <v>1</v>
          </cell>
          <cell r="F353">
            <v>0</v>
          </cell>
          <cell r="G353" t="str">
            <v>Rövid lejáratu hitelek visszafiz.(törl.) pénzügyi vállalk.</v>
          </cell>
        </row>
        <row r="354">
          <cell r="A354" t="str">
            <v>57</v>
          </cell>
          <cell r="B354" t="str">
            <v>06</v>
          </cell>
          <cell r="C354" t="str">
            <v>1</v>
          </cell>
          <cell r="D354" t="str">
            <v>B</v>
          </cell>
          <cell r="E354">
            <v>1</v>
          </cell>
          <cell r="F354">
            <v>0</v>
          </cell>
          <cell r="G354" t="str">
            <v>Likviditási célu hitel törlesztése pénzügyi vállalk.</v>
          </cell>
        </row>
        <row r="355">
          <cell r="A355" t="str">
            <v>58</v>
          </cell>
          <cell r="B355" t="str">
            <v>06</v>
          </cell>
          <cell r="C355" t="str">
            <v>1</v>
          </cell>
          <cell r="D355" t="str">
            <v>B</v>
          </cell>
          <cell r="E355">
            <v>1</v>
          </cell>
          <cell r="F355">
            <v>0</v>
          </cell>
          <cell r="G355" t="str">
            <v>Rövid lejáratu hitelek visszafiz.(törl.) egyéb belföldi hit.</v>
          </cell>
        </row>
        <row r="356">
          <cell r="A356" t="str">
            <v>59</v>
          </cell>
          <cell r="B356" t="str">
            <v>06</v>
          </cell>
          <cell r="C356" t="str">
            <v>1</v>
          </cell>
          <cell r="D356" t="str">
            <v>B</v>
          </cell>
          <cell r="E356">
            <v>1</v>
          </cell>
          <cell r="F356">
            <v>0</v>
          </cell>
          <cell r="G356" t="str">
            <v>Likviditási célu hitel törlesztése központi költségvetésnek</v>
          </cell>
        </row>
        <row r="357">
          <cell r="A357" t="str">
            <v>60</v>
          </cell>
          <cell r="B357" t="str">
            <v>06</v>
          </cell>
          <cell r="C357" t="str">
            <v>1</v>
          </cell>
          <cell r="D357" t="str">
            <v>B</v>
          </cell>
          <cell r="E357">
            <v>1</v>
          </cell>
          <cell r="F357">
            <v>0</v>
          </cell>
          <cell r="G357" t="str">
            <v>Müködési célu hitel visszafiz.más elkül. állami pénzalap.</v>
          </cell>
        </row>
        <row r="358">
          <cell r="A358" t="str">
            <v>61</v>
          </cell>
          <cell r="B358" t="str">
            <v>06</v>
          </cell>
          <cell r="C358" t="str">
            <v>1</v>
          </cell>
          <cell r="D358" t="str">
            <v>B</v>
          </cell>
          <cell r="E358">
            <v>1</v>
          </cell>
          <cell r="F358">
            <v>0</v>
          </cell>
          <cell r="G358" t="str">
            <v>Hosszu lejáratu belföldi értékpapirok beváltása</v>
          </cell>
        </row>
        <row r="359">
          <cell r="A359" t="str">
            <v>62</v>
          </cell>
          <cell r="B359" t="str">
            <v>06</v>
          </cell>
          <cell r="C359" t="str">
            <v>1</v>
          </cell>
          <cell r="D359" t="str">
            <v>B</v>
          </cell>
          <cell r="E359">
            <v>1</v>
          </cell>
          <cell r="F359">
            <v>0</v>
          </cell>
          <cell r="G359" t="str">
            <v>Rövid lejáratu belföldi értékpapirok beváltása</v>
          </cell>
        </row>
        <row r="360">
          <cell r="A360" t="str">
            <v>63</v>
          </cell>
          <cell r="B360" t="str">
            <v>06</v>
          </cell>
          <cell r="C360" t="str">
            <v>1</v>
          </cell>
          <cell r="D360" t="str">
            <v>B</v>
          </cell>
          <cell r="E360">
            <v>1</v>
          </cell>
          <cell r="F360">
            <v>0</v>
          </cell>
          <cell r="G360" t="str">
            <v>Rövid lejáratu értékpapirok vásárlása</v>
          </cell>
        </row>
        <row r="361">
          <cell r="A361" t="str">
            <v>64</v>
          </cell>
          <cell r="B361" t="str">
            <v>06</v>
          </cell>
          <cell r="C361" t="str">
            <v>1</v>
          </cell>
          <cell r="D361" t="str">
            <v>B</v>
          </cell>
          <cell r="E361">
            <v>1</v>
          </cell>
          <cell r="F361">
            <v>2</v>
          </cell>
          <cell r="G361" t="str">
            <v>Belföldi finanszirozás kiadásai (54+...+63)</v>
          </cell>
        </row>
        <row r="362">
          <cell r="A362" t="str">
            <v>65</v>
          </cell>
          <cell r="B362" t="str">
            <v>06</v>
          </cell>
          <cell r="C362" t="str">
            <v>1</v>
          </cell>
          <cell r="D362" t="str">
            <v>B</v>
          </cell>
          <cell r="E362">
            <v>1</v>
          </cell>
          <cell r="F362">
            <v>0</v>
          </cell>
          <cell r="G362" t="str">
            <v>Hosszu lejáratu külföldi értékpapirok beváltása</v>
          </cell>
        </row>
        <row r="363">
          <cell r="A363" t="str">
            <v>66</v>
          </cell>
          <cell r="B363" t="str">
            <v>06</v>
          </cell>
          <cell r="C363" t="str">
            <v>1</v>
          </cell>
          <cell r="D363" t="str">
            <v>B</v>
          </cell>
          <cell r="E363">
            <v>1</v>
          </cell>
          <cell r="F363">
            <v>0</v>
          </cell>
          <cell r="G363" t="str">
            <v>Hiteltörlesztés nemzetközi fejlesztési szervezeteknek</v>
          </cell>
        </row>
        <row r="364">
          <cell r="A364" t="str">
            <v>67</v>
          </cell>
          <cell r="B364" t="str">
            <v>06</v>
          </cell>
          <cell r="C364" t="str">
            <v>1</v>
          </cell>
          <cell r="D364" t="str">
            <v>B</v>
          </cell>
          <cell r="E364">
            <v>1</v>
          </cell>
          <cell r="F364">
            <v>0</v>
          </cell>
          <cell r="G364" t="str">
            <v>Hiteltörlesztés más kormányoknak</v>
          </cell>
        </row>
        <row r="365">
          <cell r="A365" t="str">
            <v>68</v>
          </cell>
          <cell r="B365" t="str">
            <v>06</v>
          </cell>
          <cell r="C365" t="str">
            <v>1</v>
          </cell>
          <cell r="D365" t="str">
            <v>B</v>
          </cell>
          <cell r="E365">
            <v>1</v>
          </cell>
          <cell r="F365">
            <v>0</v>
          </cell>
          <cell r="G365" t="str">
            <v>Hiteltörlesztés külföldi pénzintézeteknek</v>
          </cell>
        </row>
        <row r="366">
          <cell r="A366" t="str">
            <v>69</v>
          </cell>
          <cell r="B366" t="str">
            <v>06</v>
          </cell>
          <cell r="C366" t="str">
            <v>1</v>
          </cell>
          <cell r="D366" t="str">
            <v>B</v>
          </cell>
          <cell r="E366">
            <v>1</v>
          </cell>
          <cell r="F366">
            <v>0</v>
          </cell>
          <cell r="G366" t="str">
            <v>Hiteltörlesztés egyéb külföldi hitelezönek</v>
          </cell>
        </row>
        <row r="367">
          <cell r="A367" t="str">
            <v>70</v>
          </cell>
          <cell r="B367" t="str">
            <v>06</v>
          </cell>
          <cell r="C367" t="str">
            <v>1</v>
          </cell>
          <cell r="D367" t="str">
            <v>B</v>
          </cell>
          <cell r="E367">
            <v>1</v>
          </cell>
          <cell r="F367">
            <v>2</v>
          </cell>
          <cell r="G367" t="str">
            <v>Külföldi finanszirozás kiadásai (65+...+69)</v>
          </cell>
        </row>
        <row r="368">
          <cell r="A368" t="str">
            <v>71</v>
          </cell>
          <cell r="B368" t="str">
            <v>06</v>
          </cell>
          <cell r="C368" t="str">
            <v>1</v>
          </cell>
          <cell r="D368" t="str">
            <v>B</v>
          </cell>
          <cell r="E368">
            <v>1</v>
          </cell>
          <cell r="F368">
            <v>0</v>
          </cell>
          <cell r="G368" t="str">
            <v>Tervezett maradvány,eredmény</v>
          </cell>
        </row>
        <row r="369">
          <cell r="A369" t="str">
            <v>72</v>
          </cell>
          <cell r="B369" t="str">
            <v>06</v>
          </cell>
          <cell r="C369" t="str">
            <v>1</v>
          </cell>
          <cell r="D369" t="str">
            <v>B</v>
          </cell>
          <cell r="E369">
            <v>1</v>
          </cell>
          <cell r="F369">
            <v>0</v>
          </cell>
          <cell r="G369" t="str">
            <v>Céltartalékok</v>
          </cell>
        </row>
        <row r="370">
          <cell r="A370" t="str">
            <v>73</v>
          </cell>
          <cell r="B370" t="str">
            <v>06</v>
          </cell>
          <cell r="C370" t="str">
            <v>1</v>
          </cell>
          <cell r="D370" t="str">
            <v>B</v>
          </cell>
          <cell r="E370">
            <v>1</v>
          </cell>
          <cell r="F370">
            <v>0</v>
          </cell>
          <cell r="G370" t="str">
            <v>Alap- és vállalkozási tevékenység közötti elszámolások</v>
          </cell>
        </row>
        <row r="371">
          <cell r="A371" t="str">
            <v>74</v>
          </cell>
          <cell r="B371" t="str">
            <v>06</v>
          </cell>
          <cell r="C371" t="str">
            <v>1</v>
          </cell>
          <cell r="D371" t="str">
            <v>B</v>
          </cell>
          <cell r="E371">
            <v>1</v>
          </cell>
          <cell r="F371">
            <v>2</v>
          </cell>
          <cell r="G371" t="str">
            <v>Pénzforgalom nélküli kiadások (71+72+73)</v>
          </cell>
        </row>
        <row r="372">
          <cell r="A372" t="str">
            <v>75</v>
          </cell>
          <cell r="B372" t="str">
            <v>06</v>
          </cell>
          <cell r="C372" t="str">
            <v>1</v>
          </cell>
          <cell r="D372" t="str">
            <v>B</v>
          </cell>
          <cell r="E372">
            <v>1</v>
          </cell>
          <cell r="F372">
            <v>0</v>
          </cell>
          <cell r="G372" t="str">
            <v>Kiegyenlitö kiadások</v>
          </cell>
        </row>
        <row r="373">
          <cell r="A373" t="str">
            <v>76</v>
          </cell>
          <cell r="B373" t="str">
            <v>06</v>
          </cell>
          <cell r="C373" t="str">
            <v>1</v>
          </cell>
          <cell r="D373" t="str">
            <v>B</v>
          </cell>
          <cell r="E373">
            <v>1</v>
          </cell>
          <cell r="F373">
            <v>0</v>
          </cell>
          <cell r="G373" t="str">
            <v>Függö kiadások</v>
          </cell>
        </row>
        <row r="374">
          <cell r="A374" t="str">
            <v>77</v>
          </cell>
          <cell r="B374" t="str">
            <v>06</v>
          </cell>
          <cell r="C374" t="str">
            <v>1</v>
          </cell>
          <cell r="D374" t="str">
            <v>B</v>
          </cell>
          <cell r="E374">
            <v>1</v>
          </cell>
          <cell r="F374">
            <v>0</v>
          </cell>
          <cell r="G374" t="str">
            <v>átfuto kiadások</v>
          </cell>
        </row>
        <row r="375">
          <cell r="A375" t="str">
            <v>78</v>
          </cell>
          <cell r="B375" t="str">
            <v>06</v>
          </cell>
          <cell r="C375" t="str">
            <v>1</v>
          </cell>
          <cell r="D375" t="str">
            <v>B</v>
          </cell>
          <cell r="E375">
            <v>1</v>
          </cell>
          <cell r="F375">
            <v>2</v>
          </cell>
          <cell r="G375" t="str">
            <v>Kiegyenlitö,függö,átfuto kiadások (75+76+77)</v>
          </cell>
        </row>
        <row r="376">
          <cell r="A376" t="str">
            <v>1</v>
          </cell>
          <cell r="B376" t="str">
            <v>07</v>
          </cell>
          <cell r="C376" t="str">
            <v>1</v>
          </cell>
          <cell r="D376" t="str">
            <v>B</v>
          </cell>
          <cell r="E376">
            <v>1</v>
          </cell>
          <cell r="F376">
            <v>0</v>
          </cell>
          <cell r="G376" t="str">
            <v>Intézményi ellátási dijak</v>
          </cell>
        </row>
        <row r="377">
          <cell r="A377" t="str">
            <v>2</v>
          </cell>
          <cell r="B377" t="str">
            <v>07</v>
          </cell>
          <cell r="C377" t="str">
            <v>1</v>
          </cell>
          <cell r="D377" t="str">
            <v>B</v>
          </cell>
          <cell r="E377">
            <v>1</v>
          </cell>
          <cell r="F377">
            <v>0</v>
          </cell>
          <cell r="G377" t="str">
            <v>Alkalmazottak téritése</v>
          </cell>
        </row>
        <row r="378">
          <cell r="A378" t="str">
            <v>3</v>
          </cell>
          <cell r="B378" t="str">
            <v>07</v>
          </cell>
          <cell r="C378" t="str">
            <v>1</v>
          </cell>
          <cell r="D378" t="str">
            <v>B</v>
          </cell>
          <cell r="E378">
            <v>1</v>
          </cell>
          <cell r="F378">
            <v>0</v>
          </cell>
          <cell r="G378" t="str">
            <v>Hatosági,enged.-i,felügyeleti,ellörzési feladatok bevétele</v>
          </cell>
        </row>
        <row r="379">
          <cell r="A379" t="str">
            <v>4</v>
          </cell>
          <cell r="B379" t="str">
            <v>07</v>
          </cell>
          <cell r="C379" t="str">
            <v>1</v>
          </cell>
          <cell r="D379" t="str">
            <v>B</v>
          </cell>
          <cell r="E379">
            <v>1</v>
          </cell>
          <cell r="F379">
            <v>0</v>
          </cell>
          <cell r="G379" t="str">
            <v>Egyéb alaptevékenységi bevételek</v>
          </cell>
        </row>
        <row r="380">
          <cell r="A380" t="str">
            <v>5</v>
          </cell>
          <cell r="B380" t="str">
            <v>07</v>
          </cell>
          <cell r="C380" t="str">
            <v>1</v>
          </cell>
          <cell r="D380" t="str">
            <v>B</v>
          </cell>
          <cell r="E380">
            <v>1</v>
          </cell>
          <cell r="F380">
            <v>3</v>
          </cell>
          <cell r="G380" t="str">
            <v>Alaptevékenység bevételei (01+...+04)</v>
          </cell>
        </row>
        <row r="381">
          <cell r="A381" t="str">
            <v>6</v>
          </cell>
          <cell r="B381" t="str">
            <v>07</v>
          </cell>
          <cell r="C381" t="str">
            <v>1</v>
          </cell>
          <cell r="D381" t="str">
            <v>B</v>
          </cell>
          <cell r="E381">
            <v>1</v>
          </cell>
          <cell r="F381">
            <v>0</v>
          </cell>
          <cell r="G381" t="str">
            <v>Állami feladatok ellát.során létrehozott áru-és készletért.</v>
          </cell>
        </row>
        <row r="382">
          <cell r="A382" t="str">
            <v>7</v>
          </cell>
          <cell r="B382" t="str">
            <v>07</v>
          </cell>
          <cell r="C382" t="str">
            <v>1</v>
          </cell>
          <cell r="D382" t="str">
            <v>B</v>
          </cell>
          <cell r="E382">
            <v>1</v>
          </cell>
          <cell r="F382">
            <v>0</v>
          </cell>
          <cell r="G382" t="str">
            <v>Alaptevékenység körében végzett szolgáltatások ellenértéke</v>
          </cell>
        </row>
        <row r="383">
          <cell r="A383" t="str">
            <v>8</v>
          </cell>
          <cell r="B383" t="str">
            <v>07</v>
          </cell>
          <cell r="C383" t="str">
            <v>1</v>
          </cell>
          <cell r="D383" t="str">
            <v>B</v>
          </cell>
          <cell r="E383">
            <v>1</v>
          </cell>
          <cell r="F383">
            <v>0</v>
          </cell>
          <cell r="G383" t="str">
            <v>Alaptevékenység sajátos szolgáltatásainak ellenértéke</v>
          </cell>
        </row>
        <row r="384">
          <cell r="A384" t="str">
            <v>9</v>
          </cell>
          <cell r="B384" t="str">
            <v>07</v>
          </cell>
          <cell r="C384" t="str">
            <v>1</v>
          </cell>
          <cell r="D384" t="str">
            <v>B</v>
          </cell>
          <cell r="E384">
            <v>1</v>
          </cell>
          <cell r="F384">
            <v>0</v>
          </cell>
          <cell r="G384" t="str">
            <v>Továbbszámlázott(közvetitett) szolg.bevételei ÁH-n belülre</v>
          </cell>
        </row>
        <row r="385">
          <cell r="A385" t="str">
            <v>10</v>
          </cell>
          <cell r="B385" t="str">
            <v>07</v>
          </cell>
          <cell r="C385" t="str">
            <v>1</v>
          </cell>
          <cell r="D385" t="str">
            <v>B</v>
          </cell>
          <cell r="E385">
            <v>1</v>
          </cell>
          <cell r="F385">
            <v>0</v>
          </cell>
          <cell r="G385" t="str">
            <v>Továbbszámlázott(közvetitett) szolg.bevételei ÁH-n kivülre</v>
          </cell>
        </row>
        <row r="386">
          <cell r="A386" t="str">
            <v>11</v>
          </cell>
          <cell r="B386" t="str">
            <v>07</v>
          </cell>
          <cell r="C386" t="str">
            <v>1</v>
          </cell>
          <cell r="D386" t="str">
            <v>B</v>
          </cell>
          <cell r="E386">
            <v>1</v>
          </cell>
          <cell r="F386">
            <v>3</v>
          </cell>
          <cell r="G386" t="str">
            <v>Alaptevékenységgel összefüggö egyéb bevételek(06+...+10)</v>
          </cell>
        </row>
        <row r="387">
          <cell r="A387" t="str">
            <v>12</v>
          </cell>
          <cell r="B387" t="str">
            <v>07</v>
          </cell>
          <cell r="C387" t="str">
            <v>1</v>
          </cell>
          <cell r="D387" t="str">
            <v>B</v>
          </cell>
          <cell r="E387">
            <v>1</v>
          </cell>
          <cell r="F387">
            <v>0</v>
          </cell>
          <cell r="G387" t="str">
            <v>Bérleti és lizingdijbevételek</v>
          </cell>
        </row>
        <row r="388">
          <cell r="A388" t="str">
            <v>13</v>
          </cell>
          <cell r="B388" t="str">
            <v>07</v>
          </cell>
          <cell r="C388" t="str">
            <v>1</v>
          </cell>
          <cell r="D388" t="str">
            <v>B</v>
          </cell>
          <cell r="E388">
            <v>1</v>
          </cell>
          <cell r="F388">
            <v>0</v>
          </cell>
          <cell r="G388" t="str">
            <v>Szellemi és anyagi infrastruktura magáncélu igénybevét.tér.</v>
          </cell>
        </row>
        <row r="389">
          <cell r="A389" t="str">
            <v>14</v>
          </cell>
          <cell r="B389" t="str">
            <v>07</v>
          </cell>
          <cell r="C389" t="str">
            <v>1</v>
          </cell>
          <cell r="D389" t="str">
            <v>B</v>
          </cell>
          <cell r="E389">
            <v>1</v>
          </cell>
          <cell r="F389">
            <v>0</v>
          </cell>
          <cell r="G389" t="str">
            <v>Vendéglátoip. vállalk. által üzemelt.int.étterem bérl.dija</v>
          </cell>
        </row>
        <row r="390">
          <cell r="A390" t="str">
            <v>15</v>
          </cell>
          <cell r="B390" t="str">
            <v>07</v>
          </cell>
          <cell r="C390" t="str">
            <v>1</v>
          </cell>
          <cell r="D390" t="str">
            <v>B</v>
          </cell>
          <cell r="E390">
            <v>1</v>
          </cell>
          <cell r="F390">
            <v>0</v>
          </cell>
          <cell r="G390" t="str">
            <v>Elhasználodott,feleslegessé vált készletek értékesitése</v>
          </cell>
        </row>
        <row r="391">
          <cell r="A391" t="str">
            <v>16</v>
          </cell>
          <cell r="B391" t="str">
            <v>07</v>
          </cell>
          <cell r="C391" t="str">
            <v>1</v>
          </cell>
          <cell r="D391" t="str">
            <v>B</v>
          </cell>
          <cell r="E391">
            <v>1</v>
          </cell>
          <cell r="F391">
            <v>0</v>
          </cell>
          <cell r="G391" t="str">
            <v>Dolgozo,hallgato,tanulo,stb.kártéritése és egyéb téritése</v>
          </cell>
        </row>
        <row r="392">
          <cell r="A392" t="str">
            <v>17</v>
          </cell>
          <cell r="B392" t="str">
            <v>07</v>
          </cell>
          <cell r="C392" t="str">
            <v>1</v>
          </cell>
          <cell r="D392" t="str">
            <v>B</v>
          </cell>
          <cell r="E392">
            <v>1</v>
          </cell>
          <cell r="F392">
            <v>0</v>
          </cell>
          <cell r="G392" t="str">
            <v>Kötbér,birság,egyéb kártérités,bánatpénz megfiz.szárm.pénz.</v>
          </cell>
        </row>
        <row r="393">
          <cell r="A393" t="str">
            <v>18</v>
          </cell>
          <cell r="B393" t="str">
            <v>07</v>
          </cell>
          <cell r="C393" t="str">
            <v>1</v>
          </cell>
          <cell r="D393" t="str">
            <v>B</v>
          </cell>
          <cell r="E393">
            <v>1</v>
          </cell>
          <cell r="F393">
            <v>0</v>
          </cell>
          <cell r="G393" t="str">
            <v>Egyéb bevételek</v>
          </cell>
        </row>
        <row r="394">
          <cell r="A394" t="str">
            <v>19</v>
          </cell>
          <cell r="B394" t="str">
            <v>07</v>
          </cell>
          <cell r="C394" t="str">
            <v>1</v>
          </cell>
          <cell r="D394" t="str">
            <v>B</v>
          </cell>
          <cell r="E394">
            <v>1</v>
          </cell>
          <cell r="F394">
            <v>3</v>
          </cell>
          <cell r="G394" t="str">
            <v>Intézmények egyéb sajátos bevételei (12+...+18)</v>
          </cell>
        </row>
        <row r="395">
          <cell r="A395" t="str">
            <v>20</v>
          </cell>
          <cell r="B395" t="str">
            <v>07</v>
          </cell>
          <cell r="C395" t="str">
            <v>1</v>
          </cell>
          <cell r="D395" t="str">
            <v>B</v>
          </cell>
          <cell r="E395">
            <v>1</v>
          </cell>
          <cell r="F395">
            <v>0</v>
          </cell>
          <cell r="G395" t="str">
            <v>Müködési kiadáshoz kapcsolodo ÁFA visszatérülése</v>
          </cell>
        </row>
        <row r="396">
          <cell r="A396" t="str">
            <v>21</v>
          </cell>
          <cell r="B396" t="str">
            <v>07</v>
          </cell>
          <cell r="C396" t="str">
            <v>1</v>
          </cell>
          <cell r="D396" t="str">
            <v>B</v>
          </cell>
          <cell r="E396">
            <v>1</v>
          </cell>
          <cell r="F396">
            <v>0</v>
          </cell>
          <cell r="G396" t="str">
            <v>Felhalmozási kiadáshoz kapcsolodo ÁFA visszatérülése</v>
          </cell>
        </row>
        <row r="397">
          <cell r="A397" t="str">
            <v>22</v>
          </cell>
          <cell r="B397" t="str">
            <v>07</v>
          </cell>
          <cell r="C397" t="str">
            <v>1</v>
          </cell>
          <cell r="D397" t="str">
            <v>B</v>
          </cell>
          <cell r="E397">
            <v>1</v>
          </cell>
          <cell r="F397">
            <v>0</v>
          </cell>
          <cell r="G397" t="str">
            <v>Kiszámlázott termékek és szolgáltatások ÁFA-ja</v>
          </cell>
        </row>
        <row r="398">
          <cell r="A398" t="str">
            <v>23</v>
          </cell>
          <cell r="B398" t="str">
            <v>07</v>
          </cell>
          <cell r="C398" t="str">
            <v>1</v>
          </cell>
          <cell r="D398" t="str">
            <v>B</v>
          </cell>
          <cell r="E398">
            <v>1</v>
          </cell>
          <cell r="F398">
            <v>0</v>
          </cell>
          <cell r="G398" t="str">
            <v>Értékesitett tárgyi eszközök,immateriális javak ÁFA-ja</v>
          </cell>
        </row>
        <row r="399">
          <cell r="A399" t="str">
            <v>24</v>
          </cell>
          <cell r="B399" t="str">
            <v>07</v>
          </cell>
          <cell r="C399" t="str">
            <v>1</v>
          </cell>
          <cell r="D399" t="str">
            <v>B</v>
          </cell>
          <cell r="E399">
            <v>1</v>
          </cell>
          <cell r="F399">
            <v>3</v>
          </cell>
          <cell r="G399" t="str">
            <v>Ált.forg. ado bevételek,visszatérülések (20+...+23)</v>
          </cell>
        </row>
        <row r="400">
          <cell r="A400" t="str">
            <v>25</v>
          </cell>
          <cell r="B400" t="str">
            <v>07</v>
          </cell>
          <cell r="C400" t="str">
            <v>1</v>
          </cell>
          <cell r="D400" t="str">
            <v>B</v>
          </cell>
          <cell r="E400">
            <v>1</v>
          </cell>
          <cell r="F400">
            <v>0</v>
          </cell>
          <cell r="G400" t="str">
            <v>Áruértékesités</v>
          </cell>
        </row>
        <row r="401">
          <cell r="A401" t="str">
            <v>26</v>
          </cell>
          <cell r="B401" t="str">
            <v>07</v>
          </cell>
          <cell r="C401" t="str">
            <v>1</v>
          </cell>
          <cell r="D401" t="str">
            <v>B</v>
          </cell>
          <cell r="E401">
            <v>1</v>
          </cell>
          <cell r="F401">
            <v>0</v>
          </cell>
          <cell r="G401" t="str">
            <v>Szolgáltatás</v>
          </cell>
        </row>
        <row r="402">
          <cell r="A402" t="str">
            <v>27</v>
          </cell>
          <cell r="B402" t="str">
            <v>07</v>
          </cell>
          <cell r="C402" t="str">
            <v>1</v>
          </cell>
          <cell r="D402" t="str">
            <v>B</v>
          </cell>
          <cell r="E402">
            <v>1</v>
          </cell>
          <cell r="F402">
            <v>3</v>
          </cell>
          <cell r="G402" t="str">
            <v>Vállalkozási bevételek (25+26)</v>
          </cell>
        </row>
        <row r="403">
          <cell r="A403" t="str">
            <v>28</v>
          </cell>
          <cell r="B403" t="str">
            <v>07</v>
          </cell>
          <cell r="C403" t="str">
            <v>1</v>
          </cell>
          <cell r="D403" t="str">
            <v>B</v>
          </cell>
          <cell r="E403">
            <v>1</v>
          </cell>
          <cell r="F403">
            <v>0</v>
          </cell>
          <cell r="G403" t="str">
            <v>Államháztartáson kivülröl származo bef.pénz.eszk.kamata</v>
          </cell>
        </row>
        <row r="404">
          <cell r="A404" t="str">
            <v>29</v>
          </cell>
          <cell r="B404" t="str">
            <v>07</v>
          </cell>
          <cell r="C404" t="str">
            <v>1</v>
          </cell>
          <cell r="D404" t="str">
            <v>B</v>
          </cell>
          <cell r="E404">
            <v>1</v>
          </cell>
          <cell r="F404">
            <v>0</v>
          </cell>
          <cell r="G404" t="str">
            <v>Egyéb államháztartáson kivülröl származo kamatbevétel</v>
          </cell>
        </row>
        <row r="405">
          <cell r="A405" t="str">
            <v>30</v>
          </cell>
          <cell r="B405" t="str">
            <v>07</v>
          </cell>
          <cell r="C405" t="str">
            <v>1</v>
          </cell>
          <cell r="D405" t="str">
            <v>B</v>
          </cell>
          <cell r="E405">
            <v>1</v>
          </cell>
          <cell r="F405">
            <v>0</v>
          </cell>
          <cell r="G405" t="str">
            <v>Kamatbevételek államháztartáson belülröl</v>
          </cell>
        </row>
        <row r="406">
          <cell r="A406" t="str">
            <v>31</v>
          </cell>
          <cell r="B406" t="str">
            <v>07</v>
          </cell>
          <cell r="C406" t="str">
            <v>1</v>
          </cell>
          <cell r="D406" t="str">
            <v>B</v>
          </cell>
          <cell r="E406">
            <v>1</v>
          </cell>
          <cell r="F406">
            <v>3</v>
          </cell>
          <cell r="G406" t="str">
            <v>Kamatbevételek (28+29+30)</v>
          </cell>
        </row>
        <row r="407">
          <cell r="A407" t="str">
            <v>32</v>
          </cell>
          <cell r="B407" t="str">
            <v>07</v>
          </cell>
          <cell r="C407" t="str">
            <v>1</v>
          </cell>
          <cell r="D407" t="str">
            <v>B</v>
          </cell>
          <cell r="E407">
            <v>1</v>
          </cell>
          <cell r="F407">
            <v>3</v>
          </cell>
          <cell r="G407" t="str">
            <v>Intézményi müködési bevételek (05+11+19+24+27+31)</v>
          </cell>
        </row>
        <row r="408">
          <cell r="A408" t="str">
            <v>33</v>
          </cell>
          <cell r="B408" t="str">
            <v>07</v>
          </cell>
          <cell r="C408" t="str">
            <v>1</v>
          </cell>
          <cell r="D408" t="str">
            <v>B</v>
          </cell>
          <cell r="E408">
            <v>1</v>
          </cell>
          <cell r="F408">
            <v>0</v>
          </cell>
          <cell r="G408" t="str">
            <v>Központi költségvetés sajátos bevételei</v>
          </cell>
        </row>
        <row r="409">
          <cell r="A409" t="str">
            <v>34</v>
          </cell>
          <cell r="B409" t="str">
            <v>07</v>
          </cell>
          <cell r="C409" t="str">
            <v>1</v>
          </cell>
          <cell r="D409" t="str">
            <v>B</v>
          </cell>
          <cell r="E409">
            <v>1</v>
          </cell>
          <cell r="F409">
            <v>0</v>
          </cell>
          <cell r="G409" t="str">
            <v>Elkülönitett állami pénzalapok sajátos bevételei</v>
          </cell>
        </row>
        <row r="410">
          <cell r="A410" t="str">
            <v>35</v>
          </cell>
          <cell r="B410" t="str">
            <v>07</v>
          </cell>
          <cell r="C410" t="str">
            <v>1</v>
          </cell>
          <cell r="D410" t="str">
            <v>B</v>
          </cell>
          <cell r="E410">
            <v>1</v>
          </cell>
          <cell r="F410">
            <v>0</v>
          </cell>
          <cell r="G410" t="str">
            <v>Társadalombiztositási alapok sajátos bevételei</v>
          </cell>
        </row>
        <row r="411">
          <cell r="A411" t="str">
            <v>36</v>
          </cell>
          <cell r="B411" t="str">
            <v>07</v>
          </cell>
          <cell r="C411" t="str">
            <v>1</v>
          </cell>
          <cell r="D411" t="str">
            <v>B</v>
          </cell>
          <cell r="E411">
            <v>1</v>
          </cell>
          <cell r="F411">
            <v>0</v>
          </cell>
          <cell r="G411" t="str">
            <v>Önkormányzatok sajátos müködési bevételei</v>
          </cell>
        </row>
        <row r="412">
          <cell r="A412" t="str">
            <v>37</v>
          </cell>
          <cell r="B412" t="str">
            <v>07</v>
          </cell>
          <cell r="C412" t="str">
            <v>1</v>
          </cell>
          <cell r="D412" t="str">
            <v>B</v>
          </cell>
          <cell r="E412">
            <v>1</v>
          </cell>
          <cell r="F412">
            <v>3</v>
          </cell>
          <cell r="G412" t="str">
            <v>Államháztartás alrendszereinek mük.bevételei(33+...+36)</v>
          </cell>
        </row>
        <row r="413">
          <cell r="A413" t="str">
            <v>1</v>
          </cell>
          <cell r="B413" t="str">
            <v>08</v>
          </cell>
          <cell r="C413" t="str">
            <v>1</v>
          </cell>
          <cell r="D413" t="str">
            <v>B</v>
          </cell>
          <cell r="E413">
            <v>1</v>
          </cell>
          <cell r="F413">
            <v>0</v>
          </cell>
          <cell r="G413" t="str">
            <v>Ingatlanok értékesitése (föld kivételével)</v>
          </cell>
        </row>
        <row r="414">
          <cell r="A414" t="str">
            <v>2</v>
          </cell>
          <cell r="B414" t="str">
            <v>08</v>
          </cell>
          <cell r="C414" t="str">
            <v>1</v>
          </cell>
          <cell r="D414" t="str">
            <v>B</v>
          </cell>
          <cell r="E414">
            <v>1</v>
          </cell>
          <cell r="F414">
            <v>0</v>
          </cell>
          <cell r="G414" t="str">
            <v>Földterület értékesitése</v>
          </cell>
        </row>
        <row r="415">
          <cell r="A415" t="str">
            <v>3</v>
          </cell>
          <cell r="B415" t="str">
            <v>08</v>
          </cell>
          <cell r="C415" t="str">
            <v>1</v>
          </cell>
          <cell r="D415" t="str">
            <v>B</v>
          </cell>
          <cell r="E415">
            <v>1</v>
          </cell>
          <cell r="F415">
            <v>0</v>
          </cell>
          <cell r="G415" t="str">
            <v>Gépek,berendezések és felszerelések értékesitése</v>
          </cell>
        </row>
        <row r="416">
          <cell r="A416" t="str">
            <v>4</v>
          </cell>
          <cell r="B416" t="str">
            <v>08</v>
          </cell>
          <cell r="C416" t="str">
            <v>1</v>
          </cell>
          <cell r="D416" t="str">
            <v>B</v>
          </cell>
          <cell r="E416">
            <v>1</v>
          </cell>
          <cell r="F416">
            <v>0</v>
          </cell>
          <cell r="G416" t="str">
            <v>Jármüvek értékesitése</v>
          </cell>
        </row>
        <row r="417">
          <cell r="A417" t="str">
            <v>5</v>
          </cell>
          <cell r="B417" t="str">
            <v>08</v>
          </cell>
          <cell r="C417" t="str">
            <v>1</v>
          </cell>
          <cell r="D417" t="str">
            <v>B</v>
          </cell>
          <cell r="E417">
            <v>1</v>
          </cell>
          <cell r="F417">
            <v>0</v>
          </cell>
          <cell r="G417" t="str">
            <v>Immateriális javak értékesitése</v>
          </cell>
        </row>
        <row r="418">
          <cell r="A418" t="str">
            <v>6</v>
          </cell>
          <cell r="B418" t="str">
            <v>08</v>
          </cell>
          <cell r="C418" t="str">
            <v>1</v>
          </cell>
          <cell r="D418" t="str">
            <v>B</v>
          </cell>
          <cell r="E418">
            <v>1</v>
          </cell>
          <cell r="F418">
            <v>2</v>
          </cell>
          <cell r="G418" t="str">
            <v>Tárgyi eszközök,immateriális javak értékesitése(01+...+05)</v>
          </cell>
        </row>
        <row r="419">
          <cell r="A419" t="str">
            <v>7</v>
          </cell>
          <cell r="B419" t="str">
            <v>08</v>
          </cell>
          <cell r="C419" t="str">
            <v>1</v>
          </cell>
          <cell r="D419" t="str">
            <v>B</v>
          </cell>
          <cell r="E419">
            <v>1</v>
          </cell>
          <cell r="F419">
            <v>0</v>
          </cell>
          <cell r="G419" t="str">
            <v>Önkormányzatok sajátos felhalmozási és tökebevételei</v>
          </cell>
        </row>
        <row r="420">
          <cell r="A420" t="str">
            <v>8</v>
          </cell>
          <cell r="B420" t="str">
            <v>08</v>
          </cell>
          <cell r="C420" t="str">
            <v>1</v>
          </cell>
          <cell r="D420" t="str">
            <v>B</v>
          </cell>
          <cell r="E420">
            <v>1</v>
          </cell>
          <cell r="F420">
            <v>0</v>
          </cell>
          <cell r="G420" t="str">
            <v>Osztalék-és hozambevétel</v>
          </cell>
        </row>
        <row r="421">
          <cell r="A421" t="str">
            <v>9</v>
          </cell>
          <cell r="B421" t="str">
            <v>08</v>
          </cell>
          <cell r="C421" t="str">
            <v>1</v>
          </cell>
          <cell r="D421" t="str">
            <v>B</v>
          </cell>
          <cell r="E421">
            <v>1</v>
          </cell>
          <cell r="F421">
            <v>0</v>
          </cell>
          <cell r="G421" t="str">
            <v>Részvények,részesedések értékesitése</v>
          </cell>
        </row>
        <row r="422">
          <cell r="A422" t="str">
            <v>10</v>
          </cell>
          <cell r="B422" t="str">
            <v>08</v>
          </cell>
          <cell r="C422" t="str">
            <v>1</v>
          </cell>
          <cell r="D422" t="str">
            <v>B</v>
          </cell>
          <cell r="E422">
            <v>1</v>
          </cell>
          <cell r="F422">
            <v>0</v>
          </cell>
          <cell r="G422" t="str">
            <v>Kárpotlási jegyek értékesitése</v>
          </cell>
        </row>
        <row r="423">
          <cell r="A423" t="str">
            <v>11</v>
          </cell>
          <cell r="B423" t="str">
            <v>08</v>
          </cell>
          <cell r="C423" t="str">
            <v>1</v>
          </cell>
          <cell r="D423" t="str">
            <v>B</v>
          </cell>
          <cell r="E423">
            <v>1</v>
          </cell>
          <cell r="F423">
            <v>0</v>
          </cell>
          <cell r="G423" t="str">
            <v>Államkötvények,egyéb értékpapirok értékesitése</v>
          </cell>
        </row>
        <row r="424">
          <cell r="A424" t="str">
            <v>12</v>
          </cell>
          <cell r="B424" t="str">
            <v>08</v>
          </cell>
          <cell r="C424" t="str">
            <v>1</v>
          </cell>
          <cell r="D424" t="str">
            <v>B</v>
          </cell>
          <cell r="E424">
            <v>1</v>
          </cell>
          <cell r="F424">
            <v>0</v>
          </cell>
          <cell r="G424" t="str">
            <v>Egyéb pénzügyi befektetések bevételei</v>
          </cell>
        </row>
        <row r="425">
          <cell r="A425" t="str">
            <v>13</v>
          </cell>
          <cell r="B425" t="str">
            <v>08</v>
          </cell>
          <cell r="C425" t="str">
            <v>1</v>
          </cell>
          <cell r="D425" t="str">
            <v>B</v>
          </cell>
          <cell r="E425">
            <v>1</v>
          </cell>
          <cell r="F425">
            <v>3</v>
          </cell>
          <cell r="G425" t="str">
            <v>Pénzügyi befektetések bevételei (08+...+12)</v>
          </cell>
        </row>
        <row r="426">
          <cell r="A426" t="str">
            <v>14</v>
          </cell>
          <cell r="B426" t="str">
            <v>08</v>
          </cell>
          <cell r="C426" t="str">
            <v>1</v>
          </cell>
          <cell r="D426" t="str">
            <v>B</v>
          </cell>
          <cell r="E426">
            <v>1</v>
          </cell>
          <cell r="F426">
            <v>0</v>
          </cell>
          <cell r="G426" t="str">
            <v>Állami készletek,tartalékok értékesitése</v>
          </cell>
        </row>
        <row r="427">
          <cell r="A427" t="str">
            <v>15</v>
          </cell>
          <cell r="B427" t="str">
            <v>08</v>
          </cell>
          <cell r="C427" t="str">
            <v>1</v>
          </cell>
          <cell r="D427" t="str">
            <v>B</v>
          </cell>
          <cell r="E427">
            <v>1</v>
          </cell>
          <cell r="F427">
            <v>3</v>
          </cell>
          <cell r="G427" t="str">
            <v>Felhalmozási és töke jellegü bevételek (06+07+13+14)</v>
          </cell>
        </row>
        <row r="428">
          <cell r="A428" t="str">
            <v>1</v>
          </cell>
          <cell r="B428" t="str">
            <v>09</v>
          </cell>
          <cell r="C428" t="str">
            <v>1</v>
          </cell>
          <cell r="D428" t="str">
            <v>B</v>
          </cell>
          <cell r="E428">
            <v>1</v>
          </cell>
          <cell r="F428">
            <v>0</v>
          </cell>
          <cell r="G428" t="str">
            <v>Müködési költségvetés támogatása</v>
          </cell>
        </row>
        <row r="429">
          <cell r="A429" t="str">
            <v>2</v>
          </cell>
          <cell r="B429" t="str">
            <v>09</v>
          </cell>
          <cell r="C429" t="str">
            <v>1</v>
          </cell>
          <cell r="D429" t="str">
            <v>B</v>
          </cell>
          <cell r="E429">
            <v>1</v>
          </cell>
          <cell r="F429">
            <v>0</v>
          </cell>
          <cell r="G429" t="str">
            <v>Intézményi felhalmozási kiadások támogatása</v>
          </cell>
        </row>
        <row r="430">
          <cell r="A430" t="str">
            <v>3</v>
          </cell>
          <cell r="B430" t="str">
            <v>09</v>
          </cell>
          <cell r="C430" t="str">
            <v>1</v>
          </cell>
          <cell r="D430" t="str">
            <v>B</v>
          </cell>
          <cell r="E430">
            <v>1</v>
          </cell>
          <cell r="F430">
            <v>0</v>
          </cell>
          <cell r="G430" t="str">
            <v>Kormányzati felhalmozási kiadások támogatása</v>
          </cell>
        </row>
        <row r="431">
          <cell r="A431" t="str">
            <v>4</v>
          </cell>
          <cell r="B431" t="str">
            <v>09</v>
          </cell>
          <cell r="C431" t="str">
            <v>1</v>
          </cell>
          <cell r="D431" t="str">
            <v>B</v>
          </cell>
          <cell r="E431">
            <v>1</v>
          </cell>
          <cell r="F431">
            <v>2</v>
          </cell>
          <cell r="G431" t="str">
            <v>Felügyeleti szervtöl kapott támogatás (01+...+03)</v>
          </cell>
        </row>
        <row r="432">
          <cell r="A432" t="str">
            <v>5</v>
          </cell>
          <cell r="B432" t="str">
            <v>09</v>
          </cell>
          <cell r="C432" t="str">
            <v>1</v>
          </cell>
          <cell r="D432" t="str">
            <v>B</v>
          </cell>
          <cell r="E432">
            <v>1</v>
          </cell>
          <cell r="F432">
            <v>0</v>
          </cell>
          <cell r="G432" t="str">
            <v>Önkormányzatok költségvetési támogatása</v>
          </cell>
        </row>
        <row r="433">
          <cell r="A433" t="str">
            <v>6</v>
          </cell>
          <cell r="B433" t="str">
            <v>09</v>
          </cell>
          <cell r="C433" t="str">
            <v>1</v>
          </cell>
          <cell r="D433" t="str">
            <v>B</v>
          </cell>
          <cell r="E433">
            <v>1</v>
          </cell>
          <cell r="F433">
            <v>0</v>
          </cell>
          <cell r="G433" t="str">
            <v>Társadalombiztositási alapok költségvetési támogatása</v>
          </cell>
        </row>
        <row r="434">
          <cell r="A434" t="str">
            <v>7</v>
          </cell>
          <cell r="B434" t="str">
            <v>09</v>
          </cell>
          <cell r="C434" t="str">
            <v>1</v>
          </cell>
          <cell r="D434" t="str">
            <v>B</v>
          </cell>
          <cell r="E434">
            <v>1</v>
          </cell>
          <cell r="F434">
            <v>0</v>
          </cell>
          <cell r="G434" t="str">
            <v>Elkülönitett állami pénzalapok költségvetési támogatása</v>
          </cell>
        </row>
        <row r="435">
          <cell r="A435" t="str">
            <v>8</v>
          </cell>
          <cell r="B435" t="str">
            <v>09</v>
          </cell>
          <cell r="C435" t="str">
            <v>1</v>
          </cell>
          <cell r="D435" t="str">
            <v>B</v>
          </cell>
          <cell r="E435">
            <v>1</v>
          </cell>
          <cell r="F435">
            <v>3</v>
          </cell>
          <cell r="G435" t="str">
            <v>Központi költségvetésböl kapott támogatás (05+...+07)</v>
          </cell>
        </row>
        <row r="436">
          <cell r="A436" t="str">
            <v>9</v>
          </cell>
          <cell r="B436" t="str">
            <v>09</v>
          </cell>
          <cell r="C436" t="str">
            <v>1</v>
          </cell>
          <cell r="D436" t="str">
            <v>B</v>
          </cell>
          <cell r="E436">
            <v>1</v>
          </cell>
          <cell r="F436">
            <v>0</v>
          </cell>
          <cell r="G436" t="str">
            <v>Elözö évi központi költségvetési kieg.-ek, visszatérülések</v>
          </cell>
        </row>
        <row r="437">
          <cell r="A437" t="str">
            <v>10</v>
          </cell>
          <cell r="B437" t="str">
            <v>09</v>
          </cell>
          <cell r="C437" t="str">
            <v>1</v>
          </cell>
          <cell r="D437" t="str">
            <v>B</v>
          </cell>
          <cell r="E437">
            <v>1</v>
          </cell>
          <cell r="F437">
            <v>0</v>
          </cell>
          <cell r="G437" t="str">
            <v>Elözö évi egyéb költségvetési kieg.-ek, visszatérülések</v>
          </cell>
        </row>
        <row r="438">
          <cell r="A438" t="str">
            <v>11</v>
          </cell>
          <cell r="B438" t="str">
            <v>09</v>
          </cell>
          <cell r="C438" t="str">
            <v>1</v>
          </cell>
          <cell r="D438" t="str">
            <v>B</v>
          </cell>
          <cell r="E438">
            <v>1</v>
          </cell>
          <cell r="F438">
            <v>3</v>
          </cell>
          <cell r="G438" t="str">
            <v>Kiegészitések,visszatérülések  (09+10)</v>
          </cell>
        </row>
        <row r="439">
          <cell r="A439" t="str">
            <v>12</v>
          </cell>
          <cell r="B439" t="str">
            <v>09</v>
          </cell>
          <cell r="C439" t="str">
            <v>1</v>
          </cell>
          <cell r="D439" t="str">
            <v>B</v>
          </cell>
          <cell r="E439">
            <v>1</v>
          </cell>
          <cell r="F439">
            <v>0</v>
          </cell>
          <cell r="G439" t="str">
            <v>Müködési célu pénzeszközátvétel államháztartáson kivülröl</v>
          </cell>
        </row>
        <row r="440">
          <cell r="A440" t="str">
            <v>13</v>
          </cell>
          <cell r="B440" t="str">
            <v>09</v>
          </cell>
          <cell r="C440" t="str">
            <v>1</v>
          </cell>
          <cell r="D440" t="str">
            <v>B</v>
          </cell>
          <cell r="E440">
            <v>1</v>
          </cell>
          <cell r="F440">
            <v>0</v>
          </cell>
          <cell r="G440" t="str">
            <v>Müködési célu pénzeszközátvétel államháztartáson belülröl</v>
          </cell>
        </row>
        <row r="441">
          <cell r="A441" t="str">
            <v>14</v>
          </cell>
          <cell r="B441" t="str">
            <v>09</v>
          </cell>
          <cell r="C441" t="str">
            <v>1</v>
          </cell>
          <cell r="D441" t="str">
            <v>B</v>
          </cell>
          <cell r="E441">
            <v>1</v>
          </cell>
          <cell r="F441">
            <v>0</v>
          </cell>
          <cell r="G441" t="str">
            <v>Felhalm. célu pénzeszközátvétel államháztartáson kivülröl</v>
          </cell>
        </row>
        <row r="442">
          <cell r="A442" t="str">
            <v>15</v>
          </cell>
          <cell r="B442" t="str">
            <v>09</v>
          </cell>
          <cell r="C442" t="str">
            <v>1</v>
          </cell>
          <cell r="D442" t="str">
            <v>B</v>
          </cell>
          <cell r="E442">
            <v>1</v>
          </cell>
          <cell r="F442">
            <v>0</v>
          </cell>
          <cell r="G442" t="str">
            <v>Felhalm. célu pénzeszközátvétel államháztartáson belülröl</v>
          </cell>
        </row>
        <row r="443">
          <cell r="A443" t="str">
            <v>16</v>
          </cell>
          <cell r="B443" t="str">
            <v>09</v>
          </cell>
          <cell r="C443" t="str">
            <v>1</v>
          </cell>
          <cell r="D443" t="str">
            <v>B</v>
          </cell>
          <cell r="E443">
            <v>1</v>
          </cell>
          <cell r="F443">
            <v>3</v>
          </cell>
          <cell r="G443" t="str">
            <v>Támog.,kieg. és átvett pénzeszközök (04+08+11+...+15)</v>
          </cell>
        </row>
        <row r="444">
          <cell r="A444" t="str">
            <v>1</v>
          </cell>
          <cell r="B444" t="str">
            <v>10</v>
          </cell>
          <cell r="C444" t="str">
            <v>1</v>
          </cell>
          <cell r="D444" t="str">
            <v>B</v>
          </cell>
          <cell r="E444">
            <v>1</v>
          </cell>
          <cell r="F444">
            <v>0</v>
          </cell>
          <cell r="G444" t="str">
            <v>Mük.célu tám.kölcsön visszatér.állami nem pü-i vállalk-tol</v>
          </cell>
        </row>
        <row r="445">
          <cell r="A445" t="str">
            <v>2</v>
          </cell>
          <cell r="B445" t="str">
            <v>10</v>
          </cell>
          <cell r="C445" t="str">
            <v>1</v>
          </cell>
          <cell r="D445" t="str">
            <v>B</v>
          </cell>
          <cell r="E445">
            <v>1</v>
          </cell>
          <cell r="F445">
            <v>0</v>
          </cell>
          <cell r="G445" t="str">
            <v>Mük.célu tám.kölcsön visszatér.pénzügyi vállalkozásoktol</v>
          </cell>
        </row>
        <row r="446">
          <cell r="A446" t="str">
            <v>3</v>
          </cell>
          <cell r="B446" t="str">
            <v>10</v>
          </cell>
          <cell r="C446" t="str">
            <v>1</v>
          </cell>
          <cell r="D446" t="str">
            <v>B</v>
          </cell>
          <cell r="E446">
            <v>1</v>
          </cell>
          <cell r="F446">
            <v>0</v>
          </cell>
          <cell r="G446" t="str">
            <v>Mük.célu tám.RSz 87.cikkely.kölcs.vissz.önk.többs.váll.-tol</v>
          </cell>
        </row>
        <row r="447">
          <cell r="A447" t="str">
            <v>4</v>
          </cell>
          <cell r="B447" t="str">
            <v>10</v>
          </cell>
          <cell r="C447" t="str">
            <v>1</v>
          </cell>
          <cell r="D447" t="str">
            <v>B</v>
          </cell>
          <cell r="E447">
            <v>1</v>
          </cell>
          <cell r="F447">
            <v>0</v>
          </cell>
          <cell r="G447" t="str">
            <v>Mük.célu tám.RSz 87.cikkely.kölcs.vissz.nem önk.többs.váll.</v>
          </cell>
        </row>
        <row r="448">
          <cell r="A448" t="str">
            <v>5</v>
          </cell>
          <cell r="B448" t="str">
            <v>10</v>
          </cell>
          <cell r="C448" t="str">
            <v>1</v>
          </cell>
          <cell r="D448" t="str">
            <v>B</v>
          </cell>
          <cell r="E448">
            <v>1</v>
          </cell>
          <cell r="F448">
            <v>1</v>
          </cell>
          <cell r="G448" t="str">
            <v>Mük.célu tám.RSz 87.cikkely.kölcs.vissz.e.váll.(03+04)</v>
          </cell>
        </row>
        <row r="449">
          <cell r="A449" t="str">
            <v>6</v>
          </cell>
          <cell r="B449" t="str">
            <v>10</v>
          </cell>
          <cell r="C449" t="str">
            <v>1</v>
          </cell>
          <cell r="D449" t="str">
            <v>B</v>
          </cell>
          <cell r="E449">
            <v>1</v>
          </cell>
          <cell r="F449">
            <v>0</v>
          </cell>
          <cell r="G449" t="str">
            <v>Mük.célu tám.nem RSz 87.cikkely.kölcs.vissz.önk.többs.váll.</v>
          </cell>
        </row>
        <row r="450">
          <cell r="A450" t="str">
            <v>7</v>
          </cell>
          <cell r="B450" t="str">
            <v>10</v>
          </cell>
          <cell r="C450" t="str">
            <v>1</v>
          </cell>
          <cell r="D450" t="str">
            <v>B</v>
          </cell>
          <cell r="E450">
            <v>1</v>
          </cell>
          <cell r="F450">
            <v>0</v>
          </cell>
          <cell r="G450" t="str">
            <v>Mük.célu tám.nem RSz 87.cikkely.kölcs.vissz.nem önk.többs.v.</v>
          </cell>
        </row>
        <row r="451">
          <cell r="A451" t="str">
            <v>8</v>
          </cell>
          <cell r="B451" t="str">
            <v>10</v>
          </cell>
          <cell r="C451" t="str">
            <v>1</v>
          </cell>
          <cell r="D451" t="str">
            <v>B</v>
          </cell>
          <cell r="E451">
            <v>1</v>
          </cell>
          <cell r="F451">
            <v>1</v>
          </cell>
          <cell r="G451" t="str">
            <v>Mük.célu tám.kölcsön visszatér.egyéb váll.(05+06+07)</v>
          </cell>
        </row>
        <row r="452">
          <cell r="A452" t="str">
            <v>9</v>
          </cell>
          <cell r="B452" t="str">
            <v>10</v>
          </cell>
          <cell r="C452" t="str">
            <v>1</v>
          </cell>
          <cell r="D452" t="str">
            <v>B</v>
          </cell>
          <cell r="E452">
            <v>1</v>
          </cell>
          <cell r="F452">
            <v>0</v>
          </cell>
          <cell r="G452" t="str">
            <v>Mük.célu tám.kölcsön visszatér. háztartásoktol</v>
          </cell>
        </row>
        <row r="453">
          <cell r="A453" t="str">
            <v>10</v>
          </cell>
          <cell r="B453" t="str">
            <v>10</v>
          </cell>
          <cell r="C453" t="str">
            <v>1</v>
          </cell>
          <cell r="D453" t="str">
            <v>B</v>
          </cell>
          <cell r="E453">
            <v>1</v>
          </cell>
          <cell r="F453">
            <v>0</v>
          </cell>
          <cell r="G453" t="str">
            <v>Mük.célu tám.kölcsön visszatér. non-profit szervezetektöl</v>
          </cell>
        </row>
        <row r="454">
          <cell r="A454" t="str">
            <v>11</v>
          </cell>
          <cell r="B454" t="str">
            <v>10</v>
          </cell>
          <cell r="C454" t="str">
            <v>1</v>
          </cell>
          <cell r="D454" t="str">
            <v>B</v>
          </cell>
          <cell r="E454">
            <v>1</v>
          </cell>
          <cell r="F454">
            <v>0</v>
          </cell>
          <cell r="G454" t="str">
            <v>Mük.célu tám.kölcsön visszatér. külföldröl</v>
          </cell>
        </row>
        <row r="455">
          <cell r="A455" t="str">
            <v>12</v>
          </cell>
          <cell r="B455" t="str">
            <v>10</v>
          </cell>
          <cell r="C455" t="str">
            <v>1</v>
          </cell>
          <cell r="D455" t="str">
            <v>B</v>
          </cell>
          <cell r="E455">
            <v>1</v>
          </cell>
          <cell r="F455">
            <v>2</v>
          </cell>
          <cell r="G455" t="str">
            <v>Mük.célu tám.kölcsön visszatér.áht.kiv.(01+02+08+...+11)</v>
          </cell>
        </row>
        <row r="456">
          <cell r="A456" t="str">
            <v>13</v>
          </cell>
          <cell r="B456" t="str">
            <v>10</v>
          </cell>
          <cell r="C456" t="str">
            <v>1</v>
          </cell>
          <cell r="D456" t="str">
            <v>B</v>
          </cell>
          <cell r="E456">
            <v>1</v>
          </cell>
          <cell r="F456">
            <v>0</v>
          </cell>
          <cell r="G456" t="str">
            <v>Felh.célu tám.kölcsön visszatér.állami nem pü-i vállalk-tol</v>
          </cell>
        </row>
        <row r="457">
          <cell r="A457" t="str">
            <v>14</v>
          </cell>
          <cell r="B457" t="str">
            <v>10</v>
          </cell>
          <cell r="C457" t="str">
            <v>1</v>
          </cell>
          <cell r="D457" t="str">
            <v>B</v>
          </cell>
          <cell r="E457">
            <v>1</v>
          </cell>
          <cell r="F457">
            <v>0</v>
          </cell>
          <cell r="G457" t="str">
            <v>Felh.célu tám.kölcsön visszatér.pénzügyi vállalkozásoktol</v>
          </cell>
        </row>
        <row r="458">
          <cell r="A458" t="str">
            <v>15</v>
          </cell>
          <cell r="B458" t="str">
            <v>10</v>
          </cell>
          <cell r="C458" t="str">
            <v>1</v>
          </cell>
          <cell r="D458" t="str">
            <v>B</v>
          </cell>
          <cell r="E458">
            <v>1</v>
          </cell>
          <cell r="F458">
            <v>0</v>
          </cell>
          <cell r="G458" t="str">
            <v>Felh.célu tám.RSz 87.cikkely.kölcs.vissz.önk.többs.váll.-tol</v>
          </cell>
        </row>
        <row r="459">
          <cell r="A459" t="str">
            <v>16</v>
          </cell>
          <cell r="B459" t="str">
            <v>10</v>
          </cell>
          <cell r="C459" t="str">
            <v>1</v>
          </cell>
          <cell r="D459" t="str">
            <v>B</v>
          </cell>
          <cell r="E459">
            <v>1</v>
          </cell>
          <cell r="F459">
            <v>0</v>
          </cell>
          <cell r="G459" t="str">
            <v>Felh.célu tám.RSz 87.cikkely.kölcs.vissz.nem önk.többs.váll.</v>
          </cell>
        </row>
        <row r="460">
          <cell r="A460" t="str">
            <v>17</v>
          </cell>
          <cell r="B460" t="str">
            <v>10</v>
          </cell>
          <cell r="C460" t="str">
            <v>1</v>
          </cell>
          <cell r="D460" t="str">
            <v>B</v>
          </cell>
          <cell r="E460">
            <v>1</v>
          </cell>
          <cell r="F460">
            <v>1</v>
          </cell>
          <cell r="G460" t="str">
            <v>Felh.célu tám.RSz 87.cikkely.kölcs.vissz.e.váll.(15+16)</v>
          </cell>
        </row>
        <row r="461">
          <cell r="A461" t="str">
            <v>18</v>
          </cell>
          <cell r="B461" t="str">
            <v>10</v>
          </cell>
          <cell r="C461" t="str">
            <v>1</v>
          </cell>
          <cell r="D461" t="str">
            <v>B</v>
          </cell>
          <cell r="E461">
            <v>1</v>
          </cell>
          <cell r="F461">
            <v>0</v>
          </cell>
          <cell r="G461" t="str">
            <v>Felh.célu tám.nem 15.sorba tart.kölcs.vissz.önk.többs.váll.</v>
          </cell>
        </row>
        <row r="462">
          <cell r="A462" t="str">
            <v>19</v>
          </cell>
          <cell r="B462" t="str">
            <v>10</v>
          </cell>
          <cell r="C462" t="str">
            <v>1</v>
          </cell>
          <cell r="D462" t="str">
            <v>B</v>
          </cell>
          <cell r="E462">
            <v>1</v>
          </cell>
          <cell r="F462">
            <v>0</v>
          </cell>
          <cell r="G462" t="str">
            <v>Felh.célu tám.nem 16.sorba tart.kölcs.vissz.nem önk.többs.v</v>
          </cell>
        </row>
        <row r="463">
          <cell r="A463" t="str">
            <v>20</v>
          </cell>
          <cell r="B463" t="str">
            <v>10</v>
          </cell>
          <cell r="C463" t="str">
            <v>1</v>
          </cell>
          <cell r="D463" t="str">
            <v>B</v>
          </cell>
          <cell r="E463">
            <v>1</v>
          </cell>
          <cell r="F463">
            <v>1</v>
          </cell>
          <cell r="G463" t="str">
            <v>Felh.célu tám.kölcsön visszatér.egyéb váll.(17+18+19)</v>
          </cell>
        </row>
        <row r="464">
          <cell r="A464" t="str">
            <v>21</v>
          </cell>
          <cell r="B464" t="str">
            <v>10</v>
          </cell>
          <cell r="C464" t="str">
            <v>1</v>
          </cell>
          <cell r="D464" t="str">
            <v>B</v>
          </cell>
          <cell r="E464">
            <v>1</v>
          </cell>
          <cell r="F464">
            <v>0</v>
          </cell>
          <cell r="G464" t="str">
            <v>Felh.célu tám.kölcsön visszatér.háztartásoktol</v>
          </cell>
        </row>
        <row r="465">
          <cell r="A465" t="str">
            <v>22</v>
          </cell>
          <cell r="B465" t="str">
            <v>10</v>
          </cell>
          <cell r="C465" t="str">
            <v>1</v>
          </cell>
          <cell r="D465" t="str">
            <v>B</v>
          </cell>
          <cell r="E465">
            <v>1</v>
          </cell>
          <cell r="F465">
            <v>0</v>
          </cell>
          <cell r="G465" t="str">
            <v>Felh.célu tám.kölcsön visszatér.non-profit szervezetektöl</v>
          </cell>
        </row>
        <row r="466">
          <cell r="A466" t="str">
            <v>23</v>
          </cell>
          <cell r="B466" t="str">
            <v>10</v>
          </cell>
          <cell r="C466" t="str">
            <v>1</v>
          </cell>
          <cell r="D466" t="str">
            <v>B</v>
          </cell>
          <cell r="E466">
            <v>1</v>
          </cell>
          <cell r="F466">
            <v>0</v>
          </cell>
          <cell r="G466" t="str">
            <v>Felh.célu tám.kölcsön visszatér.külföldröl</v>
          </cell>
        </row>
        <row r="467">
          <cell r="A467" t="str">
            <v>24</v>
          </cell>
          <cell r="B467" t="str">
            <v>10</v>
          </cell>
          <cell r="C467" t="str">
            <v>1</v>
          </cell>
          <cell r="D467" t="str">
            <v>B</v>
          </cell>
          <cell r="E467">
            <v>1</v>
          </cell>
          <cell r="F467">
            <v>2</v>
          </cell>
          <cell r="G467" t="str">
            <v>Felh.célu tám.kölcsön visszatér.áht.kiv.(13+14+20+...+23)</v>
          </cell>
        </row>
        <row r="468">
          <cell r="A468" t="str">
            <v>25</v>
          </cell>
          <cell r="B468" t="str">
            <v>10</v>
          </cell>
          <cell r="C468" t="str">
            <v>1</v>
          </cell>
          <cell r="D468" t="str">
            <v>B</v>
          </cell>
          <cell r="E468">
            <v>1</v>
          </cell>
          <cell r="F468">
            <v>3</v>
          </cell>
          <cell r="G468" t="str">
            <v>Támog.kölcsön visszatér.államháztartáson kivülröl(12+24)</v>
          </cell>
        </row>
        <row r="469">
          <cell r="A469" t="str">
            <v>26</v>
          </cell>
          <cell r="B469" t="str">
            <v>10</v>
          </cell>
          <cell r="C469" t="str">
            <v>1</v>
          </cell>
          <cell r="D469" t="str">
            <v>B</v>
          </cell>
          <cell r="E469">
            <v>1</v>
          </cell>
          <cell r="F469">
            <v>0</v>
          </cell>
          <cell r="G469" t="str">
            <v>Mük.célu tám.kölcsön visszatér. központi kgtv-i szervtöl</v>
          </cell>
        </row>
        <row r="470">
          <cell r="A470" t="str">
            <v>27</v>
          </cell>
          <cell r="B470" t="str">
            <v>10</v>
          </cell>
          <cell r="C470" t="str">
            <v>1</v>
          </cell>
          <cell r="D470" t="str">
            <v>B</v>
          </cell>
          <cell r="E470">
            <v>1</v>
          </cell>
          <cell r="F470">
            <v>0</v>
          </cell>
          <cell r="G470" t="str">
            <v>Mük.célu tám.kölcsön visszatér. helyi önk.kgtv-i szervtöl</v>
          </cell>
        </row>
        <row r="471">
          <cell r="A471" t="str">
            <v>28</v>
          </cell>
          <cell r="B471" t="str">
            <v>10</v>
          </cell>
          <cell r="C471" t="str">
            <v>1</v>
          </cell>
          <cell r="D471" t="str">
            <v>B</v>
          </cell>
          <cell r="E471">
            <v>1</v>
          </cell>
          <cell r="F471">
            <v>0</v>
          </cell>
          <cell r="G471" t="str">
            <v>Mük.célu tám.kölcsön visszatér. fejezeten (önk.) belül</v>
          </cell>
        </row>
        <row r="472">
          <cell r="A472" t="str">
            <v>29</v>
          </cell>
          <cell r="B472" t="str">
            <v>10</v>
          </cell>
          <cell r="C472" t="str">
            <v>1</v>
          </cell>
          <cell r="D472" t="str">
            <v>B</v>
          </cell>
          <cell r="E472">
            <v>1</v>
          </cell>
          <cell r="F472">
            <v>0</v>
          </cell>
          <cell r="G472" t="str">
            <v>Mük.célu tám.kölcsön visszatér. TB alapoktol és kezelöitöl</v>
          </cell>
        </row>
        <row r="473">
          <cell r="A473" t="str">
            <v>30</v>
          </cell>
          <cell r="B473" t="str">
            <v>10</v>
          </cell>
          <cell r="C473" t="str">
            <v>1</v>
          </cell>
          <cell r="D473" t="str">
            <v>B</v>
          </cell>
          <cell r="E473">
            <v>1</v>
          </cell>
          <cell r="F473">
            <v>0</v>
          </cell>
          <cell r="G473" t="str">
            <v>Mük.célu tám.kölcsön visszatér. elkül.állami pénzalapoktol</v>
          </cell>
        </row>
        <row r="474">
          <cell r="A474" t="str">
            <v>31</v>
          </cell>
          <cell r="B474" t="str">
            <v>10</v>
          </cell>
          <cell r="C474" t="str">
            <v>1</v>
          </cell>
          <cell r="D474" t="str">
            <v>B</v>
          </cell>
          <cell r="E474">
            <v>1</v>
          </cell>
          <cell r="F474">
            <v>2</v>
          </cell>
          <cell r="G474" t="str">
            <v>Mük.célu tám.kölcsön visszatér.államházt.bel.(26+...+30)</v>
          </cell>
        </row>
        <row r="475">
          <cell r="A475" t="str">
            <v>32</v>
          </cell>
          <cell r="B475" t="str">
            <v>10</v>
          </cell>
          <cell r="C475" t="str">
            <v>1</v>
          </cell>
          <cell r="D475" t="str">
            <v>B</v>
          </cell>
          <cell r="E475">
            <v>1</v>
          </cell>
          <cell r="F475">
            <v>0</v>
          </cell>
          <cell r="G475" t="str">
            <v>Felh.célu tám.kölcsön visszatér. központi kgtv-i szervtöl</v>
          </cell>
        </row>
        <row r="476">
          <cell r="A476" t="str">
            <v>33</v>
          </cell>
          <cell r="B476" t="str">
            <v>10</v>
          </cell>
          <cell r="C476" t="str">
            <v>1</v>
          </cell>
          <cell r="D476" t="str">
            <v>B</v>
          </cell>
          <cell r="E476">
            <v>1</v>
          </cell>
          <cell r="F476">
            <v>0</v>
          </cell>
          <cell r="G476" t="str">
            <v>Felh.célu tám.kölcsön visszatér. helyi önk.kgtv-i szervtöl</v>
          </cell>
        </row>
        <row r="477">
          <cell r="A477" t="str">
            <v>34</v>
          </cell>
          <cell r="B477" t="str">
            <v>10</v>
          </cell>
          <cell r="C477" t="str">
            <v>1</v>
          </cell>
          <cell r="D477" t="str">
            <v>B</v>
          </cell>
          <cell r="E477">
            <v>1</v>
          </cell>
          <cell r="F477">
            <v>0</v>
          </cell>
          <cell r="G477" t="str">
            <v>Felh.célu tám.kölcsön visszatér. fejezeten (önk.) belül</v>
          </cell>
        </row>
        <row r="478">
          <cell r="A478" t="str">
            <v>35</v>
          </cell>
          <cell r="B478" t="str">
            <v>10</v>
          </cell>
          <cell r="C478" t="str">
            <v>1</v>
          </cell>
          <cell r="D478" t="str">
            <v>B</v>
          </cell>
          <cell r="E478">
            <v>1</v>
          </cell>
          <cell r="F478">
            <v>0</v>
          </cell>
          <cell r="G478" t="str">
            <v>Felh.célu tám.kölcsön visszatér. TB alapoktol és kezelöitöl</v>
          </cell>
        </row>
        <row r="479">
          <cell r="A479" t="str">
            <v>36</v>
          </cell>
          <cell r="B479" t="str">
            <v>10</v>
          </cell>
          <cell r="C479" t="str">
            <v>1</v>
          </cell>
          <cell r="D479" t="str">
            <v>B</v>
          </cell>
          <cell r="E479">
            <v>1</v>
          </cell>
          <cell r="F479">
            <v>0</v>
          </cell>
          <cell r="G479" t="str">
            <v>Felh.célu tám.kölcsön visszatér. elkül.állami pénzalapoktol</v>
          </cell>
        </row>
        <row r="480">
          <cell r="A480" t="str">
            <v>37</v>
          </cell>
          <cell r="B480" t="str">
            <v>10</v>
          </cell>
          <cell r="C480" t="str">
            <v>1</v>
          </cell>
          <cell r="D480" t="str">
            <v>B</v>
          </cell>
          <cell r="E480">
            <v>1</v>
          </cell>
          <cell r="F480">
            <v>2</v>
          </cell>
          <cell r="G480" t="str">
            <v>Felh.célu tám.kölcsön visszatér.áht.bel.(32+...+36)</v>
          </cell>
        </row>
        <row r="481">
          <cell r="A481" t="str">
            <v>38</v>
          </cell>
          <cell r="B481" t="str">
            <v>10</v>
          </cell>
          <cell r="C481" t="str">
            <v>1</v>
          </cell>
          <cell r="D481" t="str">
            <v>B</v>
          </cell>
          <cell r="E481">
            <v>1</v>
          </cell>
          <cell r="F481">
            <v>0</v>
          </cell>
          <cell r="G481" t="str">
            <v>Mük.célu tám.kölcsön igénybevét.központi kgtv-i szervtöl</v>
          </cell>
        </row>
        <row r="482">
          <cell r="A482" t="str">
            <v>39</v>
          </cell>
          <cell r="B482" t="str">
            <v>10</v>
          </cell>
          <cell r="C482" t="str">
            <v>1</v>
          </cell>
          <cell r="D482" t="str">
            <v>B</v>
          </cell>
          <cell r="E482">
            <v>1</v>
          </cell>
          <cell r="F482">
            <v>0</v>
          </cell>
          <cell r="G482" t="str">
            <v>Mük.célu tám.kölcsön igénybevét.helyi önk.kgtv-i szervtöl</v>
          </cell>
        </row>
        <row r="483">
          <cell r="A483" t="str">
            <v>40</v>
          </cell>
          <cell r="B483" t="str">
            <v>10</v>
          </cell>
          <cell r="C483" t="str">
            <v>1</v>
          </cell>
          <cell r="D483" t="str">
            <v>B</v>
          </cell>
          <cell r="E483">
            <v>1</v>
          </cell>
          <cell r="F483">
            <v>0</v>
          </cell>
          <cell r="G483" t="str">
            <v>Mük.célu tám.kölcsön igénybevét.fejezeten (önk.) belül</v>
          </cell>
        </row>
        <row r="484">
          <cell r="A484" t="str">
            <v>41</v>
          </cell>
          <cell r="B484" t="str">
            <v>10</v>
          </cell>
          <cell r="C484" t="str">
            <v>1</v>
          </cell>
          <cell r="D484" t="str">
            <v>B</v>
          </cell>
          <cell r="E484">
            <v>1</v>
          </cell>
          <cell r="F484">
            <v>0</v>
          </cell>
          <cell r="G484" t="str">
            <v>Mük.célu tám.kölcsön igénybevét.TB alapoktol és kezelöitöl</v>
          </cell>
        </row>
        <row r="485">
          <cell r="A485" t="str">
            <v>42</v>
          </cell>
          <cell r="B485" t="str">
            <v>10</v>
          </cell>
          <cell r="C485" t="str">
            <v>1</v>
          </cell>
          <cell r="D485" t="str">
            <v>B</v>
          </cell>
          <cell r="E485">
            <v>1</v>
          </cell>
          <cell r="F485">
            <v>0</v>
          </cell>
          <cell r="G485" t="str">
            <v>Mük.célu tám.kölcsön igénybevét.elkül.állami pénzalapoktol</v>
          </cell>
        </row>
        <row r="486">
          <cell r="A486" t="str">
            <v>43</v>
          </cell>
          <cell r="B486" t="str">
            <v>10</v>
          </cell>
          <cell r="C486" t="str">
            <v>1</v>
          </cell>
          <cell r="D486" t="str">
            <v>B</v>
          </cell>
          <cell r="E486">
            <v>1</v>
          </cell>
          <cell r="F486">
            <v>2</v>
          </cell>
          <cell r="G486" t="str">
            <v>Mük.célu tám.kölcsön igénybevét.államházt.bel.(38+...+42)</v>
          </cell>
        </row>
        <row r="487">
          <cell r="A487" t="str">
            <v>44</v>
          </cell>
          <cell r="B487" t="str">
            <v>10</v>
          </cell>
          <cell r="C487" t="str">
            <v>1</v>
          </cell>
          <cell r="D487" t="str">
            <v>B</v>
          </cell>
          <cell r="E487">
            <v>1</v>
          </cell>
          <cell r="F487">
            <v>0</v>
          </cell>
          <cell r="G487" t="str">
            <v>Felh.célu tám.kölcsön igénybevét.központi kgtv-i szervtöl</v>
          </cell>
        </row>
        <row r="488">
          <cell r="A488" t="str">
            <v>45</v>
          </cell>
          <cell r="B488" t="str">
            <v>10</v>
          </cell>
          <cell r="C488" t="str">
            <v>1</v>
          </cell>
          <cell r="D488" t="str">
            <v>B</v>
          </cell>
          <cell r="E488">
            <v>1</v>
          </cell>
          <cell r="F488">
            <v>0</v>
          </cell>
          <cell r="G488" t="str">
            <v>Felh.célu tám.kölcsön igénybevét.helyi önk.kgtv-i szervtöl</v>
          </cell>
        </row>
        <row r="489">
          <cell r="A489" t="str">
            <v>46</v>
          </cell>
          <cell r="B489" t="str">
            <v>10</v>
          </cell>
          <cell r="C489" t="str">
            <v>1</v>
          </cell>
          <cell r="D489" t="str">
            <v>B</v>
          </cell>
          <cell r="E489">
            <v>1</v>
          </cell>
          <cell r="F489">
            <v>0</v>
          </cell>
          <cell r="G489" t="str">
            <v>Felh.célu tám.kölcsön igénybevét.fejezeten (önk.) belül</v>
          </cell>
        </row>
        <row r="490">
          <cell r="A490" t="str">
            <v>47</v>
          </cell>
          <cell r="B490" t="str">
            <v>10</v>
          </cell>
          <cell r="C490" t="str">
            <v>1</v>
          </cell>
          <cell r="D490" t="str">
            <v>B</v>
          </cell>
          <cell r="E490">
            <v>1</v>
          </cell>
          <cell r="F490">
            <v>0</v>
          </cell>
          <cell r="G490" t="str">
            <v>Felh.célu tám.kölcsön igénybevét.TB alapoktol és kezelöitöl</v>
          </cell>
        </row>
        <row r="491">
          <cell r="A491" t="str">
            <v>48</v>
          </cell>
          <cell r="B491" t="str">
            <v>10</v>
          </cell>
          <cell r="C491" t="str">
            <v>1</v>
          </cell>
          <cell r="D491" t="str">
            <v>B</v>
          </cell>
          <cell r="E491">
            <v>1</v>
          </cell>
          <cell r="F491">
            <v>0</v>
          </cell>
          <cell r="G491" t="str">
            <v>Felh.célu tám.kölcsön igénybevét.elkül.állami pénzalapoktol</v>
          </cell>
        </row>
        <row r="492">
          <cell r="A492" t="str">
            <v>49</v>
          </cell>
          <cell r="B492" t="str">
            <v>10</v>
          </cell>
          <cell r="C492" t="str">
            <v>1</v>
          </cell>
          <cell r="D492" t="str">
            <v>B</v>
          </cell>
          <cell r="E492">
            <v>1</v>
          </cell>
          <cell r="F492">
            <v>2</v>
          </cell>
          <cell r="G492" t="str">
            <v>Felh.célu tám.kölcsön igénybevét.áht.belül (44+...+48)</v>
          </cell>
        </row>
        <row r="493">
          <cell r="A493" t="str">
            <v>50</v>
          </cell>
          <cell r="B493" t="str">
            <v>10</v>
          </cell>
          <cell r="C493" t="str">
            <v>1</v>
          </cell>
          <cell r="D493" t="str">
            <v>B</v>
          </cell>
          <cell r="E493">
            <v>1</v>
          </cell>
          <cell r="F493">
            <v>3</v>
          </cell>
          <cell r="G493" t="str">
            <v>Támog-i kölcsön vtérül.,igénybev.áht.belül(31+37+43+49)</v>
          </cell>
        </row>
        <row r="494">
          <cell r="A494" t="str">
            <v>51</v>
          </cell>
          <cell r="B494" t="str">
            <v>10</v>
          </cell>
          <cell r="C494" t="str">
            <v>1</v>
          </cell>
          <cell r="D494" t="str">
            <v>B</v>
          </cell>
          <cell r="E494">
            <v>1</v>
          </cell>
          <cell r="F494">
            <v>0</v>
          </cell>
          <cell r="G494" t="str">
            <v>Hosszu lejáratu hitelek felvétele pénzügyi vállalkozásoktol</v>
          </cell>
        </row>
        <row r="495">
          <cell r="A495" t="str">
            <v>52</v>
          </cell>
          <cell r="B495" t="str">
            <v>10</v>
          </cell>
          <cell r="C495" t="str">
            <v>1</v>
          </cell>
          <cell r="D495" t="str">
            <v>B</v>
          </cell>
          <cell r="E495">
            <v>1</v>
          </cell>
          <cell r="F495">
            <v>0</v>
          </cell>
          <cell r="G495" t="str">
            <v>Rövid lejáratu hitelek felvétele pénzügyi vállalkozásoktol</v>
          </cell>
        </row>
        <row r="496">
          <cell r="A496" t="str">
            <v>53</v>
          </cell>
          <cell r="B496" t="str">
            <v>10</v>
          </cell>
          <cell r="C496" t="str">
            <v>1</v>
          </cell>
          <cell r="D496" t="str">
            <v>B</v>
          </cell>
          <cell r="E496">
            <v>1</v>
          </cell>
          <cell r="F496">
            <v>0</v>
          </cell>
          <cell r="G496" t="str">
            <v>Likviditási célu hitel felvétele  pénzügyi vállalkozásoktol</v>
          </cell>
        </row>
        <row r="497">
          <cell r="A497" t="str">
            <v>54</v>
          </cell>
          <cell r="B497" t="str">
            <v>10</v>
          </cell>
          <cell r="C497" t="str">
            <v>1</v>
          </cell>
          <cell r="D497" t="str">
            <v>B</v>
          </cell>
          <cell r="E497">
            <v>1</v>
          </cell>
          <cell r="F497">
            <v>0</v>
          </cell>
          <cell r="G497" t="str">
            <v>Hosszu lejáratu hitelfelvétel egyéb belföldi forrásbol</v>
          </cell>
        </row>
        <row r="498">
          <cell r="A498" t="str">
            <v>55</v>
          </cell>
          <cell r="B498" t="str">
            <v>10</v>
          </cell>
          <cell r="C498" t="str">
            <v>1</v>
          </cell>
          <cell r="D498" t="str">
            <v>B</v>
          </cell>
          <cell r="E498">
            <v>1</v>
          </cell>
          <cell r="F498">
            <v>0</v>
          </cell>
          <cell r="G498" t="str">
            <v>Rövid lejáratu hitelfelvétel egyéb belföldi forrásbol</v>
          </cell>
        </row>
        <row r="499">
          <cell r="A499" t="str">
            <v>56</v>
          </cell>
          <cell r="B499" t="str">
            <v>10</v>
          </cell>
          <cell r="C499" t="str">
            <v>1</v>
          </cell>
          <cell r="D499" t="str">
            <v>B</v>
          </cell>
          <cell r="E499">
            <v>1</v>
          </cell>
          <cell r="F499">
            <v>2</v>
          </cell>
          <cell r="G499" t="str">
            <v>Hitelfelvétel államháztartáson kivülröl (51+...+55)</v>
          </cell>
        </row>
        <row r="500">
          <cell r="A500" t="str">
            <v>57</v>
          </cell>
          <cell r="B500" t="str">
            <v>10</v>
          </cell>
          <cell r="C500" t="str">
            <v>1</v>
          </cell>
          <cell r="D500" t="str">
            <v>B</v>
          </cell>
          <cell r="E500">
            <v>1</v>
          </cell>
          <cell r="F500">
            <v>0</v>
          </cell>
          <cell r="G500" t="str">
            <v>Likviditási célu hitel felvétele központi költségvetéstöl</v>
          </cell>
        </row>
        <row r="501">
          <cell r="A501" t="str">
            <v>58</v>
          </cell>
          <cell r="B501" t="str">
            <v>10</v>
          </cell>
          <cell r="C501" t="str">
            <v>1</v>
          </cell>
          <cell r="D501" t="str">
            <v>B</v>
          </cell>
          <cell r="E501">
            <v>1</v>
          </cell>
          <cell r="F501">
            <v>0</v>
          </cell>
          <cell r="G501" t="str">
            <v>Hitelfelvétel más alaptol</v>
          </cell>
        </row>
        <row r="502">
          <cell r="A502" t="str">
            <v>59</v>
          </cell>
          <cell r="B502" t="str">
            <v>10</v>
          </cell>
          <cell r="C502" t="str">
            <v>1</v>
          </cell>
          <cell r="D502" t="str">
            <v>B</v>
          </cell>
          <cell r="E502">
            <v>1</v>
          </cell>
          <cell r="F502">
            <v>2</v>
          </cell>
          <cell r="G502" t="str">
            <v>Hitelfelvétel államháztartáson belülröl (57+58)</v>
          </cell>
        </row>
        <row r="503">
          <cell r="A503" t="str">
            <v>60</v>
          </cell>
          <cell r="B503" t="str">
            <v>10</v>
          </cell>
          <cell r="C503" t="str">
            <v>1</v>
          </cell>
          <cell r="D503" t="str">
            <v>B</v>
          </cell>
          <cell r="E503">
            <v>1</v>
          </cell>
          <cell r="F503">
            <v>3</v>
          </cell>
          <cell r="G503" t="str">
            <v>Belföldi hitelek felvétele  (56+59)</v>
          </cell>
        </row>
        <row r="504">
          <cell r="A504" t="str">
            <v>61</v>
          </cell>
          <cell r="B504" t="str">
            <v>10</v>
          </cell>
          <cell r="C504" t="str">
            <v>1</v>
          </cell>
          <cell r="D504" t="str">
            <v>B</v>
          </cell>
          <cell r="E504">
            <v>1</v>
          </cell>
          <cell r="F504">
            <v>0</v>
          </cell>
          <cell r="G504" t="str">
            <v>Rövid lejáratu értékpapirok értékesitése</v>
          </cell>
        </row>
        <row r="505">
          <cell r="A505" t="str">
            <v>62</v>
          </cell>
          <cell r="B505" t="str">
            <v>10</v>
          </cell>
          <cell r="C505" t="str">
            <v>1</v>
          </cell>
          <cell r="D505" t="str">
            <v>B</v>
          </cell>
          <cell r="E505">
            <v>1</v>
          </cell>
          <cell r="F505">
            <v>0</v>
          </cell>
          <cell r="G505" t="str">
            <v>Rövid lejáratu értékpapirok kibocsátása</v>
          </cell>
        </row>
        <row r="506">
          <cell r="A506" t="str">
            <v>63</v>
          </cell>
          <cell r="B506" t="str">
            <v>10</v>
          </cell>
          <cell r="C506" t="str">
            <v>1</v>
          </cell>
          <cell r="D506" t="str">
            <v>B</v>
          </cell>
          <cell r="E506">
            <v>1</v>
          </cell>
          <cell r="F506">
            <v>0</v>
          </cell>
          <cell r="G506" t="str">
            <v>Hosszu lejáratu belföldi értékpapirok kibocsátása</v>
          </cell>
        </row>
        <row r="507">
          <cell r="A507" t="str">
            <v>64</v>
          </cell>
          <cell r="B507" t="str">
            <v>10</v>
          </cell>
          <cell r="C507" t="str">
            <v>1</v>
          </cell>
          <cell r="D507" t="str">
            <v>B</v>
          </cell>
          <cell r="E507">
            <v>1</v>
          </cell>
          <cell r="F507">
            <v>2</v>
          </cell>
          <cell r="G507" t="str">
            <v>Belföldi értékpapirok bevételei  (61+62+63)</v>
          </cell>
        </row>
        <row r="508">
          <cell r="A508" t="str">
            <v>65</v>
          </cell>
          <cell r="B508" t="str">
            <v>10</v>
          </cell>
          <cell r="C508" t="str">
            <v>1</v>
          </cell>
          <cell r="D508" t="str">
            <v>B</v>
          </cell>
          <cell r="E508">
            <v>1</v>
          </cell>
          <cell r="F508">
            <v>2</v>
          </cell>
          <cell r="G508" t="str">
            <v>Belföldi hitelmüveletek bevételei (60+64)</v>
          </cell>
        </row>
        <row r="509">
          <cell r="A509" t="str">
            <v>66</v>
          </cell>
          <cell r="B509" t="str">
            <v>10</v>
          </cell>
          <cell r="C509" t="str">
            <v>1</v>
          </cell>
          <cell r="D509" t="str">
            <v>B</v>
          </cell>
          <cell r="E509">
            <v>1</v>
          </cell>
          <cell r="F509">
            <v>0</v>
          </cell>
          <cell r="G509" t="str">
            <v>Hosszu lejáratu külföldi értékpapirok kibocsátása</v>
          </cell>
        </row>
        <row r="510">
          <cell r="A510" t="str">
            <v>67</v>
          </cell>
          <cell r="B510" t="str">
            <v>10</v>
          </cell>
          <cell r="C510" t="str">
            <v>1</v>
          </cell>
          <cell r="D510" t="str">
            <v>B</v>
          </cell>
          <cell r="E510">
            <v>1</v>
          </cell>
          <cell r="F510">
            <v>0</v>
          </cell>
          <cell r="G510" t="str">
            <v>Hitelfelvétel nemzetközi fejlesztési szervezetektöl</v>
          </cell>
        </row>
        <row r="511">
          <cell r="A511" t="str">
            <v>68</v>
          </cell>
          <cell r="B511" t="str">
            <v>10</v>
          </cell>
          <cell r="C511" t="str">
            <v>1</v>
          </cell>
          <cell r="D511" t="str">
            <v>B</v>
          </cell>
          <cell r="E511">
            <v>1</v>
          </cell>
          <cell r="F511">
            <v>0</v>
          </cell>
          <cell r="G511" t="str">
            <v>Hitelfelvétel kormányoktol</v>
          </cell>
        </row>
        <row r="512">
          <cell r="A512" t="str">
            <v>69</v>
          </cell>
          <cell r="B512" t="str">
            <v>10</v>
          </cell>
          <cell r="C512" t="str">
            <v>1</v>
          </cell>
          <cell r="D512" t="str">
            <v>B</v>
          </cell>
          <cell r="E512">
            <v>1</v>
          </cell>
          <cell r="F512">
            <v>0</v>
          </cell>
          <cell r="G512" t="str">
            <v>Hitelfelvétel külföldi pénzintézettöl</v>
          </cell>
        </row>
        <row r="513">
          <cell r="A513" t="str">
            <v>70</v>
          </cell>
          <cell r="B513" t="str">
            <v>10</v>
          </cell>
          <cell r="C513" t="str">
            <v>1</v>
          </cell>
          <cell r="D513" t="str">
            <v>B</v>
          </cell>
          <cell r="E513">
            <v>1</v>
          </cell>
          <cell r="F513">
            <v>0</v>
          </cell>
          <cell r="G513" t="str">
            <v>Hitelfelvétel egyéb külföldi hitelezötöl</v>
          </cell>
        </row>
        <row r="514">
          <cell r="A514" t="str">
            <v>71</v>
          </cell>
          <cell r="B514" t="str">
            <v>10</v>
          </cell>
          <cell r="C514" t="str">
            <v>1</v>
          </cell>
          <cell r="D514" t="str">
            <v>B</v>
          </cell>
          <cell r="E514">
            <v>1</v>
          </cell>
          <cell r="F514">
            <v>2</v>
          </cell>
          <cell r="G514" t="str">
            <v>Külföldi finanszirozás bevételei (66+...+70)</v>
          </cell>
        </row>
        <row r="515">
          <cell r="A515" t="str">
            <v>72</v>
          </cell>
          <cell r="B515" t="str">
            <v>10</v>
          </cell>
          <cell r="C515" t="str">
            <v>1</v>
          </cell>
          <cell r="D515" t="str">
            <v>B</v>
          </cell>
          <cell r="E515">
            <v>1</v>
          </cell>
          <cell r="F515">
            <v>0</v>
          </cell>
          <cell r="G515" t="str">
            <v>Elözö évi elöirányzat-maradvány,pénzmaradvány igénybevétele</v>
          </cell>
        </row>
        <row r="516">
          <cell r="A516" t="str">
            <v>73</v>
          </cell>
          <cell r="B516" t="str">
            <v>10</v>
          </cell>
          <cell r="C516" t="str">
            <v>1</v>
          </cell>
          <cell r="D516" t="str">
            <v>B</v>
          </cell>
          <cell r="E516">
            <v>1</v>
          </cell>
          <cell r="F516">
            <v>0</v>
          </cell>
          <cell r="G516" t="str">
            <v>Elözö évi vállalkozási eredmény igénybevétele</v>
          </cell>
        </row>
        <row r="517">
          <cell r="A517" t="str">
            <v>74</v>
          </cell>
          <cell r="B517" t="str">
            <v>10</v>
          </cell>
          <cell r="C517" t="str">
            <v>1</v>
          </cell>
          <cell r="D517" t="str">
            <v>B</v>
          </cell>
          <cell r="E517">
            <v>1</v>
          </cell>
          <cell r="F517">
            <v>0</v>
          </cell>
          <cell r="G517" t="str">
            <v>Alap-és vállalkozási tevékenység közötti elszámolások</v>
          </cell>
        </row>
        <row r="518">
          <cell r="A518" t="str">
            <v>75</v>
          </cell>
          <cell r="B518" t="str">
            <v>10</v>
          </cell>
          <cell r="C518" t="str">
            <v>1</v>
          </cell>
          <cell r="D518" t="str">
            <v>B</v>
          </cell>
          <cell r="E518">
            <v>1</v>
          </cell>
          <cell r="F518">
            <v>2</v>
          </cell>
          <cell r="G518" t="str">
            <v>Pénzforgalom nélküli bevételek (72+73+74)</v>
          </cell>
        </row>
        <row r="519">
          <cell r="A519" t="str">
            <v>76</v>
          </cell>
          <cell r="B519" t="str">
            <v>10</v>
          </cell>
          <cell r="C519" t="str">
            <v>1</v>
          </cell>
          <cell r="D519" t="str">
            <v>B</v>
          </cell>
          <cell r="E519">
            <v>1</v>
          </cell>
          <cell r="F519">
            <v>0</v>
          </cell>
          <cell r="G519" t="str">
            <v>Kiegyenlitö bevételek</v>
          </cell>
        </row>
        <row r="520">
          <cell r="A520" t="str">
            <v>77</v>
          </cell>
          <cell r="B520" t="str">
            <v>10</v>
          </cell>
          <cell r="C520" t="str">
            <v>1</v>
          </cell>
          <cell r="D520" t="str">
            <v>B</v>
          </cell>
          <cell r="E520">
            <v>1</v>
          </cell>
          <cell r="F520">
            <v>0</v>
          </cell>
          <cell r="G520" t="str">
            <v>Függö bevételek</v>
          </cell>
        </row>
        <row r="521">
          <cell r="A521" t="str">
            <v>78</v>
          </cell>
          <cell r="B521" t="str">
            <v>10</v>
          </cell>
          <cell r="C521" t="str">
            <v>1</v>
          </cell>
          <cell r="D521" t="str">
            <v>B</v>
          </cell>
          <cell r="E521">
            <v>1</v>
          </cell>
          <cell r="F521">
            <v>0</v>
          </cell>
          <cell r="G521" t="str">
            <v>Átfuto bevételek</v>
          </cell>
        </row>
        <row r="522">
          <cell r="A522" t="str">
            <v>79</v>
          </cell>
          <cell r="B522" t="str">
            <v>10</v>
          </cell>
          <cell r="C522" t="str">
            <v>1</v>
          </cell>
          <cell r="D522" t="str">
            <v>B</v>
          </cell>
          <cell r="E522">
            <v>1</v>
          </cell>
          <cell r="F522">
            <v>2</v>
          </cell>
          <cell r="G522" t="str">
            <v>Kiegyenlitö,függö, átfuto bevételek (76+77+78)</v>
          </cell>
        </row>
        <row r="523">
          <cell r="A523" t="str">
            <v>1</v>
          </cell>
          <cell r="B523" t="str">
            <v>12</v>
          </cell>
          <cell r="C523" t="str">
            <v>1</v>
          </cell>
          <cell r="D523" t="str">
            <v>B</v>
          </cell>
          <cell r="E523">
            <v>1</v>
          </cell>
          <cell r="F523">
            <v>0</v>
          </cell>
          <cell r="G523" t="str">
            <v>Munkanélküliek jövedelempotlo támogatása</v>
          </cell>
        </row>
        <row r="524">
          <cell r="A524" t="str">
            <v>2</v>
          </cell>
          <cell r="B524" t="str">
            <v>12</v>
          </cell>
          <cell r="C524" t="str">
            <v>1</v>
          </cell>
          <cell r="D524" t="str">
            <v>B</v>
          </cell>
          <cell r="E524">
            <v>1</v>
          </cell>
          <cell r="F524">
            <v>0</v>
          </cell>
          <cell r="G524" t="str">
            <v>Tartosan munkanélküliek rendszeres szociális segélyezése</v>
          </cell>
        </row>
        <row r="525">
          <cell r="A525" t="str">
            <v>3</v>
          </cell>
          <cell r="B525" t="str">
            <v>12</v>
          </cell>
          <cell r="C525" t="str">
            <v>1</v>
          </cell>
          <cell r="D525" t="str">
            <v>B</v>
          </cell>
          <cell r="E525">
            <v>1</v>
          </cell>
          <cell r="F525">
            <v>0</v>
          </cell>
          <cell r="G525" t="str">
            <v>Idöskoruak járadéka</v>
          </cell>
        </row>
        <row r="526">
          <cell r="A526" t="str">
            <v>4</v>
          </cell>
          <cell r="B526" t="str">
            <v>12</v>
          </cell>
          <cell r="C526" t="str">
            <v>1</v>
          </cell>
          <cell r="D526" t="str">
            <v>B</v>
          </cell>
          <cell r="E526">
            <v>1</v>
          </cell>
          <cell r="F526">
            <v>0</v>
          </cell>
          <cell r="G526" t="str">
            <v>Rendszeres szociális segély egyéb jogcimeken</v>
          </cell>
        </row>
        <row r="527">
          <cell r="A527" t="str">
            <v>5</v>
          </cell>
          <cell r="B527" t="str">
            <v>12</v>
          </cell>
          <cell r="C527" t="str">
            <v>1</v>
          </cell>
          <cell r="D527" t="str">
            <v>B</v>
          </cell>
          <cell r="E527">
            <v>1</v>
          </cell>
          <cell r="F527">
            <v>0</v>
          </cell>
          <cell r="G527" t="str">
            <v>Lakásfenntartási támogatás SZT 38.§(2),(5) bek.alapján</v>
          </cell>
        </row>
        <row r="528">
          <cell r="A528" t="str">
            <v>6</v>
          </cell>
          <cell r="B528" t="str">
            <v>12</v>
          </cell>
          <cell r="C528" t="str">
            <v>1</v>
          </cell>
          <cell r="D528" t="str">
            <v>B</v>
          </cell>
          <cell r="E528">
            <v>1</v>
          </cell>
          <cell r="F528">
            <v>0</v>
          </cell>
          <cell r="G528" t="str">
            <v>Lakásfenntartási támogatás SZT 38.§(3) bek.b.pontja a.</v>
          </cell>
        </row>
        <row r="529">
          <cell r="A529" t="str">
            <v>7</v>
          </cell>
          <cell r="B529" t="str">
            <v>12</v>
          </cell>
          <cell r="C529" t="str">
            <v>1</v>
          </cell>
          <cell r="D529" t="str">
            <v>B</v>
          </cell>
          <cell r="E529">
            <v>1</v>
          </cell>
          <cell r="F529">
            <v>0</v>
          </cell>
          <cell r="G529" t="str">
            <v>Rendszeres gyermekvédelmi támogatás</v>
          </cell>
        </row>
        <row r="530">
          <cell r="A530" t="str">
            <v>8</v>
          </cell>
          <cell r="B530" t="str">
            <v>12</v>
          </cell>
          <cell r="C530" t="str">
            <v>1</v>
          </cell>
          <cell r="D530" t="str">
            <v>B</v>
          </cell>
          <cell r="E530">
            <v>1</v>
          </cell>
          <cell r="F530">
            <v>0</v>
          </cell>
          <cell r="G530" t="str">
            <v>Ápolási dij SZT 41.§.(1.)bek.alapján</v>
          </cell>
        </row>
        <row r="531">
          <cell r="A531" t="str">
            <v>9</v>
          </cell>
          <cell r="B531" t="str">
            <v>12</v>
          </cell>
          <cell r="C531" t="str">
            <v>1</v>
          </cell>
          <cell r="D531" t="str">
            <v>B</v>
          </cell>
          <cell r="E531">
            <v>1</v>
          </cell>
          <cell r="F531">
            <v>0</v>
          </cell>
          <cell r="G531" t="str">
            <v>Ápolási dij SZT 41.§.(4.)bek.alapján</v>
          </cell>
        </row>
        <row r="532">
          <cell r="A532" t="str">
            <v>10</v>
          </cell>
          <cell r="B532" t="str">
            <v>12</v>
          </cell>
          <cell r="C532" t="str">
            <v>1</v>
          </cell>
          <cell r="D532" t="str">
            <v>B</v>
          </cell>
          <cell r="E532">
            <v>1</v>
          </cell>
          <cell r="F532">
            <v>0</v>
          </cell>
          <cell r="G532" t="str">
            <v>Adosságcsökkentési támogatás</v>
          </cell>
        </row>
        <row r="533">
          <cell r="A533" t="str">
            <v>11</v>
          </cell>
          <cell r="B533" t="str">
            <v>12</v>
          </cell>
          <cell r="C533" t="str">
            <v>1</v>
          </cell>
          <cell r="D533" t="str">
            <v>B</v>
          </cell>
          <cell r="E533">
            <v>1</v>
          </cell>
          <cell r="F533">
            <v>0</v>
          </cell>
          <cell r="G533" t="str">
            <v>Egyéb rászorultságtol függö ellátások</v>
          </cell>
        </row>
        <row r="534">
          <cell r="A534" t="str">
            <v>12</v>
          </cell>
          <cell r="B534" t="str">
            <v>12</v>
          </cell>
          <cell r="C534" t="str">
            <v>1</v>
          </cell>
          <cell r="D534" t="str">
            <v>B</v>
          </cell>
          <cell r="E534">
            <v>1</v>
          </cell>
          <cell r="F534">
            <v>2</v>
          </cell>
          <cell r="G534" t="str">
            <v>Rászorultságtol függö pénz.szoc.ellátás össz.(01+...+11)</v>
          </cell>
        </row>
        <row r="535">
          <cell r="A535" t="str">
            <v>13</v>
          </cell>
          <cell r="B535" t="str">
            <v>12</v>
          </cell>
          <cell r="C535" t="str">
            <v>1</v>
          </cell>
          <cell r="D535" t="str">
            <v>B</v>
          </cell>
          <cell r="E535">
            <v>2</v>
          </cell>
          <cell r="F535">
            <v>0</v>
          </cell>
          <cell r="G535" t="str">
            <v>Köztemetés</v>
          </cell>
        </row>
        <row r="536">
          <cell r="A536" t="str">
            <v>14</v>
          </cell>
          <cell r="B536" t="str">
            <v>12</v>
          </cell>
          <cell r="C536" t="str">
            <v>1</v>
          </cell>
          <cell r="D536" t="str">
            <v>B</v>
          </cell>
          <cell r="E536">
            <v>1</v>
          </cell>
          <cell r="F536">
            <v>0</v>
          </cell>
          <cell r="G536" t="str">
            <v>Közgyogyellátás</v>
          </cell>
        </row>
        <row r="537">
          <cell r="A537" t="str">
            <v>15</v>
          </cell>
          <cell r="B537" t="str">
            <v>12</v>
          </cell>
          <cell r="C537" t="str">
            <v>1</v>
          </cell>
          <cell r="D537" t="str">
            <v>B</v>
          </cell>
          <cell r="E537">
            <v>1</v>
          </cell>
          <cell r="F537">
            <v>0</v>
          </cell>
          <cell r="G537" t="str">
            <v>Természetben nyujtott egyéb ellátások</v>
          </cell>
        </row>
        <row r="538">
          <cell r="A538" t="str">
            <v>16</v>
          </cell>
          <cell r="B538" t="str">
            <v>12</v>
          </cell>
          <cell r="C538" t="str">
            <v>1</v>
          </cell>
          <cell r="D538" t="str">
            <v>B</v>
          </cell>
          <cell r="E538">
            <v>1</v>
          </cell>
          <cell r="F538">
            <v>2</v>
          </cell>
          <cell r="G538" t="str">
            <v>Természetben nyujtott szoc.ellátások összesen (13+14+15)</v>
          </cell>
        </row>
        <row r="539">
          <cell r="A539" t="str">
            <v>17</v>
          </cell>
          <cell r="B539" t="str">
            <v>12</v>
          </cell>
          <cell r="C539" t="str">
            <v>1</v>
          </cell>
          <cell r="D539" t="str">
            <v>B</v>
          </cell>
          <cell r="E539">
            <v>2</v>
          </cell>
          <cell r="F539">
            <v>0</v>
          </cell>
          <cell r="G539" t="str">
            <v>Szociálisan rászorultak lakáshitel és kölcsöntartozásai</v>
          </cell>
        </row>
        <row r="540">
          <cell r="A540" t="str">
            <v>18</v>
          </cell>
          <cell r="B540" t="str">
            <v>12</v>
          </cell>
          <cell r="C540" t="str">
            <v>1</v>
          </cell>
          <cell r="D540" t="str">
            <v>B</v>
          </cell>
          <cell r="E540">
            <v>2</v>
          </cell>
          <cell r="F540">
            <v>3</v>
          </cell>
          <cell r="G540" t="str">
            <v>Önkormányzatok által foly.ellátások összesen (12+16+17)</v>
          </cell>
        </row>
        <row r="541">
          <cell r="A541" t="str">
            <v>1</v>
          </cell>
          <cell r="B541" t="str">
            <v>13</v>
          </cell>
          <cell r="C541" t="str">
            <v>1</v>
          </cell>
          <cell r="D541" t="str">
            <v>B</v>
          </cell>
          <cell r="E541">
            <v>1</v>
          </cell>
          <cell r="F541">
            <v>0</v>
          </cell>
          <cell r="G541" t="str">
            <v>Ifj.Szoc.Csal.Min. - mozgáskorlátozottak támogatása</v>
          </cell>
        </row>
        <row r="542">
          <cell r="A542" t="str">
            <v>2</v>
          </cell>
          <cell r="B542" t="str">
            <v>13</v>
          </cell>
          <cell r="C542" t="str">
            <v>1</v>
          </cell>
          <cell r="D542" t="str">
            <v>B</v>
          </cell>
          <cell r="E542">
            <v>1</v>
          </cell>
          <cell r="F542">
            <v>0</v>
          </cell>
          <cell r="G542" t="str">
            <v>Ifj.Szoc.Csal.Min. - otthonteremtési támogatás</v>
          </cell>
        </row>
        <row r="543">
          <cell r="A543" t="str">
            <v>3</v>
          </cell>
          <cell r="B543" t="str">
            <v>13</v>
          </cell>
          <cell r="C543" t="str">
            <v>1</v>
          </cell>
          <cell r="D543" t="str">
            <v>B</v>
          </cell>
          <cell r="E543">
            <v>1</v>
          </cell>
          <cell r="F543">
            <v>0</v>
          </cell>
          <cell r="G543" t="str">
            <v>Ifj.Szoc.Csal.Min. - megelölegezett gyermektartásidij</v>
          </cell>
        </row>
        <row r="544">
          <cell r="A544" t="str">
            <v>4</v>
          </cell>
          <cell r="B544" t="str">
            <v>13</v>
          </cell>
          <cell r="C544" t="str">
            <v>1</v>
          </cell>
          <cell r="D544" t="str">
            <v>B</v>
          </cell>
          <cell r="E544">
            <v>1</v>
          </cell>
          <cell r="F544">
            <v>0</v>
          </cell>
          <cell r="G544" t="str">
            <v>Ifj.Szoc.Csal.Min-GYES-GYED-en hallgatoi hitele célzott tám.</v>
          </cell>
        </row>
        <row r="545">
          <cell r="A545" t="str">
            <v>5</v>
          </cell>
          <cell r="B545" t="str">
            <v>13</v>
          </cell>
          <cell r="C545" t="str">
            <v>1</v>
          </cell>
          <cell r="D545" t="str">
            <v>B</v>
          </cell>
          <cell r="E545">
            <v>1</v>
          </cell>
          <cell r="F545">
            <v>0</v>
          </cell>
          <cell r="G545" t="str">
            <v>Ifj.Szoc.Csal.Min-külföldön végz.kiem.kts-ig.szervtranszplan</v>
          </cell>
        </row>
        <row r="546">
          <cell r="A546" t="str">
            <v>6</v>
          </cell>
          <cell r="B546" t="str">
            <v>13</v>
          </cell>
          <cell r="C546" t="str">
            <v>1</v>
          </cell>
          <cell r="D546" t="str">
            <v>B</v>
          </cell>
          <cell r="E546">
            <v>1</v>
          </cell>
          <cell r="F546">
            <v>0</v>
          </cell>
          <cell r="G546" t="str">
            <v>Ifj.Szoc.Csal.Min.- sorozás elötti háziorvosi vizsgálat dija</v>
          </cell>
        </row>
        <row r="547">
          <cell r="A547" t="str">
            <v>7</v>
          </cell>
          <cell r="B547" t="str">
            <v>13</v>
          </cell>
          <cell r="C547" t="str">
            <v>1</v>
          </cell>
          <cell r="D547" t="str">
            <v>B</v>
          </cell>
          <cell r="E547">
            <v>1</v>
          </cell>
          <cell r="F547">
            <v>0</v>
          </cell>
          <cell r="G547" t="str">
            <v>HM sorozás elötti háziorvosi vizsgálat dija</v>
          </cell>
        </row>
        <row r="548">
          <cell r="A548" t="str">
            <v>8</v>
          </cell>
          <cell r="B548" t="str">
            <v>13</v>
          </cell>
          <cell r="C548" t="str">
            <v>1</v>
          </cell>
          <cell r="D548" t="str">
            <v>B</v>
          </cell>
          <cell r="E548">
            <v>1</v>
          </cell>
          <cell r="F548">
            <v>0</v>
          </cell>
          <cell r="G548" t="str">
            <v>BM Bevándorlási és Állampolg. H. által finanszírozott ellát.</v>
          </cell>
        </row>
        <row r="549">
          <cell r="A549" t="str">
            <v>9</v>
          </cell>
          <cell r="B549" t="str">
            <v>13</v>
          </cell>
          <cell r="C549" t="str">
            <v>1</v>
          </cell>
          <cell r="D549" t="str">
            <v>B</v>
          </cell>
          <cell r="E549">
            <v>1</v>
          </cell>
          <cell r="F549">
            <v>0</v>
          </cell>
          <cell r="G549" t="str">
            <v>Fejezetek által folyositott egyéb ellátások</v>
          </cell>
        </row>
        <row r="550">
          <cell r="A550" t="str">
            <v>10</v>
          </cell>
          <cell r="B550" t="str">
            <v>13</v>
          </cell>
          <cell r="C550" t="str">
            <v>1</v>
          </cell>
          <cell r="D550" t="str">
            <v>B</v>
          </cell>
          <cell r="E550">
            <v>1</v>
          </cell>
          <cell r="F550">
            <v>2</v>
          </cell>
          <cell r="G550" t="str">
            <v>Fejezeti kez.elői.-ból finanszírozott ellát.össz(01+..+09)</v>
          </cell>
        </row>
        <row r="551">
          <cell r="A551" t="str">
            <v>11</v>
          </cell>
          <cell r="B551" t="str">
            <v>13</v>
          </cell>
          <cell r="C551" t="str">
            <v>1</v>
          </cell>
          <cell r="D551" t="str">
            <v>B</v>
          </cell>
          <cell r="E551">
            <v>1</v>
          </cell>
          <cell r="F551">
            <v>0</v>
          </cell>
          <cell r="G551" t="str">
            <v>Közp.költségvet.- családi pótlék</v>
          </cell>
        </row>
        <row r="552">
          <cell r="A552" t="str">
            <v>12</v>
          </cell>
          <cell r="B552" t="str">
            <v>13</v>
          </cell>
          <cell r="C552" t="str">
            <v>1</v>
          </cell>
          <cell r="D552" t="str">
            <v>B</v>
          </cell>
          <cell r="E552">
            <v>1</v>
          </cell>
          <cell r="F552">
            <v>0</v>
          </cell>
          <cell r="G552" t="str">
            <v>Közp.költségvet.- anyasági támogatás</v>
          </cell>
        </row>
        <row r="553">
          <cell r="A553" t="str">
            <v>13</v>
          </cell>
          <cell r="B553" t="str">
            <v>13</v>
          </cell>
          <cell r="C553" t="str">
            <v>1</v>
          </cell>
          <cell r="D553" t="str">
            <v>B</v>
          </cell>
          <cell r="E553">
            <v>1</v>
          </cell>
          <cell r="F553">
            <v>0</v>
          </cell>
          <cell r="G553" t="str">
            <v>Közp.költségvet.- gyermekgondozási dij</v>
          </cell>
        </row>
        <row r="554">
          <cell r="A554" t="str">
            <v>14</v>
          </cell>
          <cell r="B554" t="str">
            <v>13</v>
          </cell>
          <cell r="C554" t="str">
            <v>1</v>
          </cell>
          <cell r="D554" t="str">
            <v>B</v>
          </cell>
          <cell r="E554">
            <v>1</v>
          </cell>
          <cell r="F554">
            <v>0</v>
          </cell>
          <cell r="G554" t="str">
            <v>Közp.költségvet.- gyermekgondozási segély</v>
          </cell>
        </row>
        <row r="555">
          <cell r="A555" t="str">
            <v>15</v>
          </cell>
          <cell r="B555" t="str">
            <v>13</v>
          </cell>
          <cell r="C555" t="str">
            <v>1</v>
          </cell>
          <cell r="D555" t="str">
            <v>B</v>
          </cell>
          <cell r="E555">
            <v>1</v>
          </cell>
          <cell r="F555">
            <v>0</v>
          </cell>
          <cell r="G555" t="str">
            <v>Közp.költségvet.- gyermeknevelési támogatás</v>
          </cell>
        </row>
        <row r="556">
          <cell r="A556" t="str">
            <v>16</v>
          </cell>
          <cell r="B556" t="str">
            <v>13</v>
          </cell>
          <cell r="C556" t="str">
            <v>1</v>
          </cell>
          <cell r="D556" t="str">
            <v>B</v>
          </cell>
          <cell r="E556">
            <v>1</v>
          </cell>
          <cell r="F556">
            <v>0</v>
          </cell>
          <cell r="G556" t="str">
            <v>Közp.költségvet- apák munkaidőkedv.távolléti dij megtéritése</v>
          </cell>
        </row>
        <row r="557">
          <cell r="A557" t="str">
            <v>17</v>
          </cell>
          <cell r="B557" t="str">
            <v>13</v>
          </cell>
          <cell r="C557" t="str">
            <v>1</v>
          </cell>
          <cell r="D557" t="str">
            <v>B</v>
          </cell>
          <cell r="E557">
            <v>1</v>
          </cell>
          <cell r="F557">
            <v>0</v>
          </cell>
          <cell r="G557" t="str">
            <v>Közp.költségvet.- rokkantsági járadék</v>
          </cell>
        </row>
        <row r="558">
          <cell r="A558" t="str">
            <v>18</v>
          </cell>
          <cell r="B558" t="str">
            <v>13</v>
          </cell>
          <cell r="C558" t="str">
            <v>1</v>
          </cell>
          <cell r="D558" t="str">
            <v>B</v>
          </cell>
          <cell r="E558">
            <v>1</v>
          </cell>
          <cell r="F558">
            <v>0</v>
          </cell>
          <cell r="G558" t="str">
            <v>Közp.költségvet.- megváltozott munkaképességüek járadékai</v>
          </cell>
        </row>
        <row r="559">
          <cell r="A559" t="str">
            <v>19</v>
          </cell>
          <cell r="B559" t="str">
            <v>13</v>
          </cell>
          <cell r="C559" t="str">
            <v>1</v>
          </cell>
          <cell r="D559" t="str">
            <v>B</v>
          </cell>
          <cell r="E559">
            <v>1</v>
          </cell>
          <cell r="F559">
            <v>0</v>
          </cell>
          <cell r="G559" t="str">
            <v>Közp.költségvet.- egészségkárosodási járadék</v>
          </cell>
        </row>
        <row r="560">
          <cell r="A560" t="str">
            <v>20</v>
          </cell>
          <cell r="B560" t="str">
            <v>13</v>
          </cell>
          <cell r="C560" t="str">
            <v>1</v>
          </cell>
          <cell r="D560" t="str">
            <v>B</v>
          </cell>
          <cell r="E560">
            <v>1</v>
          </cell>
          <cell r="F560">
            <v>0</v>
          </cell>
          <cell r="G560" t="str">
            <v>Közp.költségvet.-bányászok korengedm.nyugdija,szén.,ker-kieg</v>
          </cell>
        </row>
        <row r="561">
          <cell r="A561" t="str">
            <v>21</v>
          </cell>
          <cell r="B561" t="str">
            <v>13</v>
          </cell>
          <cell r="C561" t="str">
            <v>1</v>
          </cell>
          <cell r="D561" t="str">
            <v>B</v>
          </cell>
          <cell r="E561">
            <v>1</v>
          </cell>
          <cell r="F561">
            <v>1</v>
          </cell>
          <cell r="G561" t="str">
            <v>- 20.sorbol szénjárandoság pénzbeli megváltása</v>
          </cell>
        </row>
        <row r="562">
          <cell r="A562" t="str">
            <v>22</v>
          </cell>
          <cell r="B562" t="str">
            <v>13</v>
          </cell>
          <cell r="C562" t="str">
            <v>1</v>
          </cell>
          <cell r="D562" t="str">
            <v>B</v>
          </cell>
          <cell r="E562">
            <v>1</v>
          </cell>
          <cell r="F562">
            <v>1</v>
          </cell>
          <cell r="G562" t="str">
            <v>- 20.sorbol mecseki bány.munkát végzök bány-i keresetkieg.</v>
          </cell>
        </row>
        <row r="563">
          <cell r="A563" t="str">
            <v>23</v>
          </cell>
          <cell r="B563" t="str">
            <v>13</v>
          </cell>
          <cell r="C563" t="str">
            <v>1</v>
          </cell>
          <cell r="D563" t="str">
            <v>B</v>
          </cell>
          <cell r="E563">
            <v>1</v>
          </cell>
          <cell r="F563">
            <v>0</v>
          </cell>
          <cell r="G563" t="str">
            <v>Közp.költségvet.- mezögazdasági járadék</v>
          </cell>
        </row>
        <row r="564">
          <cell r="A564" t="str">
            <v>24</v>
          </cell>
          <cell r="B564" t="str">
            <v>13</v>
          </cell>
          <cell r="C564" t="str">
            <v>1</v>
          </cell>
          <cell r="D564" t="str">
            <v>B</v>
          </cell>
          <cell r="E564">
            <v>1</v>
          </cell>
          <cell r="F564">
            <v>0</v>
          </cell>
          <cell r="G564" t="str">
            <v>Közp.költségvet.- fogyatékossági támogatás és vakok szem.j.</v>
          </cell>
        </row>
        <row r="565">
          <cell r="A565" t="str">
            <v>25</v>
          </cell>
          <cell r="B565" t="str">
            <v>13</v>
          </cell>
          <cell r="C565" t="str">
            <v>1</v>
          </cell>
          <cell r="D565" t="str">
            <v>B</v>
          </cell>
          <cell r="E565">
            <v>1</v>
          </cell>
          <cell r="F565">
            <v>0</v>
          </cell>
          <cell r="G565" t="str">
            <v>Közp.költségvet.- megvált.munkaképességüek keresetkiegészít.</v>
          </cell>
        </row>
        <row r="566">
          <cell r="A566" t="str">
            <v>26</v>
          </cell>
          <cell r="B566" t="str">
            <v>13</v>
          </cell>
          <cell r="C566" t="str">
            <v>1</v>
          </cell>
          <cell r="D566" t="str">
            <v>B</v>
          </cell>
          <cell r="E566">
            <v>1</v>
          </cell>
          <cell r="F566">
            <v>0</v>
          </cell>
          <cell r="G566" t="str">
            <v>Közp.költségvet.- politikai rehab.és más nyugdijkiegészít.</v>
          </cell>
        </row>
        <row r="567">
          <cell r="A567" t="str">
            <v>27</v>
          </cell>
          <cell r="B567" t="str">
            <v>13</v>
          </cell>
          <cell r="C567" t="str">
            <v>1</v>
          </cell>
          <cell r="D567" t="str">
            <v>B</v>
          </cell>
          <cell r="E567">
            <v>1</v>
          </cell>
          <cell r="F567">
            <v>1</v>
          </cell>
          <cell r="G567" t="str">
            <v>- 26.sorbol kitüntetésekhez és cimekhez kötött potlékok</v>
          </cell>
        </row>
        <row r="568">
          <cell r="A568" t="str">
            <v>28</v>
          </cell>
          <cell r="B568" t="str">
            <v>13</v>
          </cell>
          <cell r="C568" t="str">
            <v>1</v>
          </cell>
          <cell r="D568" t="str">
            <v>B</v>
          </cell>
          <cell r="E568">
            <v>1</v>
          </cell>
          <cell r="F568">
            <v>1</v>
          </cell>
          <cell r="G568" t="str">
            <v>- 26.sorbol tudományos fokozattal rendelkezök nyugdijkieg.</v>
          </cell>
        </row>
        <row r="569">
          <cell r="A569" t="str">
            <v>29</v>
          </cell>
          <cell r="B569" t="str">
            <v>13</v>
          </cell>
          <cell r="C569" t="str">
            <v>1</v>
          </cell>
          <cell r="D569" t="str">
            <v>B</v>
          </cell>
          <cell r="E569">
            <v>1</v>
          </cell>
          <cell r="F569">
            <v>1</v>
          </cell>
          <cell r="G569" t="str">
            <v>- 26.sorbol nemzeti gondozotti ellátások</v>
          </cell>
        </row>
        <row r="570">
          <cell r="A570" t="str">
            <v>30</v>
          </cell>
          <cell r="B570" t="str">
            <v>13</v>
          </cell>
          <cell r="C570" t="str">
            <v>1</v>
          </cell>
          <cell r="D570" t="str">
            <v>B</v>
          </cell>
          <cell r="E570">
            <v>1</v>
          </cell>
          <cell r="F570">
            <v>1</v>
          </cell>
          <cell r="G570" t="str">
            <v>- 26.sorbol nemzeti helytállásért nevü potlék</v>
          </cell>
        </row>
        <row r="571">
          <cell r="A571" t="str">
            <v>31</v>
          </cell>
          <cell r="B571" t="str">
            <v>13</v>
          </cell>
          <cell r="C571" t="str">
            <v>1</v>
          </cell>
          <cell r="D571" t="str">
            <v>B</v>
          </cell>
          <cell r="E571">
            <v>1</v>
          </cell>
          <cell r="F571">
            <v>1</v>
          </cell>
          <cell r="G571" t="str">
            <v>- 26.sorbol egyes nyugdij hátr.enyh.(közszol.idö után járo)</v>
          </cell>
        </row>
        <row r="572">
          <cell r="A572" t="str">
            <v>32</v>
          </cell>
          <cell r="B572" t="str">
            <v>13</v>
          </cell>
          <cell r="C572" t="str">
            <v>1</v>
          </cell>
          <cell r="D572" t="str">
            <v>B</v>
          </cell>
          <cell r="E572">
            <v>1</v>
          </cell>
          <cell r="F572">
            <v>1</v>
          </cell>
          <cell r="G572" t="str">
            <v>- 26.sorbol szinmüvészek öregségi korhatár elötti nyugdija</v>
          </cell>
        </row>
        <row r="573">
          <cell r="A573" t="str">
            <v>33</v>
          </cell>
          <cell r="B573" t="str">
            <v>13</v>
          </cell>
          <cell r="C573" t="str">
            <v>1</v>
          </cell>
          <cell r="D573" t="str">
            <v>B</v>
          </cell>
          <cell r="E573">
            <v>1</v>
          </cell>
          <cell r="F573">
            <v>1</v>
          </cell>
          <cell r="G573" t="str">
            <v>- 26.sorbol Kiválo és Érdemes müvész., Népm.Mesterei járad.</v>
          </cell>
        </row>
        <row r="574">
          <cell r="A574" t="str">
            <v>34</v>
          </cell>
          <cell r="B574" t="str">
            <v>13</v>
          </cell>
          <cell r="C574" t="str">
            <v>1</v>
          </cell>
          <cell r="D574" t="str">
            <v>B</v>
          </cell>
          <cell r="E574">
            <v>1</v>
          </cell>
          <cell r="F574">
            <v>0</v>
          </cell>
          <cell r="G574" t="str">
            <v>-26.sorbol tartos idejü szabadságelvonást elszenv-ek juttat.</v>
          </cell>
        </row>
        <row r="575">
          <cell r="A575" t="str">
            <v>35</v>
          </cell>
          <cell r="B575" t="str">
            <v>13</v>
          </cell>
          <cell r="C575" t="str">
            <v>1</v>
          </cell>
          <cell r="D575" t="str">
            <v>B</v>
          </cell>
          <cell r="E575">
            <v>1</v>
          </cell>
          <cell r="F575">
            <v>0</v>
          </cell>
          <cell r="G575" t="str">
            <v>Közp.költségvet.- házastársi potlék,házastárs utáni jöv.pot.</v>
          </cell>
        </row>
        <row r="576">
          <cell r="A576" t="str">
            <v>36</v>
          </cell>
          <cell r="B576" t="str">
            <v>13</v>
          </cell>
          <cell r="C576" t="str">
            <v>1</v>
          </cell>
          <cell r="D576" t="str">
            <v>B</v>
          </cell>
          <cell r="E576">
            <v>1</v>
          </cell>
          <cell r="F576">
            <v>0</v>
          </cell>
          <cell r="G576" t="str">
            <v>Közp.költségvet.- cukorbetegek támogatása</v>
          </cell>
        </row>
        <row r="577">
          <cell r="A577" t="str">
            <v>37</v>
          </cell>
          <cell r="B577" t="str">
            <v>13</v>
          </cell>
          <cell r="C577" t="str">
            <v>1</v>
          </cell>
          <cell r="D577" t="str">
            <v>B</v>
          </cell>
          <cell r="E577">
            <v>1</v>
          </cell>
          <cell r="F577">
            <v>0</v>
          </cell>
          <cell r="G577" t="str">
            <v>Közp.költségvet.- lakbértámogatás</v>
          </cell>
        </row>
        <row r="578">
          <cell r="A578" t="str">
            <v>38</v>
          </cell>
          <cell r="B578" t="str">
            <v>13</v>
          </cell>
          <cell r="C578" t="str">
            <v>1</v>
          </cell>
          <cell r="D578" t="str">
            <v>B</v>
          </cell>
          <cell r="E578">
            <v>1</v>
          </cell>
          <cell r="F578">
            <v>0</v>
          </cell>
          <cell r="G578" t="str">
            <v>Közp.költségvet.- katonai családi segély</v>
          </cell>
        </row>
        <row r="579">
          <cell r="A579" t="str">
            <v>39</v>
          </cell>
          <cell r="B579" t="str">
            <v>13</v>
          </cell>
          <cell r="C579" t="str">
            <v>1</v>
          </cell>
          <cell r="D579" t="str">
            <v>B</v>
          </cell>
          <cell r="E579">
            <v>1</v>
          </cell>
          <cell r="F579">
            <v>0</v>
          </cell>
          <cell r="G579" t="str">
            <v>Közp.költségvet.- közgyogyellátás</v>
          </cell>
        </row>
        <row r="580">
          <cell r="A580" t="str">
            <v>40</v>
          </cell>
          <cell r="B580" t="str">
            <v>13</v>
          </cell>
          <cell r="C580" t="str">
            <v>1</v>
          </cell>
          <cell r="D580" t="str">
            <v>B</v>
          </cell>
          <cell r="E580">
            <v>1</v>
          </cell>
          <cell r="F580">
            <v>0</v>
          </cell>
          <cell r="G580" t="str">
            <v>Közp.költségvet.- pénzbeli kárpotlás (élet és szabadság)</v>
          </cell>
        </row>
        <row r="581">
          <cell r="A581" t="str">
            <v>41</v>
          </cell>
          <cell r="B581" t="str">
            <v>13</v>
          </cell>
          <cell r="C581" t="str">
            <v>1</v>
          </cell>
          <cell r="D581" t="str">
            <v>B</v>
          </cell>
          <cell r="E581">
            <v>1</v>
          </cell>
          <cell r="F581">
            <v>0</v>
          </cell>
          <cell r="G581" t="str">
            <v>Közp.költségvet.- 1947-es párizsi békeszerzödésböl kárpotlás</v>
          </cell>
        </row>
        <row r="582">
          <cell r="A582" t="str">
            <v>42</v>
          </cell>
          <cell r="B582" t="str">
            <v>13</v>
          </cell>
          <cell r="C582" t="str">
            <v>1</v>
          </cell>
          <cell r="D582" t="str">
            <v>B</v>
          </cell>
          <cell r="E582">
            <v>1</v>
          </cell>
          <cell r="F582">
            <v>2</v>
          </cell>
          <cell r="G582" t="str">
            <v>Közp.költségvetés ellátása (11+...+20+23+...+26+35+...+41)</v>
          </cell>
        </row>
        <row r="583">
          <cell r="A583" t="str">
            <v>43</v>
          </cell>
          <cell r="B583" t="str">
            <v>13</v>
          </cell>
          <cell r="C583" t="str">
            <v>1</v>
          </cell>
          <cell r="D583" t="str">
            <v>B</v>
          </cell>
          <cell r="E583">
            <v>1</v>
          </cell>
          <cell r="F583">
            <v>0</v>
          </cell>
          <cell r="G583" t="str">
            <v>ÁPV Rt-t terhelö kárpotlási életjáradék (vagyoni)</v>
          </cell>
        </row>
        <row r="584">
          <cell r="A584" t="str">
            <v>44</v>
          </cell>
          <cell r="B584" t="str">
            <v>13</v>
          </cell>
          <cell r="C584" t="str">
            <v>1</v>
          </cell>
          <cell r="D584" t="str">
            <v>B</v>
          </cell>
          <cell r="E584">
            <v>1</v>
          </cell>
          <cell r="F584">
            <v>0</v>
          </cell>
          <cell r="G584" t="str">
            <v>Munkáltatoi befizetésböl finanszirozott koreng. nyugdij</v>
          </cell>
        </row>
        <row r="585">
          <cell r="A585" t="str">
            <v>45</v>
          </cell>
          <cell r="B585" t="str">
            <v>13</v>
          </cell>
          <cell r="C585" t="str">
            <v>1</v>
          </cell>
          <cell r="D585" t="str">
            <v>B</v>
          </cell>
          <cell r="E585">
            <v>1</v>
          </cell>
          <cell r="F585">
            <v>0</v>
          </cell>
          <cell r="G585" t="str">
            <v>Hadigondozottak Közalapitványát terh.hadigondozotti ellátás</v>
          </cell>
        </row>
        <row r="586">
          <cell r="A586" t="str">
            <v>46</v>
          </cell>
          <cell r="B586" t="str">
            <v>13</v>
          </cell>
          <cell r="C586" t="str">
            <v>1</v>
          </cell>
          <cell r="D586" t="str">
            <v>B</v>
          </cell>
          <cell r="E586">
            <v>1</v>
          </cell>
          <cell r="F586">
            <v>0</v>
          </cell>
          <cell r="G586" t="str">
            <v>Nemzeti Földalapbol fizetett életjáradék</v>
          </cell>
        </row>
        <row r="587">
          <cell r="A587" t="str">
            <v>47</v>
          </cell>
          <cell r="B587" t="str">
            <v>13</v>
          </cell>
          <cell r="C587" t="str">
            <v>1</v>
          </cell>
          <cell r="D587" t="str">
            <v>B</v>
          </cell>
          <cell r="E587">
            <v>1</v>
          </cell>
          <cell r="F587">
            <v>2</v>
          </cell>
          <cell r="G587" t="str">
            <v>Egyéb ellátások összesen (43+...+46)</v>
          </cell>
        </row>
        <row r="588">
          <cell r="A588" t="str">
            <v>48</v>
          </cell>
          <cell r="B588" t="str">
            <v>13</v>
          </cell>
          <cell r="C588" t="str">
            <v>1</v>
          </cell>
          <cell r="D588" t="str">
            <v>B</v>
          </cell>
          <cell r="E588">
            <v>1</v>
          </cell>
          <cell r="F588">
            <v>3</v>
          </cell>
          <cell r="G588" t="str">
            <v>Ellátások összesen (10+42+47)</v>
          </cell>
        </row>
        <row r="589">
          <cell r="A589" t="str">
            <v>1</v>
          </cell>
          <cell r="B589" t="str">
            <v>16</v>
          </cell>
          <cell r="C589" t="str">
            <v>1</v>
          </cell>
          <cell r="D589" t="str">
            <v>B</v>
          </cell>
          <cell r="E589">
            <v>1</v>
          </cell>
          <cell r="F589">
            <v>0</v>
          </cell>
          <cell r="G589" t="str">
            <v>Illetékek</v>
          </cell>
        </row>
        <row r="590">
          <cell r="A590" t="str">
            <v>2</v>
          </cell>
          <cell r="B590" t="str">
            <v>16</v>
          </cell>
          <cell r="C590" t="str">
            <v>1</v>
          </cell>
          <cell r="D590" t="str">
            <v>B</v>
          </cell>
          <cell r="E590">
            <v>1</v>
          </cell>
          <cell r="F590">
            <v>0</v>
          </cell>
          <cell r="G590" t="str">
            <v>Épitményado</v>
          </cell>
        </row>
        <row r="591">
          <cell r="A591" t="str">
            <v>3</v>
          </cell>
          <cell r="B591" t="str">
            <v>16</v>
          </cell>
          <cell r="C591" t="str">
            <v>1</v>
          </cell>
          <cell r="D591" t="str">
            <v>B</v>
          </cell>
          <cell r="E591">
            <v>1</v>
          </cell>
          <cell r="F591">
            <v>0</v>
          </cell>
          <cell r="G591" t="str">
            <v>Telekado</v>
          </cell>
        </row>
        <row r="592">
          <cell r="A592" t="str">
            <v>4</v>
          </cell>
          <cell r="B592" t="str">
            <v>16</v>
          </cell>
          <cell r="C592" t="str">
            <v>1</v>
          </cell>
          <cell r="D592" t="str">
            <v>B</v>
          </cell>
          <cell r="E592">
            <v>1</v>
          </cell>
          <cell r="F592">
            <v>0</v>
          </cell>
          <cell r="G592" t="str">
            <v>Vállakozok kommunális adoja</v>
          </cell>
        </row>
        <row r="593">
          <cell r="A593" t="str">
            <v>5</v>
          </cell>
          <cell r="B593" t="str">
            <v>16</v>
          </cell>
          <cell r="C593" t="str">
            <v>1</v>
          </cell>
          <cell r="D593" t="str">
            <v>B</v>
          </cell>
          <cell r="E593">
            <v>1</v>
          </cell>
          <cell r="F593">
            <v>0</v>
          </cell>
          <cell r="G593" t="str">
            <v>Magánszemélyek kommunális adoja</v>
          </cell>
        </row>
        <row r="594">
          <cell r="A594" t="str">
            <v>6</v>
          </cell>
          <cell r="B594" t="str">
            <v>16</v>
          </cell>
          <cell r="C594" t="str">
            <v>1</v>
          </cell>
          <cell r="D594" t="str">
            <v>B</v>
          </cell>
          <cell r="E594">
            <v>1</v>
          </cell>
          <cell r="F594">
            <v>0</v>
          </cell>
          <cell r="G594" t="str">
            <v>Idegenforgalmi ado tartozkodás után</v>
          </cell>
        </row>
        <row r="595">
          <cell r="A595" t="str">
            <v>7</v>
          </cell>
          <cell r="B595" t="str">
            <v>16</v>
          </cell>
          <cell r="C595" t="str">
            <v>1</v>
          </cell>
          <cell r="D595" t="str">
            <v>B</v>
          </cell>
          <cell r="E595">
            <v>1</v>
          </cell>
          <cell r="F595">
            <v>0</v>
          </cell>
          <cell r="G595" t="str">
            <v>Idegenforgalmi ado épület után</v>
          </cell>
        </row>
        <row r="596">
          <cell r="A596" t="str">
            <v>8</v>
          </cell>
          <cell r="B596" t="str">
            <v>16</v>
          </cell>
          <cell r="C596" t="str">
            <v>1</v>
          </cell>
          <cell r="D596" t="str">
            <v>B</v>
          </cell>
          <cell r="E596">
            <v>1</v>
          </cell>
          <cell r="F596">
            <v>0</v>
          </cell>
          <cell r="G596" t="str">
            <v>Iparüzési ado állando jelleggel végzett iparüzési tev.után</v>
          </cell>
        </row>
        <row r="597">
          <cell r="A597" t="str">
            <v>9</v>
          </cell>
          <cell r="B597" t="str">
            <v>16</v>
          </cell>
          <cell r="C597" t="str">
            <v>1</v>
          </cell>
          <cell r="D597" t="str">
            <v>B</v>
          </cell>
          <cell r="E597">
            <v>1</v>
          </cell>
          <cell r="F597">
            <v>0</v>
          </cell>
          <cell r="G597" t="str">
            <v>Iparüzési ado ideigl. jelleggel végzett iparüzési tev.után</v>
          </cell>
        </row>
        <row r="598">
          <cell r="A598" t="str">
            <v>10</v>
          </cell>
          <cell r="B598" t="str">
            <v>16</v>
          </cell>
          <cell r="C598" t="str">
            <v>1</v>
          </cell>
          <cell r="D598" t="str">
            <v>B</v>
          </cell>
          <cell r="E598">
            <v>1</v>
          </cell>
          <cell r="F598">
            <v>2</v>
          </cell>
          <cell r="G598" t="str">
            <v>Helyi adok összesen (02+...+09)</v>
          </cell>
        </row>
        <row r="599">
          <cell r="A599" t="str">
            <v>11</v>
          </cell>
          <cell r="B599" t="str">
            <v>16</v>
          </cell>
          <cell r="C599" t="str">
            <v>1</v>
          </cell>
          <cell r="D599" t="str">
            <v>B</v>
          </cell>
          <cell r="E599">
            <v>1</v>
          </cell>
          <cell r="F599">
            <v>0</v>
          </cell>
          <cell r="G599" t="str">
            <v>Potlékok,birságok</v>
          </cell>
        </row>
        <row r="600">
          <cell r="A600" t="str">
            <v>12</v>
          </cell>
          <cell r="B600" t="str">
            <v>16</v>
          </cell>
          <cell r="C600" t="str">
            <v>1</v>
          </cell>
          <cell r="D600" t="str">
            <v>B</v>
          </cell>
          <cell r="E600">
            <v>1</v>
          </cell>
          <cell r="F600">
            <v>0</v>
          </cell>
          <cell r="G600" t="str">
            <v>Személyi jövedelemado helyben marado része</v>
          </cell>
        </row>
        <row r="601">
          <cell r="A601" t="str">
            <v>13</v>
          </cell>
          <cell r="B601" t="str">
            <v>16</v>
          </cell>
          <cell r="C601" t="str">
            <v>1</v>
          </cell>
          <cell r="D601" t="str">
            <v>B</v>
          </cell>
          <cell r="E601">
            <v>1</v>
          </cell>
          <cell r="F601">
            <v>0</v>
          </cell>
          <cell r="G601" t="str">
            <v>Jövedelemkülönbség mérséklésére (+,-)</v>
          </cell>
        </row>
        <row r="602">
          <cell r="A602" t="str">
            <v>14</v>
          </cell>
          <cell r="B602" t="str">
            <v>16</v>
          </cell>
          <cell r="C602" t="str">
            <v>1</v>
          </cell>
          <cell r="D602" t="str">
            <v>B</v>
          </cell>
          <cell r="E602">
            <v>1</v>
          </cell>
          <cell r="F602">
            <v>0</v>
          </cell>
          <cell r="G602" t="str">
            <v>Személyi jövedelemado normativ modon elosztott része</v>
          </cell>
        </row>
        <row r="603">
          <cell r="A603" t="str">
            <v>15</v>
          </cell>
          <cell r="B603" t="str">
            <v>16</v>
          </cell>
          <cell r="C603" t="str">
            <v>1</v>
          </cell>
          <cell r="D603" t="str">
            <v>B</v>
          </cell>
          <cell r="E603">
            <v>1</v>
          </cell>
          <cell r="F603">
            <v>0</v>
          </cell>
          <cell r="G603" t="str">
            <v>Gépjármüado</v>
          </cell>
        </row>
        <row r="604">
          <cell r="A604" t="str">
            <v>16</v>
          </cell>
          <cell r="B604" t="str">
            <v>16</v>
          </cell>
          <cell r="C604" t="str">
            <v>1</v>
          </cell>
          <cell r="D604" t="str">
            <v>B</v>
          </cell>
          <cell r="E604">
            <v>1</v>
          </cell>
          <cell r="F604">
            <v>0</v>
          </cell>
          <cell r="G604" t="str">
            <v>Termöföld bérbeadásábol származo jövedelemado</v>
          </cell>
        </row>
        <row r="605">
          <cell r="A605" t="str">
            <v>17</v>
          </cell>
          <cell r="B605" t="str">
            <v>16</v>
          </cell>
          <cell r="C605" t="str">
            <v>1</v>
          </cell>
          <cell r="D605" t="str">
            <v>B</v>
          </cell>
          <cell r="E605">
            <v>1</v>
          </cell>
          <cell r="F605">
            <v>0</v>
          </cell>
          <cell r="G605" t="str">
            <v>Átengedett egyéb központi adok</v>
          </cell>
        </row>
        <row r="606">
          <cell r="A606" t="str">
            <v>18</v>
          </cell>
          <cell r="B606" t="str">
            <v>16</v>
          </cell>
          <cell r="C606" t="str">
            <v>1</v>
          </cell>
          <cell r="D606" t="str">
            <v>B</v>
          </cell>
          <cell r="E606">
            <v>1</v>
          </cell>
          <cell r="F606">
            <v>2</v>
          </cell>
          <cell r="G606" t="str">
            <v>Átengedett központi adok (12+...+17)</v>
          </cell>
        </row>
        <row r="607">
          <cell r="A607" t="str">
            <v>19</v>
          </cell>
          <cell r="B607" t="str">
            <v>16</v>
          </cell>
          <cell r="C607" t="str">
            <v>1</v>
          </cell>
          <cell r="D607" t="str">
            <v>B</v>
          </cell>
          <cell r="E607">
            <v>1</v>
          </cell>
          <cell r="F607">
            <v>0</v>
          </cell>
          <cell r="G607" t="str">
            <v>Környezetvédelmi birság</v>
          </cell>
        </row>
        <row r="608">
          <cell r="A608" t="str">
            <v>20</v>
          </cell>
          <cell r="B608" t="str">
            <v>16</v>
          </cell>
          <cell r="C608" t="str">
            <v>1</v>
          </cell>
          <cell r="D608" t="str">
            <v>B</v>
          </cell>
          <cell r="E608">
            <v>1</v>
          </cell>
          <cell r="F608">
            <v>0</v>
          </cell>
          <cell r="G608" t="str">
            <v>Természetvédelmi birság</v>
          </cell>
        </row>
        <row r="609">
          <cell r="A609" t="str">
            <v>21</v>
          </cell>
          <cell r="B609" t="str">
            <v>16</v>
          </cell>
          <cell r="C609" t="str">
            <v>1</v>
          </cell>
          <cell r="D609" t="str">
            <v>B</v>
          </cell>
          <cell r="E609">
            <v>1</v>
          </cell>
          <cell r="F609">
            <v>0</v>
          </cell>
          <cell r="G609" t="str">
            <v>Müemlékvédelmi birság</v>
          </cell>
        </row>
        <row r="610">
          <cell r="A610" t="str">
            <v>22</v>
          </cell>
          <cell r="B610" t="str">
            <v>16</v>
          </cell>
          <cell r="C610" t="str">
            <v>1</v>
          </cell>
          <cell r="D610" t="str">
            <v>B</v>
          </cell>
          <cell r="E610">
            <v>1</v>
          </cell>
          <cell r="F610">
            <v>0</v>
          </cell>
          <cell r="G610" t="str">
            <v>Épitésügyi birság</v>
          </cell>
        </row>
        <row r="611">
          <cell r="A611" t="str">
            <v>23</v>
          </cell>
          <cell r="B611" t="str">
            <v>16</v>
          </cell>
          <cell r="C611" t="str">
            <v>1</v>
          </cell>
          <cell r="D611" t="str">
            <v>B</v>
          </cell>
          <cell r="E611">
            <v>1</v>
          </cell>
          <cell r="F611">
            <v>0</v>
          </cell>
          <cell r="G611" t="str">
            <v>Talajterhelési dij</v>
          </cell>
        </row>
        <row r="612">
          <cell r="A612" t="str">
            <v>24</v>
          </cell>
          <cell r="B612" t="str">
            <v>16</v>
          </cell>
          <cell r="C612" t="str">
            <v>1</v>
          </cell>
          <cell r="D612" t="str">
            <v>B</v>
          </cell>
          <cell r="E612">
            <v>1</v>
          </cell>
          <cell r="F612">
            <v>0</v>
          </cell>
          <cell r="G612" t="str">
            <v>Egyéb sajátos bevételek</v>
          </cell>
        </row>
        <row r="613">
          <cell r="A613" t="str">
            <v>25</v>
          </cell>
          <cell r="B613" t="str">
            <v>16</v>
          </cell>
          <cell r="C613" t="str">
            <v>1</v>
          </cell>
          <cell r="D613" t="str">
            <v>B</v>
          </cell>
          <cell r="E613">
            <v>1</v>
          </cell>
          <cell r="F613">
            <v>2</v>
          </cell>
          <cell r="G613" t="str">
            <v>Önkormányzatok sajátos mük.bevételei(01+10+11+18+...+24)</v>
          </cell>
        </row>
        <row r="614">
          <cell r="A614" t="str">
            <v>26</v>
          </cell>
          <cell r="B614" t="str">
            <v>16</v>
          </cell>
          <cell r="C614" t="str">
            <v>1</v>
          </cell>
          <cell r="D614" t="str">
            <v>B</v>
          </cell>
          <cell r="E614">
            <v>1</v>
          </cell>
          <cell r="F614">
            <v>0</v>
          </cell>
          <cell r="G614" t="str">
            <v>Önkormányzati lakások értékesitése</v>
          </cell>
        </row>
        <row r="615">
          <cell r="A615" t="str">
            <v>27</v>
          </cell>
          <cell r="B615" t="str">
            <v>16</v>
          </cell>
          <cell r="C615" t="str">
            <v>1</v>
          </cell>
          <cell r="D615" t="str">
            <v>B</v>
          </cell>
          <cell r="E615">
            <v>1</v>
          </cell>
          <cell r="F615">
            <v>0</v>
          </cell>
          <cell r="G615" t="str">
            <v>Önkormányzati lakotelek értékesitése</v>
          </cell>
        </row>
        <row r="616">
          <cell r="A616" t="str">
            <v>28</v>
          </cell>
          <cell r="B616" t="str">
            <v>16</v>
          </cell>
          <cell r="C616" t="str">
            <v>1</v>
          </cell>
          <cell r="D616" t="str">
            <v>B</v>
          </cell>
          <cell r="E616">
            <v>1</v>
          </cell>
          <cell r="F616">
            <v>0</v>
          </cell>
          <cell r="G616" t="str">
            <v>Privatizáciobol származo bevétel</v>
          </cell>
        </row>
        <row r="617">
          <cell r="A617" t="str">
            <v>29</v>
          </cell>
          <cell r="B617" t="str">
            <v>16</v>
          </cell>
          <cell r="C617" t="str">
            <v>1</v>
          </cell>
          <cell r="D617" t="str">
            <v>B</v>
          </cell>
          <cell r="E617">
            <v>1</v>
          </cell>
          <cell r="F617">
            <v>0</v>
          </cell>
          <cell r="G617" t="str">
            <v>Vállalatértékesitésböl származo bevétel</v>
          </cell>
        </row>
        <row r="618">
          <cell r="A618" t="str">
            <v>30</v>
          </cell>
          <cell r="B618" t="str">
            <v>16</v>
          </cell>
          <cell r="C618" t="str">
            <v>1</v>
          </cell>
          <cell r="D618" t="str">
            <v>B</v>
          </cell>
          <cell r="E618">
            <v>1</v>
          </cell>
          <cell r="F618">
            <v>0</v>
          </cell>
          <cell r="G618" t="str">
            <v>Vadászati jog értékesitéséböl származo bevétel</v>
          </cell>
        </row>
        <row r="619">
          <cell r="A619" t="str">
            <v>31</v>
          </cell>
          <cell r="B619" t="str">
            <v>16</v>
          </cell>
          <cell r="C619" t="str">
            <v>1</v>
          </cell>
          <cell r="D619" t="str">
            <v>B</v>
          </cell>
          <cell r="E619">
            <v>1</v>
          </cell>
          <cell r="F619">
            <v>0</v>
          </cell>
          <cell r="G619" t="str">
            <v>Egyéb vagyoni értékü jog értékesitéséböl származo bevétel</v>
          </cell>
        </row>
        <row r="620">
          <cell r="A620" t="str">
            <v>32</v>
          </cell>
          <cell r="B620" t="str">
            <v>16</v>
          </cell>
          <cell r="C620" t="str">
            <v>1</v>
          </cell>
          <cell r="D620" t="str">
            <v>B</v>
          </cell>
          <cell r="E620">
            <v>1</v>
          </cell>
          <cell r="F620">
            <v>0</v>
          </cell>
          <cell r="G620" t="str">
            <v>Egyéb önkormányzati vagyon bérbeadásábol származo bevétel</v>
          </cell>
        </row>
        <row r="621">
          <cell r="A621" t="str">
            <v>33</v>
          </cell>
          <cell r="B621" t="str">
            <v>16</v>
          </cell>
          <cell r="C621" t="str">
            <v>1</v>
          </cell>
          <cell r="D621" t="str">
            <v>B</v>
          </cell>
          <cell r="E621">
            <v>1</v>
          </cell>
          <cell r="F621">
            <v>0</v>
          </cell>
          <cell r="G621" t="str">
            <v>Egyéb önkorm.vagyon üzemeltet.,koncessz.származo bevétel</v>
          </cell>
        </row>
        <row r="622">
          <cell r="A622" t="str">
            <v>34</v>
          </cell>
          <cell r="B622" t="str">
            <v>16</v>
          </cell>
          <cell r="C622" t="str">
            <v>1</v>
          </cell>
          <cell r="D622" t="str">
            <v>B</v>
          </cell>
          <cell r="E622">
            <v>1</v>
          </cell>
          <cell r="F622">
            <v>2</v>
          </cell>
          <cell r="G622" t="str">
            <v>Önkormányzatok sajátos felh. és töke bevét.(26+...+33)</v>
          </cell>
        </row>
        <row r="623">
          <cell r="A623" t="str">
            <v>35</v>
          </cell>
          <cell r="B623" t="str">
            <v>16</v>
          </cell>
          <cell r="C623" t="str">
            <v>1</v>
          </cell>
          <cell r="D623" t="str">
            <v>B</v>
          </cell>
          <cell r="E623">
            <v>1</v>
          </cell>
          <cell r="F623">
            <v>0</v>
          </cell>
          <cell r="G623" t="str">
            <v>Normativ hozzájárulás - lakosságszámhoz kötött</v>
          </cell>
        </row>
        <row r="624">
          <cell r="A624" t="str">
            <v>36</v>
          </cell>
          <cell r="B624" t="str">
            <v>16</v>
          </cell>
          <cell r="C624" t="str">
            <v>1</v>
          </cell>
          <cell r="D624" t="str">
            <v>B</v>
          </cell>
          <cell r="E624">
            <v>1</v>
          </cell>
          <cell r="F624">
            <v>0</v>
          </cell>
          <cell r="G624" t="str">
            <v>Normativ hozzájárulás - feladatmutatohoz kötött</v>
          </cell>
        </row>
        <row r="625">
          <cell r="A625" t="str">
            <v>37</v>
          </cell>
          <cell r="B625" t="str">
            <v>16</v>
          </cell>
          <cell r="C625" t="str">
            <v>1</v>
          </cell>
          <cell r="D625" t="str">
            <v>B</v>
          </cell>
          <cell r="E625">
            <v>1</v>
          </cell>
          <cell r="F625">
            <v>2</v>
          </cell>
          <cell r="G625" t="str">
            <v>Normativ állami hozzájárulások (35+36)</v>
          </cell>
        </row>
        <row r="626">
          <cell r="A626" t="str">
            <v>38</v>
          </cell>
          <cell r="B626" t="str">
            <v>16</v>
          </cell>
          <cell r="C626" t="str">
            <v>1</v>
          </cell>
          <cell r="D626" t="str">
            <v>B</v>
          </cell>
          <cell r="E626">
            <v>1</v>
          </cell>
          <cell r="F626">
            <v>0</v>
          </cell>
          <cell r="G626" t="str">
            <v>Központositott elöirányzatok</v>
          </cell>
        </row>
        <row r="627">
          <cell r="A627" t="str">
            <v>39</v>
          </cell>
          <cell r="B627" t="str">
            <v>16</v>
          </cell>
          <cell r="C627" t="str">
            <v>1</v>
          </cell>
          <cell r="D627" t="str">
            <v>B</v>
          </cell>
          <cell r="E627">
            <v>1</v>
          </cell>
          <cell r="F627">
            <v>0</v>
          </cell>
          <cell r="G627" t="str">
            <v>Önhib.kivül hátr.hely.levö(mük.forráshiány.)helyi önk.tám.</v>
          </cell>
        </row>
        <row r="628">
          <cell r="A628" t="str">
            <v>40</v>
          </cell>
          <cell r="B628" t="str">
            <v>16</v>
          </cell>
          <cell r="C628" t="str">
            <v>1</v>
          </cell>
          <cell r="D628" t="str">
            <v>B</v>
          </cell>
          <cell r="E628">
            <v>1</v>
          </cell>
          <cell r="F628">
            <v>0</v>
          </cell>
          <cell r="G628" t="str">
            <v>Áll.támog.tart.fiz.képtelen helyi önk.adosságrendezésére</v>
          </cell>
        </row>
        <row r="629">
          <cell r="A629" t="str">
            <v>41</v>
          </cell>
          <cell r="B629" t="str">
            <v>16</v>
          </cell>
          <cell r="C629" t="str">
            <v>1</v>
          </cell>
          <cell r="D629" t="str">
            <v>B</v>
          </cell>
          <cell r="E629">
            <v>1</v>
          </cell>
          <cell r="F629">
            <v>0</v>
          </cell>
          <cell r="G629" t="str">
            <v>Müködésképtelen önkormányzatok egyéb támogatása</v>
          </cell>
        </row>
        <row r="630">
          <cell r="A630" t="str">
            <v>42</v>
          </cell>
          <cell r="B630" t="str">
            <v>16</v>
          </cell>
          <cell r="C630" t="str">
            <v>1</v>
          </cell>
          <cell r="D630" t="str">
            <v>B</v>
          </cell>
          <cell r="E630">
            <v>1</v>
          </cell>
          <cell r="F630">
            <v>2</v>
          </cell>
          <cell r="G630" t="str">
            <v>Müködésképtelenné vált helyi önk.kieg.támog.(39+..+41)</v>
          </cell>
        </row>
        <row r="631">
          <cell r="A631" t="str">
            <v>43</v>
          </cell>
          <cell r="B631" t="str">
            <v>16</v>
          </cell>
          <cell r="C631" t="str">
            <v>1</v>
          </cell>
          <cell r="D631" t="str">
            <v>B</v>
          </cell>
          <cell r="E631">
            <v>1</v>
          </cell>
          <cell r="F631">
            <v>0</v>
          </cell>
          <cell r="G631" t="str">
            <v>Helyi önkormányzatok szinházi támogatása</v>
          </cell>
        </row>
        <row r="632">
          <cell r="A632" t="str">
            <v>44</v>
          </cell>
          <cell r="B632" t="str">
            <v>16</v>
          </cell>
          <cell r="C632" t="str">
            <v>1</v>
          </cell>
          <cell r="D632" t="str">
            <v>B</v>
          </cell>
          <cell r="E632">
            <v>1</v>
          </cell>
          <cell r="F632">
            <v>0</v>
          </cell>
          <cell r="G632" t="str">
            <v>Kiegészitö támogatás egyes közoktatási feladatok ellát.</v>
          </cell>
        </row>
        <row r="633">
          <cell r="A633" t="str">
            <v>45</v>
          </cell>
          <cell r="B633" t="str">
            <v>16</v>
          </cell>
          <cell r="C633" t="str">
            <v>1</v>
          </cell>
          <cell r="D633" t="str">
            <v>B</v>
          </cell>
          <cell r="E633">
            <v>1</v>
          </cell>
          <cell r="F633">
            <v>0</v>
          </cell>
          <cell r="G633" t="str">
            <v>Egyes szociális feladatok kiegészitö támogatása</v>
          </cell>
        </row>
        <row r="634">
          <cell r="A634" t="str">
            <v>46</v>
          </cell>
          <cell r="B634" t="str">
            <v>16</v>
          </cell>
          <cell r="C634" t="str">
            <v>1</v>
          </cell>
          <cell r="D634" t="str">
            <v>B</v>
          </cell>
          <cell r="E634">
            <v>1</v>
          </cell>
          <cell r="F634">
            <v>0</v>
          </cell>
          <cell r="G634" t="str">
            <v>Fővárosi ker. belter.utjainak szilárd burk.valo ellátása</v>
          </cell>
        </row>
        <row r="635">
          <cell r="A635" t="str">
            <v>47</v>
          </cell>
          <cell r="B635" t="str">
            <v>16</v>
          </cell>
          <cell r="C635" t="str">
            <v>1</v>
          </cell>
          <cell r="D635" t="str">
            <v>B</v>
          </cell>
          <cell r="E635">
            <v>1</v>
          </cell>
          <cell r="F635">
            <v>2</v>
          </cell>
          <cell r="G635" t="str">
            <v>Normativ,kötött felhasználásu támogatások (44+...+46)</v>
          </cell>
        </row>
        <row r="636">
          <cell r="A636" t="str">
            <v>48</v>
          </cell>
          <cell r="B636" t="str">
            <v>16</v>
          </cell>
          <cell r="C636" t="str">
            <v>1</v>
          </cell>
          <cell r="D636" t="str">
            <v>B</v>
          </cell>
          <cell r="E636">
            <v>1</v>
          </cell>
          <cell r="F636">
            <v>0</v>
          </cell>
          <cell r="G636" t="str">
            <v>Cimzett támogatás</v>
          </cell>
        </row>
        <row r="637">
          <cell r="A637" t="str">
            <v>49</v>
          </cell>
          <cell r="B637" t="str">
            <v>16</v>
          </cell>
          <cell r="C637" t="str">
            <v>1</v>
          </cell>
          <cell r="D637" t="str">
            <v>B</v>
          </cell>
          <cell r="E637">
            <v>1</v>
          </cell>
          <cell r="F637">
            <v>0</v>
          </cell>
          <cell r="G637" t="str">
            <v>Céltámogatás</v>
          </cell>
        </row>
        <row r="638">
          <cell r="A638" t="str">
            <v>50</v>
          </cell>
          <cell r="B638" t="str">
            <v>16</v>
          </cell>
          <cell r="C638" t="str">
            <v>1</v>
          </cell>
          <cell r="D638" t="str">
            <v>B</v>
          </cell>
          <cell r="E638">
            <v>1</v>
          </cell>
          <cell r="F638">
            <v>0</v>
          </cell>
          <cell r="G638" t="str">
            <v>Területi kiegyenlitést szolgálo fejlesztési célu támogatás</v>
          </cell>
        </row>
        <row r="639">
          <cell r="A639" t="str">
            <v>51</v>
          </cell>
          <cell r="B639" t="str">
            <v>16</v>
          </cell>
          <cell r="C639" t="str">
            <v>1</v>
          </cell>
          <cell r="D639" t="str">
            <v>B</v>
          </cell>
          <cell r="E639">
            <v>1</v>
          </cell>
          <cell r="F639">
            <v>0</v>
          </cell>
          <cell r="G639" t="str">
            <v>Céljellegü decentralizált támogatás</v>
          </cell>
        </row>
        <row r="640">
          <cell r="A640" t="str">
            <v>52</v>
          </cell>
          <cell r="B640" t="str">
            <v>16</v>
          </cell>
          <cell r="C640" t="str">
            <v>1</v>
          </cell>
          <cell r="D640" t="str">
            <v>B</v>
          </cell>
          <cell r="E640">
            <v>1</v>
          </cell>
          <cell r="F640">
            <v>0</v>
          </cell>
          <cell r="G640" t="str">
            <v>Egyéb központi támogatás</v>
          </cell>
        </row>
        <row r="641">
          <cell r="A641" t="str">
            <v>53</v>
          </cell>
          <cell r="B641" t="str">
            <v>16</v>
          </cell>
          <cell r="C641" t="str">
            <v>1</v>
          </cell>
          <cell r="D641" t="str">
            <v>B</v>
          </cell>
          <cell r="E641">
            <v>1</v>
          </cell>
          <cell r="F641">
            <v>2</v>
          </cell>
          <cell r="G641" t="str">
            <v>Önkormányzat költségvet.támogatása (37++38+42+43+47+..+52)</v>
          </cell>
        </row>
        <row r="642">
          <cell r="A642" t="str">
            <v>1</v>
          </cell>
          <cell r="B642" t="str">
            <v>17</v>
          </cell>
          <cell r="C642" t="str">
            <v>1</v>
          </cell>
          <cell r="D642" t="str">
            <v>B</v>
          </cell>
          <cell r="E642">
            <v>1</v>
          </cell>
          <cell r="F642">
            <v>0</v>
          </cell>
          <cell r="G642" t="str">
            <v>Rendszeres személyi juttatások</v>
          </cell>
        </row>
        <row r="643">
          <cell r="A643" t="str">
            <v>2</v>
          </cell>
          <cell r="B643" t="str">
            <v>17</v>
          </cell>
          <cell r="C643" t="str">
            <v>1</v>
          </cell>
          <cell r="D643" t="str">
            <v>B</v>
          </cell>
          <cell r="E643">
            <v>1</v>
          </cell>
          <cell r="F643">
            <v>0</v>
          </cell>
          <cell r="G643" t="str">
            <v>Nem rendszeres személyi juttatások</v>
          </cell>
        </row>
        <row r="644">
          <cell r="A644" t="str">
            <v>3</v>
          </cell>
          <cell r="B644" t="str">
            <v>17</v>
          </cell>
          <cell r="C644" t="str">
            <v>1</v>
          </cell>
          <cell r="D644" t="str">
            <v>B</v>
          </cell>
          <cell r="E644">
            <v>1</v>
          </cell>
          <cell r="F644">
            <v>0</v>
          </cell>
          <cell r="G644" t="str">
            <v>Külsö személyi juttatások</v>
          </cell>
        </row>
        <row r="645">
          <cell r="A645" t="str">
            <v>4</v>
          </cell>
          <cell r="B645" t="str">
            <v>17</v>
          </cell>
          <cell r="C645" t="str">
            <v>1</v>
          </cell>
          <cell r="D645" t="str">
            <v>B</v>
          </cell>
          <cell r="E645">
            <v>1</v>
          </cell>
          <cell r="F645">
            <v>3</v>
          </cell>
          <cell r="G645" t="str">
            <v>Személyi juttatások (01+02+03)</v>
          </cell>
        </row>
        <row r="646">
          <cell r="A646" t="str">
            <v>5</v>
          </cell>
          <cell r="B646" t="str">
            <v>17</v>
          </cell>
          <cell r="C646" t="str">
            <v>1</v>
          </cell>
          <cell r="D646" t="str">
            <v>B</v>
          </cell>
          <cell r="E646">
            <v>1</v>
          </cell>
          <cell r="F646">
            <v>0</v>
          </cell>
          <cell r="G646" t="str">
            <v>Munkaadokat terhelö járulékok</v>
          </cell>
        </row>
        <row r="647">
          <cell r="A647" t="str">
            <v>6</v>
          </cell>
          <cell r="B647" t="str">
            <v>17</v>
          </cell>
          <cell r="C647" t="str">
            <v>1</v>
          </cell>
          <cell r="D647" t="str">
            <v>B</v>
          </cell>
          <cell r="E647">
            <v>1</v>
          </cell>
          <cell r="F647">
            <v>0</v>
          </cell>
          <cell r="G647" t="str">
            <v>Anyag és kisértékü tárgyi eszköz beszerzése</v>
          </cell>
        </row>
        <row r="648">
          <cell r="A648" t="str">
            <v>7</v>
          </cell>
          <cell r="B648" t="str">
            <v>17</v>
          </cell>
          <cell r="C648" t="str">
            <v>1</v>
          </cell>
          <cell r="D648" t="str">
            <v>B</v>
          </cell>
          <cell r="E648">
            <v>1</v>
          </cell>
          <cell r="F648">
            <v>0</v>
          </cell>
          <cell r="G648" t="str">
            <v>Egyéb dologi kiadások</v>
          </cell>
        </row>
        <row r="649">
          <cell r="A649" t="str">
            <v>8</v>
          </cell>
          <cell r="B649" t="str">
            <v>17</v>
          </cell>
          <cell r="C649" t="str">
            <v>1</v>
          </cell>
          <cell r="D649" t="str">
            <v>B</v>
          </cell>
          <cell r="E649">
            <v>1</v>
          </cell>
          <cell r="F649">
            <v>0</v>
          </cell>
          <cell r="G649" t="str">
            <v>Egyéb folyo kiadások</v>
          </cell>
        </row>
        <row r="650">
          <cell r="A650" t="str">
            <v>9</v>
          </cell>
          <cell r="B650" t="str">
            <v>17</v>
          </cell>
          <cell r="C650" t="str">
            <v>1</v>
          </cell>
          <cell r="D650" t="str">
            <v>B</v>
          </cell>
          <cell r="E650">
            <v>1</v>
          </cell>
          <cell r="F650">
            <v>3</v>
          </cell>
          <cell r="G650" t="str">
            <v>Dologi kiadások és egyéb folyo kiadások (06+07+08)</v>
          </cell>
        </row>
        <row r="651">
          <cell r="A651" t="str">
            <v>10</v>
          </cell>
          <cell r="B651" t="str">
            <v>17</v>
          </cell>
          <cell r="C651" t="str">
            <v>1</v>
          </cell>
          <cell r="D651" t="str">
            <v>B</v>
          </cell>
          <cell r="E651">
            <v>1</v>
          </cell>
          <cell r="F651">
            <v>0</v>
          </cell>
          <cell r="G651" t="str">
            <v>Müködési célu pénzeszközátadás államháztartáson belül</v>
          </cell>
        </row>
        <row r="652">
          <cell r="A652" t="str">
            <v>11</v>
          </cell>
          <cell r="B652" t="str">
            <v>17</v>
          </cell>
          <cell r="C652" t="str">
            <v>1</v>
          </cell>
          <cell r="D652" t="str">
            <v>B</v>
          </cell>
          <cell r="E652">
            <v>1</v>
          </cell>
          <cell r="F652">
            <v>0</v>
          </cell>
          <cell r="G652" t="str">
            <v>Müködési célu pénzeszközátadás államháztartáson kivül</v>
          </cell>
        </row>
        <row r="653">
          <cell r="A653" t="str">
            <v>12</v>
          </cell>
          <cell r="B653" t="str">
            <v>17</v>
          </cell>
          <cell r="C653" t="str">
            <v>1</v>
          </cell>
          <cell r="D653" t="str">
            <v>B</v>
          </cell>
          <cell r="E653">
            <v>1</v>
          </cell>
          <cell r="F653">
            <v>0</v>
          </cell>
          <cell r="G653" t="str">
            <v>Felhalmozási célu pénzeszközátadás államháztartáson belül</v>
          </cell>
        </row>
        <row r="654">
          <cell r="A654" t="str">
            <v>13</v>
          </cell>
          <cell r="B654" t="str">
            <v>17</v>
          </cell>
          <cell r="C654" t="str">
            <v>1</v>
          </cell>
          <cell r="D654" t="str">
            <v>B</v>
          </cell>
          <cell r="E654">
            <v>1</v>
          </cell>
          <cell r="F654">
            <v>0</v>
          </cell>
          <cell r="G654" t="str">
            <v>Felhalmozási célu pénzeszközátadás államháztartáson kivül</v>
          </cell>
        </row>
        <row r="655">
          <cell r="A655" t="str">
            <v>14</v>
          </cell>
          <cell r="B655" t="str">
            <v>17</v>
          </cell>
          <cell r="C655" t="str">
            <v>1</v>
          </cell>
          <cell r="D655" t="str">
            <v>B</v>
          </cell>
          <cell r="E655">
            <v>1</v>
          </cell>
          <cell r="F655">
            <v>0</v>
          </cell>
          <cell r="G655" t="str">
            <v>Társadalom- és szociálpolitikai juttatások</v>
          </cell>
        </row>
        <row r="656">
          <cell r="A656" t="str">
            <v>15</v>
          </cell>
          <cell r="B656" t="str">
            <v>17</v>
          </cell>
          <cell r="C656" t="str">
            <v>1</v>
          </cell>
          <cell r="D656" t="str">
            <v>B</v>
          </cell>
          <cell r="E656">
            <v>1</v>
          </cell>
          <cell r="F656">
            <v>3</v>
          </cell>
          <cell r="G656" t="str">
            <v>Végleges pénzeszközátadás, egyéb támogatás (10+...+14)</v>
          </cell>
        </row>
        <row r="657">
          <cell r="A657" t="str">
            <v>16</v>
          </cell>
          <cell r="B657" t="str">
            <v>17</v>
          </cell>
          <cell r="C657" t="str">
            <v>1</v>
          </cell>
          <cell r="D657" t="str">
            <v>B</v>
          </cell>
          <cell r="E657">
            <v>1</v>
          </cell>
          <cell r="F657">
            <v>0</v>
          </cell>
          <cell r="G657" t="str">
            <v>Ellátottak pénzbeli juttatásai</v>
          </cell>
        </row>
        <row r="658">
          <cell r="A658" t="str">
            <v>17</v>
          </cell>
          <cell r="B658" t="str">
            <v>17</v>
          </cell>
          <cell r="C658" t="str">
            <v>1</v>
          </cell>
          <cell r="D658" t="str">
            <v>B</v>
          </cell>
          <cell r="E658">
            <v>1</v>
          </cell>
          <cell r="F658">
            <v>3</v>
          </cell>
          <cell r="G658" t="str">
            <v>Müködési költségvetés kiadásai (04+05+09+15+16)</v>
          </cell>
        </row>
        <row r="659">
          <cell r="A659" t="str">
            <v>18</v>
          </cell>
          <cell r="B659" t="str">
            <v>17</v>
          </cell>
          <cell r="C659" t="str">
            <v>1</v>
          </cell>
          <cell r="D659" t="str">
            <v>B</v>
          </cell>
          <cell r="E659">
            <v>1</v>
          </cell>
          <cell r="F659">
            <v>0</v>
          </cell>
          <cell r="G659" t="str">
            <v>Felujitás</v>
          </cell>
        </row>
        <row r="660">
          <cell r="A660" t="str">
            <v>19</v>
          </cell>
          <cell r="B660" t="str">
            <v>17</v>
          </cell>
          <cell r="C660" t="str">
            <v>1</v>
          </cell>
          <cell r="D660" t="str">
            <v>B</v>
          </cell>
          <cell r="E660">
            <v>1</v>
          </cell>
          <cell r="F660">
            <v>0</v>
          </cell>
          <cell r="G660" t="str">
            <v>Beruházási kiadások és pénzügyi befektetések</v>
          </cell>
        </row>
        <row r="661">
          <cell r="A661" t="str">
            <v>20</v>
          </cell>
          <cell r="B661" t="str">
            <v>17</v>
          </cell>
          <cell r="C661" t="str">
            <v>1</v>
          </cell>
          <cell r="D661" t="str">
            <v>B</v>
          </cell>
          <cell r="E661">
            <v>1</v>
          </cell>
          <cell r="F661">
            <v>0</v>
          </cell>
          <cell r="G661" t="str">
            <v>Hitelek,értékpapirok,kölcsönök</v>
          </cell>
        </row>
        <row r="662">
          <cell r="A662" t="str">
            <v>21</v>
          </cell>
          <cell r="B662" t="str">
            <v>17</v>
          </cell>
          <cell r="C662" t="str">
            <v>1</v>
          </cell>
          <cell r="D662" t="str">
            <v>B</v>
          </cell>
          <cell r="E662">
            <v>1</v>
          </cell>
          <cell r="F662">
            <v>0</v>
          </cell>
          <cell r="G662" t="str">
            <v>Pénzforgalom nélküli kiadások</v>
          </cell>
        </row>
        <row r="663">
          <cell r="A663" t="str">
            <v>22</v>
          </cell>
          <cell r="B663" t="str">
            <v>17</v>
          </cell>
          <cell r="C663" t="str">
            <v>1</v>
          </cell>
          <cell r="D663" t="str">
            <v>B</v>
          </cell>
          <cell r="E663">
            <v>1</v>
          </cell>
          <cell r="F663">
            <v>0</v>
          </cell>
          <cell r="G663" t="str">
            <v>Költségvetési aktiv pénzügyi elszámolások</v>
          </cell>
        </row>
        <row r="664">
          <cell r="A664" t="str">
            <v>23</v>
          </cell>
          <cell r="B664" t="str">
            <v>17</v>
          </cell>
          <cell r="C664" t="str">
            <v>1</v>
          </cell>
          <cell r="D664" t="str">
            <v>B</v>
          </cell>
          <cell r="E664">
            <v>1</v>
          </cell>
          <cell r="F664">
            <v>3</v>
          </cell>
          <cell r="G664" t="str">
            <v>Helyi kisebbségi önkormányzatok kiadásai össz.(17+...+22)</v>
          </cell>
        </row>
        <row r="665">
          <cell r="A665" t="str">
            <v>24</v>
          </cell>
          <cell r="B665" t="str">
            <v>17</v>
          </cell>
          <cell r="C665" t="str">
            <v>1</v>
          </cell>
          <cell r="D665" t="str">
            <v>B</v>
          </cell>
          <cell r="E665">
            <v>1</v>
          </cell>
          <cell r="F665">
            <v>0</v>
          </cell>
          <cell r="G665" t="str">
            <v>Helyi kisebbségi önkormányzatok intézményeinek mük. bevét.</v>
          </cell>
        </row>
        <row r="666">
          <cell r="A666" t="str">
            <v>25</v>
          </cell>
          <cell r="B666" t="str">
            <v>17</v>
          </cell>
          <cell r="C666" t="str">
            <v>1</v>
          </cell>
          <cell r="D666" t="str">
            <v>B</v>
          </cell>
          <cell r="E666">
            <v>1</v>
          </cell>
          <cell r="F666">
            <v>0</v>
          </cell>
          <cell r="G666" t="str">
            <v>Helyi kisebbségi önkormányzatok sajátos müködési bevételei</v>
          </cell>
        </row>
        <row r="667">
          <cell r="A667" t="str">
            <v>26</v>
          </cell>
          <cell r="B667" t="str">
            <v>17</v>
          </cell>
          <cell r="C667" t="str">
            <v>1</v>
          </cell>
          <cell r="D667" t="str">
            <v>B</v>
          </cell>
          <cell r="E667">
            <v>1</v>
          </cell>
          <cell r="F667">
            <v>0</v>
          </cell>
          <cell r="G667" t="str">
            <v>Helyi kisebbségi önkormányzatok felhalm. és töke jell. bev.</v>
          </cell>
        </row>
        <row r="668">
          <cell r="A668" t="str">
            <v>27</v>
          </cell>
          <cell r="B668" t="str">
            <v>17</v>
          </cell>
          <cell r="C668" t="str">
            <v>1</v>
          </cell>
          <cell r="D668" t="str">
            <v>B</v>
          </cell>
          <cell r="E668">
            <v>1</v>
          </cell>
          <cell r="F668">
            <v>0</v>
          </cell>
          <cell r="G668" t="str">
            <v>Normativ állami hozzájárulás</v>
          </cell>
        </row>
        <row r="669">
          <cell r="A669" t="str">
            <v>28</v>
          </cell>
          <cell r="B669" t="str">
            <v>17</v>
          </cell>
          <cell r="C669" t="str">
            <v>1</v>
          </cell>
          <cell r="D669" t="str">
            <v>B</v>
          </cell>
          <cell r="E669">
            <v>1</v>
          </cell>
          <cell r="F669">
            <v>0</v>
          </cell>
          <cell r="G669" t="str">
            <v>Egyéb állami támogatás, hozzájárulás</v>
          </cell>
        </row>
        <row r="670">
          <cell r="A670" t="str">
            <v>29</v>
          </cell>
          <cell r="B670" t="str">
            <v>17</v>
          </cell>
          <cell r="C670" t="str">
            <v>1</v>
          </cell>
          <cell r="D670" t="str">
            <v>B</v>
          </cell>
          <cell r="E670">
            <v>1</v>
          </cell>
          <cell r="F670">
            <v>0</v>
          </cell>
          <cell r="G670" t="str">
            <v>Helyi kisebbségi önkorm.-tol átvett pénzeszk.,egyéb kieg.</v>
          </cell>
        </row>
        <row r="671">
          <cell r="A671" t="str">
            <v>30</v>
          </cell>
          <cell r="B671" t="str">
            <v>17</v>
          </cell>
          <cell r="C671" t="str">
            <v>1</v>
          </cell>
          <cell r="D671" t="str">
            <v>B</v>
          </cell>
          <cell r="E671">
            <v>1</v>
          </cell>
          <cell r="F671">
            <v>0</v>
          </cell>
          <cell r="G671" t="str">
            <v>Egyéb támogatások,kiegészitések és átvett pénzeszközök</v>
          </cell>
        </row>
        <row r="672">
          <cell r="A672" t="str">
            <v>31</v>
          </cell>
          <cell r="B672" t="str">
            <v>17</v>
          </cell>
          <cell r="C672" t="str">
            <v>1</v>
          </cell>
          <cell r="D672" t="str">
            <v>B</v>
          </cell>
          <cell r="E672">
            <v>1</v>
          </cell>
          <cell r="F672">
            <v>0</v>
          </cell>
          <cell r="G672" t="str">
            <v>Hitelek,értékpapirok,kölcsönök</v>
          </cell>
        </row>
        <row r="673">
          <cell r="A673" t="str">
            <v>32</v>
          </cell>
          <cell r="B673" t="str">
            <v>17</v>
          </cell>
          <cell r="C673" t="str">
            <v>1</v>
          </cell>
          <cell r="D673" t="str">
            <v>B</v>
          </cell>
          <cell r="E673">
            <v>1</v>
          </cell>
          <cell r="F673">
            <v>0</v>
          </cell>
          <cell r="G673" t="str">
            <v>Pénzforgalom nélküli bevételek</v>
          </cell>
        </row>
        <row r="674">
          <cell r="A674" t="str">
            <v>33</v>
          </cell>
          <cell r="B674" t="str">
            <v>17</v>
          </cell>
          <cell r="C674" t="str">
            <v>1</v>
          </cell>
          <cell r="D674" t="str">
            <v>B</v>
          </cell>
          <cell r="E674">
            <v>1</v>
          </cell>
          <cell r="F674">
            <v>0</v>
          </cell>
          <cell r="G674" t="str">
            <v>Költségvetési passziv pénzügyi elszámolások</v>
          </cell>
        </row>
        <row r="675">
          <cell r="A675" t="str">
            <v>34</v>
          </cell>
          <cell r="B675" t="str">
            <v>17</v>
          </cell>
          <cell r="C675" t="str">
            <v>1</v>
          </cell>
          <cell r="D675" t="str">
            <v>B</v>
          </cell>
          <cell r="E675">
            <v>1</v>
          </cell>
          <cell r="F675">
            <v>3</v>
          </cell>
          <cell r="G675" t="str">
            <v>Helyi kisebbségi önkormányzatok bevételei össz(24+...+33)</v>
          </cell>
        </row>
        <row r="676">
          <cell r="A676" t="str">
            <v>1</v>
          </cell>
          <cell r="B676" t="str">
            <v>21</v>
          </cell>
          <cell r="C676" t="str">
            <v>1</v>
          </cell>
          <cell r="D676" t="str">
            <v>B</v>
          </cell>
          <cell r="E676">
            <v>1</v>
          </cell>
          <cell r="F676">
            <v>0</v>
          </cell>
          <cell r="G676" t="str">
            <v>Rendszeres személyi juttatások</v>
          </cell>
        </row>
        <row r="677">
          <cell r="A677" t="str">
            <v>2</v>
          </cell>
          <cell r="B677" t="str">
            <v>21</v>
          </cell>
          <cell r="C677" t="str">
            <v>1</v>
          </cell>
          <cell r="D677" t="str">
            <v>B</v>
          </cell>
          <cell r="E677">
            <v>1</v>
          </cell>
          <cell r="F677">
            <v>0</v>
          </cell>
          <cell r="G677" t="str">
            <v>Nem rendszeres személyi juttatások</v>
          </cell>
        </row>
        <row r="678">
          <cell r="A678" t="str">
            <v>3</v>
          </cell>
          <cell r="B678" t="str">
            <v>21</v>
          </cell>
          <cell r="C678" t="str">
            <v>1</v>
          </cell>
          <cell r="D678" t="str">
            <v>B</v>
          </cell>
          <cell r="E678">
            <v>1</v>
          </cell>
          <cell r="F678">
            <v>0</v>
          </cell>
          <cell r="G678" t="str">
            <v>Külsö személyi juttatások</v>
          </cell>
        </row>
        <row r="679">
          <cell r="A679" t="str">
            <v>4</v>
          </cell>
          <cell r="B679" t="str">
            <v>21</v>
          </cell>
          <cell r="C679" t="str">
            <v>1</v>
          </cell>
          <cell r="D679" t="str">
            <v>B</v>
          </cell>
          <cell r="E679">
            <v>1</v>
          </cell>
          <cell r="F679">
            <v>0</v>
          </cell>
          <cell r="G679" t="str">
            <v>Munkaadokat terhelö járulékok</v>
          </cell>
        </row>
        <row r="680">
          <cell r="A680" t="str">
            <v>5</v>
          </cell>
          <cell r="B680" t="str">
            <v>21</v>
          </cell>
          <cell r="C680" t="str">
            <v>1</v>
          </cell>
          <cell r="D680" t="str">
            <v>B</v>
          </cell>
          <cell r="E680">
            <v>1</v>
          </cell>
          <cell r="F680">
            <v>0</v>
          </cell>
          <cell r="G680" t="str">
            <v>Anyag és kis értékű tárgyi eszk.szellemi term. beszezése</v>
          </cell>
        </row>
        <row r="681">
          <cell r="A681" t="str">
            <v>6</v>
          </cell>
          <cell r="B681" t="str">
            <v>21</v>
          </cell>
          <cell r="C681" t="str">
            <v>1</v>
          </cell>
          <cell r="D681" t="str">
            <v>B</v>
          </cell>
          <cell r="E681">
            <v>1</v>
          </cell>
          <cell r="F681">
            <v>0</v>
          </cell>
          <cell r="G681" t="str">
            <v>Dologi kiadások (05 sor nélkül)</v>
          </cell>
        </row>
        <row r="682">
          <cell r="A682" t="str">
            <v>7</v>
          </cell>
          <cell r="B682" t="str">
            <v>21</v>
          </cell>
          <cell r="C682" t="str">
            <v>1</v>
          </cell>
          <cell r="D682" t="str">
            <v>B</v>
          </cell>
          <cell r="E682">
            <v>1</v>
          </cell>
          <cell r="F682">
            <v>0</v>
          </cell>
          <cell r="G682" t="str">
            <v>Egyéb folyo kiadások</v>
          </cell>
        </row>
        <row r="683">
          <cell r="A683" t="str">
            <v>8</v>
          </cell>
          <cell r="B683" t="str">
            <v>21</v>
          </cell>
          <cell r="C683" t="str">
            <v>1</v>
          </cell>
          <cell r="D683" t="str">
            <v>B</v>
          </cell>
          <cell r="E683">
            <v>1</v>
          </cell>
          <cell r="F683">
            <v>0</v>
          </cell>
          <cell r="G683" t="str">
            <v>Mük.célu pénzeszközátadás non-profit szervezeteknek</v>
          </cell>
        </row>
        <row r="684">
          <cell r="A684" t="str">
            <v>9</v>
          </cell>
          <cell r="B684" t="str">
            <v>21</v>
          </cell>
          <cell r="C684" t="str">
            <v>1</v>
          </cell>
          <cell r="D684" t="str">
            <v>B</v>
          </cell>
          <cell r="E684">
            <v>1</v>
          </cell>
          <cell r="F684">
            <v>0</v>
          </cell>
          <cell r="G684" t="str">
            <v>Mük.célu pénzeszközátadás háztartásoknak</v>
          </cell>
        </row>
        <row r="685">
          <cell r="A685" t="str">
            <v>10</v>
          </cell>
          <cell r="B685" t="str">
            <v>21</v>
          </cell>
          <cell r="C685" t="str">
            <v>1</v>
          </cell>
          <cell r="D685" t="str">
            <v>B</v>
          </cell>
          <cell r="E685">
            <v>1</v>
          </cell>
          <cell r="F685">
            <v>0</v>
          </cell>
          <cell r="G685" t="str">
            <v>Mük.célu p.e.átadás állami(önk.)nem pénzügyi vállalk.</v>
          </cell>
        </row>
        <row r="686">
          <cell r="A686" t="str">
            <v>11</v>
          </cell>
          <cell r="B686" t="str">
            <v>21</v>
          </cell>
          <cell r="C686" t="str">
            <v>1</v>
          </cell>
          <cell r="D686" t="str">
            <v>B</v>
          </cell>
          <cell r="E686">
            <v>1</v>
          </cell>
          <cell r="F686">
            <v>0</v>
          </cell>
          <cell r="G686" t="str">
            <v>Mük.célu pénzeszközátadás pénzügyi vállalkozásoknak</v>
          </cell>
        </row>
        <row r="687">
          <cell r="A687" t="str">
            <v>12</v>
          </cell>
          <cell r="B687" t="str">
            <v>21</v>
          </cell>
          <cell r="C687" t="str">
            <v>1</v>
          </cell>
          <cell r="D687" t="str">
            <v>B</v>
          </cell>
          <cell r="E687">
            <v>1</v>
          </cell>
          <cell r="F687">
            <v>0</v>
          </cell>
          <cell r="G687" t="str">
            <v>Mük.célu Római szerződés 87.cikk.önk.többs.tul.vál.</v>
          </cell>
        </row>
        <row r="688">
          <cell r="A688" t="str">
            <v>13</v>
          </cell>
          <cell r="B688" t="str">
            <v>21</v>
          </cell>
          <cell r="C688" t="str">
            <v>1</v>
          </cell>
          <cell r="D688" t="str">
            <v>B</v>
          </cell>
          <cell r="E688">
            <v>1</v>
          </cell>
          <cell r="F688">
            <v>0</v>
          </cell>
          <cell r="G688" t="str">
            <v>Mük.célu Római szerződés 87.cikk.nem önk.többs.t.vál.</v>
          </cell>
        </row>
        <row r="689">
          <cell r="A689" t="str">
            <v>14</v>
          </cell>
          <cell r="B689" t="str">
            <v>21</v>
          </cell>
          <cell r="C689" t="str">
            <v>1</v>
          </cell>
          <cell r="D689" t="str">
            <v>B</v>
          </cell>
          <cell r="E689">
            <v>1</v>
          </cell>
          <cell r="F689">
            <v>2</v>
          </cell>
          <cell r="G689" t="str">
            <v>Mük.célu Római szerződés 87.cikk vállalk.(12+13)</v>
          </cell>
        </row>
        <row r="690">
          <cell r="A690" t="str">
            <v>15</v>
          </cell>
          <cell r="B690" t="str">
            <v>21</v>
          </cell>
          <cell r="C690" t="str">
            <v>1</v>
          </cell>
          <cell r="D690" t="str">
            <v>B</v>
          </cell>
          <cell r="E690">
            <v>1</v>
          </cell>
          <cell r="F690">
            <v>0</v>
          </cell>
          <cell r="G690" t="str">
            <v>Mük.célu 12.sorban nem szerepeltetett önk.többs.tul.vál.</v>
          </cell>
        </row>
        <row r="691">
          <cell r="A691" t="str">
            <v>16</v>
          </cell>
          <cell r="B691" t="str">
            <v>21</v>
          </cell>
          <cell r="C691" t="str">
            <v>1</v>
          </cell>
          <cell r="D691" t="str">
            <v>B</v>
          </cell>
          <cell r="E691">
            <v>1</v>
          </cell>
          <cell r="F691">
            <v>0</v>
          </cell>
          <cell r="G691" t="str">
            <v>Mük.célu 13.sorban nem szerepelt. nem önk.több.tul.vál.</v>
          </cell>
        </row>
        <row r="692">
          <cell r="A692" t="str">
            <v>17</v>
          </cell>
          <cell r="B692" t="str">
            <v>21</v>
          </cell>
          <cell r="C692" t="str">
            <v>1</v>
          </cell>
          <cell r="D692" t="str">
            <v>B</v>
          </cell>
          <cell r="E692">
            <v>1</v>
          </cell>
          <cell r="F692">
            <v>2</v>
          </cell>
          <cell r="G692" t="str">
            <v>Mük.célu pénzeszközát.egyéb váll.(14+15+16)</v>
          </cell>
        </row>
        <row r="693">
          <cell r="A693" t="str">
            <v>18</v>
          </cell>
          <cell r="B693" t="str">
            <v>21</v>
          </cell>
          <cell r="C693" t="str">
            <v>1</v>
          </cell>
          <cell r="D693" t="str">
            <v>B</v>
          </cell>
          <cell r="E693">
            <v>1</v>
          </cell>
          <cell r="F693">
            <v>0</v>
          </cell>
          <cell r="G693" t="str">
            <v>Müködési célu pénzeszközátadás EU-nak</v>
          </cell>
        </row>
        <row r="694">
          <cell r="A694" t="str">
            <v>19</v>
          </cell>
          <cell r="B694" t="str">
            <v>21</v>
          </cell>
          <cell r="C694" t="str">
            <v>1</v>
          </cell>
          <cell r="D694" t="str">
            <v>B</v>
          </cell>
          <cell r="E694">
            <v>1</v>
          </cell>
          <cell r="F694">
            <v>0</v>
          </cell>
          <cell r="G694" t="str">
            <v>Mük.célu pe.átad.korm.és nemzetközi szerv.-nek</v>
          </cell>
        </row>
        <row r="695">
          <cell r="A695" t="str">
            <v>20</v>
          </cell>
          <cell r="B695" t="str">
            <v>21</v>
          </cell>
          <cell r="C695" t="str">
            <v>1</v>
          </cell>
          <cell r="D695" t="str">
            <v>B</v>
          </cell>
          <cell r="E695">
            <v>1</v>
          </cell>
          <cell r="F695">
            <v>0</v>
          </cell>
          <cell r="G695" t="str">
            <v>Mük.célu pénzeszközátadás egyéb külföldinek</v>
          </cell>
        </row>
        <row r="696">
          <cell r="A696" t="str">
            <v>21</v>
          </cell>
          <cell r="B696" t="str">
            <v>21</v>
          </cell>
          <cell r="C696" t="str">
            <v>1</v>
          </cell>
          <cell r="D696" t="str">
            <v>B</v>
          </cell>
          <cell r="E696">
            <v>1</v>
          </cell>
          <cell r="F696">
            <v>2</v>
          </cell>
          <cell r="G696" t="str">
            <v>Müködési célu pénzeszközátadás külföldieknek(19+20)</v>
          </cell>
        </row>
        <row r="697">
          <cell r="A697" t="str">
            <v>22</v>
          </cell>
          <cell r="B697" t="str">
            <v>21</v>
          </cell>
          <cell r="C697" t="str">
            <v>1</v>
          </cell>
          <cell r="D697" t="str">
            <v>B</v>
          </cell>
          <cell r="E697">
            <v>1</v>
          </cell>
          <cell r="F697">
            <v>2</v>
          </cell>
          <cell r="G697" t="str">
            <v>Mük.célu pe.átadás áht.-n kivülre (08+..+11+17+18+21)</v>
          </cell>
        </row>
        <row r="698">
          <cell r="A698" t="str">
            <v>23</v>
          </cell>
          <cell r="B698" t="str">
            <v>21</v>
          </cell>
          <cell r="C698" t="str">
            <v>1</v>
          </cell>
          <cell r="D698" t="str">
            <v>B</v>
          </cell>
          <cell r="E698">
            <v>1</v>
          </cell>
          <cell r="F698">
            <v>0</v>
          </cell>
          <cell r="G698" t="str">
            <v>Mük.célu pénzeszközátad.fejezeten (önk.)belül</v>
          </cell>
        </row>
        <row r="699">
          <cell r="A699" t="str">
            <v>24</v>
          </cell>
          <cell r="B699" t="str">
            <v>21</v>
          </cell>
          <cell r="C699" t="str">
            <v>1</v>
          </cell>
          <cell r="D699" t="str">
            <v>B</v>
          </cell>
          <cell r="E699">
            <v>1</v>
          </cell>
          <cell r="F699">
            <v>0</v>
          </cell>
          <cell r="G699" t="str">
            <v>Mük.célu pénzeszközátad.központi kgtv-i szerv.</v>
          </cell>
        </row>
        <row r="700">
          <cell r="A700" t="str">
            <v>25</v>
          </cell>
          <cell r="B700" t="str">
            <v>21</v>
          </cell>
          <cell r="C700" t="str">
            <v>1</v>
          </cell>
          <cell r="D700" t="str">
            <v>B</v>
          </cell>
          <cell r="E700">
            <v>1</v>
          </cell>
          <cell r="F700">
            <v>0</v>
          </cell>
          <cell r="G700" t="str">
            <v>Mük.célu pénzeszközátad.önkorm-i kgtv-i szerv.</v>
          </cell>
        </row>
        <row r="701">
          <cell r="A701" t="str">
            <v>26</v>
          </cell>
          <cell r="B701" t="str">
            <v>21</v>
          </cell>
          <cell r="C701" t="str">
            <v>1</v>
          </cell>
          <cell r="D701" t="str">
            <v>B</v>
          </cell>
          <cell r="E701">
            <v>1</v>
          </cell>
          <cell r="F701">
            <v>0</v>
          </cell>
          <cell r="G701" t="str">
            <v>Mük.célu pénzeszközátad.TB alapoknak és kezel.</v>
          </cell>
        </row>
        <row r="702">
          <cell r="A702" t="str">
            <v>27</v>
          </cell>
          <cell r="B702" t="str">
            <v>21</v>
          </cell>
          <cell r="C702" t="str">
            <v>1</v>
          </cell>
          <cell r="D702" t="str">
            <v>B</v>
          </cell>
          <cell r="E702">
            <v>1</v>
          </cell>
          <cell r="F702">
            <v>0</v>
          </cell>
          <cell r="G702" t="str">
            <v>Mük.célu pénzeszközátad.elkül.állami pénzalap.</v>
          </cell>
        </row>
        <row r="703">
          <cell r="A703" t="str">
            <v>28</v>
          </cell>
          <cell r="B703" t="str">
            <v>21</v>
          </cell>
          <cell r="C703" t="str">
            <v>1</v>
          </cell>
          <cell r="D703" t="str">
            <v>B</v>
          </cell>
          <cell r="E703">
            <v>1</v>
          </cell>
          <cell r="F703">
            <v>0</v>
          </cell>
          <cell r="G703" t="str">
            <v>Mük.célu pénzeszközátad.fejezeti kez.elöirány.</v>
          </cell>
        </row>
        <row r="704">
          <cell r="A704" t="str">
            <v>29</v>
          </cell>
          <cell r="B704" t="str">
            <v>21</v>
          </cell>
          <cell r="C704" t="str">
            <v>1</v>
          </cell>
          <cell r="D704" t="str">
            <v>B</v>
          </cell>
          <cell r="E704">
            <v>1</v>
          </cell>
          <cell r="F704">
            <v>2</v>
          </cell>
          <cell r="G704" t="str">
            <v>Mük.célu pénzeszk.átadás államházt.belülre (23+...+28)</v>
          </cell>
        </row>
        <row r="705">
          <cell r="A705" t="str">
            <v>30</v>
          </cell>
          <cell r="B705" t="str">
            <v>21</v>
          </cell>
          <cell r="C705" t="str">
            <v>1</v>
          </cell>
          <cell r="D705" t="str">
            <v>B</v>
          </cell>
          <cell r="E705">
            <v>1</v>
          </cell>
          <cell r="F705">
            <v>0</v>
          </cell>
          <cell r="G705" t="str">
            <v>Felh.célu pénzeszközátad.non-profit szerv-nek</v>
          </cell>
        </row>
        <row r="706">
          <cell r="A706" t="str">
            <v>31</v>
          </cell>
          <cell r="B706" t="str">
            <v>21</v>
          </cell>
          <cell r="C706" t="str">
            <v>1</v>
          </cell>
          <cell r="D706" t="str">
            <v>B</v>
          </cell>
          <cell r="E706">
            <v>1</v>
          </cell>
          <cell r="F706">
            <v>0</v>
          </cell>
          <cell r="G706" t="str">
            <v>Lakásért fizetett pénzbeli térités</v>
          </cell>
        </row>
        <row r="707">
          <cell r="A707" t="str">
            <v>32</v>
          </cell>
          <cell r="B707" t="str">
            <v>21</v>
          </cell>
          <cell r="C707" t="str">
            <v>1</v>
          </cell>
          <cell r="D707" t="str">
            <v>B</v>
          </cell>
          <cell r="E707">
            <v>1</v>
          </cell>
          <cell r="F707">
            <v>0</v>
          </cell>
          <cell r="G707" t="str">
            <v>Lakáshoz jutás pénzbeli támogatás végleges jelleggel</v>
          </cell>
        </row>
        <row r="708">
          <cell r="A708" t="str">
            <v>33</v>
          </cell>
          <cell r="B708" t="str">
            <v>21</v>
          </cell>
          <cell r="C708" t="str">
            <v>1</v>
          </cell>
          <cell r="D708" t="str">
            <v>B</v>
          </cell>
          <cell r="E708">
            <v>1</v>
          </cell>
          <cell r="F708">
            <v>0</v>
          </cell>
          <cell r="G708" t="str">
            <v>Egyéb pénzeszközátadás háztartásoknak</v>
          </cell>
        </row>
        <row r="709">
          <cell r="A709" t="str">
            <v>34</v>
          </cell>
          <cell r="B709" t="str">
            <v>21</v>
          </cell>
          <cell r="C709" t="str">
            <v>1</v>
          </cell>
          <cell r="D709" t="str">
            <v>B</v>
          </cell>
          <cell r="E709">
            <v>1</v>
          </cell>
          <cell r="F709">
            <v>2</v>
          </cell>
          <cell r="G709" t="str">
            <v>Felh.célu pénzeszközátadás háztartásoknak (31+32+33)</v>
          </cell>
        </row>
        <row r="710">
          <cell r="A710" t="str">
            <v>35</v>
          </cell>
          <cell r="B710" t="str">
            <v>21</v>
          </cell>
          <cell r="C710" t="str">
            <v>1</v>
          </cell>
          <cell r="D710" t="str">
            <v>B</v>
          </cell>
          <cell r="E710">
            <v>1</v>
          </cell>
          <cell r="F710">
            <v>0</v>
          </cell>
          <cell r="G710" t="str">
            <v>Felh.célu p.e.átadás állami(önk.)nem pü-i vállalk.</v>
          </cell>
        </row>
        <row r="711">
          <cell r="A711" t="str">
            <v>36</v>
          </cell>
          <cell r="B711" t="str">
            <v>21</v>
          </cell>
          <cell r="C711" t="str">
            <v>1</v>
          </cell>
          <cell r="D711" t="str">
            <v>B</v>
          </cell>
          <cell r="E711">
            <v>1</v>
          </cell>
          <cell r="F711">
            <v>0</v>
          </cell>
          <cell r="G711" t="str">
            <v>Felh.célu pénzeszközátadás pü-i vállalkozásnak</v>
          </cell>
        </row>
        <row r="712">
          <cell r="A712" t="str">
            <v>37</v>
          </cell>
          <cell r="B712" t="str">
            <v>21</v>
          </cell>
          <cell r="C712" t="str">
            <v>1</v>
          </cell>
          <cell r="D712" t="str">
            <v>B</v>
          </cell>
          <cell r="E712">
            <v>1</v>
          </cell>
          <cell r="F712">
            <v>0</v>
          </cell>
          <cell r="G712" t="str">
            <v>Felh.célu Római szerződés 87.cikk..önk.többs.tul.vál.</v>
          </cell>
        </row>
        <row r="713">
          <cell r="A713" t="str">
            <v>38</v>
          </cell>
          <cell r="B713" t="str">
            <v>21</v>
          </cell>
          <cell r="C713" t="str">
            <v>1</v>
          </cell>
          <cell r="D713" t="str">
            <v>B</v>
          </cell>
          <cell r="E713">
            <v>1</v>
          </cell>
          <cell r="F713">
            <v>0</v>
          </cell>
          <cell r="G713" t="str">
            <v>Felh.célu Római szerződés 87.cikk. nem önk.többs.vál.</v>
          </cell>
        </row>
        <row r="714">
          <cell r="A714" t="str">
            <v>39</v>
          </cell>
          <cell r="B714" t="str">
            <v>21</v>
          </cell>
          <cell r="C714" t="str">
            <v>1</v>
          </cell>
          <cell r="D714" t="str">
            <v>B</v>
          </cell>
          <cell r="E714">
            <v>1</v>
          </cell>
          <cell r="F714">
            <v>1</v>
          </cell>
          <cell r="G714" t="str">
            <v>Felh.célu Római szerződés 87.cikk. vállalk.(37+38)</v>
          </cell>
        </row>
        <row r="715">
          <cell r="A715" t="str">
            <v>40</v>
          </cell>
          <cell r="B715" t="str">
            <v>21</v>
          </cell>
          <cell r="C715" t="str">
            <v>1</v>
          </cell>
          <cell r="D715" t="str">
            <v>B</v>
          </cell>
          <cell r="E715">
            <v>1</v>
          </cell>
          <cell r="F715">
            <v>0</v>
          </cell>
          <cell r="G715" t="str">
            <v>Felh.célu a 37.sor nem szerepeltetett önk.többs.tul.vál.</v>
          </cell>
        </row>
        <row r="716">
          <cell r="A716" t="str">
            <v>41</v>
          </cell>
          <cell r="B716" t="str">
            <v>21</v>
          </cell>
          <cell r="C716" t="str">
            <v>1</v>
          </cell>
          <cell r="D716" t="str">
            <v>B</v>
          </cell>
          <cell r="E716">
            <v>1</v>
          </cell>
          <cell r="F716">
            <v>0</v>
          </cell>
          <cell r="G716" t="str">
            <v>Felh.célu 38.sorban nem szerepelt. nem önk.többs.vál.</v>
          </cell>
        </row>
        <row r="717">
          <cell r="A717" t="str">
            <v>42</v>
          </cell>
          <cell r="B717" t="str">
            <v>21</v>
          </cell>
          <cell r="C717" t="str">
            <v>1</v>
          </cell>
          <cell r="D717" t="str">
            <v>B</v>
          </cell>
          <cell r="E717">
            <v>1</v>
          </cell>
          <cell r="F717">
            <v>0</v>
          </cell>
          <cell r="G717" t="str">
            <v>Felh.célu pénzeszközátad.egyéb váll.(39+40+41)</v>
          </cell>
        </row>
        <row r="718">
          <cell r="A718" t="str">
            <v>43</v>
          </cell>
          <cell r="B718" t="str">
            <v>21</v>
          </cell>
          <cell r="C718" t="str">
            <v>1</v>
          </cell>
          <cell r="D718" t="str">
            <v>B</v>
          </cell>
          <cell r="E718">
            <v>1</v>
          </cell>
          <cell r="F718">
            <v>0</v>
          </cell>
          <cell r="G718" t="str">
            <v>Felhalmozási célu pénzeszközátadás EU-nak</v>
          </cell>
        </row>
        <row r="719">
          <cell r="A719" t="str">
            <v>44</v>
          </cell>
          <cell r="B719" t="str">
            <v>21</v>
          </cell>
          <cell r="C719" t="str">
            <v>1</v>
          </cell>
          <cell r="D719" t="str">
            <v>B</v>
          </cell>
          <cell r="E719">
            <v>1</v>
          </cell>
          <cell r="F719">
            <v>0</v>
          </cell>
          <cell r="G719" t="str">
            <v>Felhalmozási célu pénzeszközátadás egyéb külföldinek</v>
          </cell>
        </row>
        <row r="720">
          <cell r="A720" t="str">
            <v>45</v>
          </cell>
          <cell r="B720" t="str">
            <v>21</v>
          </cell>
          <cell r="C720" t="str">
            <v>1</v>
          </cell>
          <cell r="D720" t="str">
            <v>B</v>
          </cell>
          <cell r="E720">
            <v>1</v>
          </cell>
          <cell r="F720">
            <v>0</v>
          </cell>
          <cell r="G720" t="str">
            <v>Felh.célu pe.átadás kormányoknak és nemzetközi szerv-nek</v>
          </cell>
        </row>
        <row r="721">
          <cell r="A721" t="str">
            <v>46</v>
          </cell>
          <cell r="B721" t="str">
            <v>21</v>
          </cell>
          <cell r="C721" t="str">
            <v>1</v>
          </cell>
          <cell r="D721" t="str">
            <v>B</v>
          </cell>
          <cell r="E721">
            <v>1</v>
          </cell>
          <cell r="F721">
            <v>1</v>
          </cell>
          <cell r="G721" t="str">
            <v>Felhalmozási célu pénzeszközátadás külföldiek.(44+45)</v>
          </cell>
        </row>
        <row r="722">
          <cell r="A722" t="str">
            <v>47</v>
          </cell>
          <cell r="B722" t="str">
            <v>21</v>
          </cell>
          <cell r="C722" t="str">
            <v>1</v>
          </cell>
          <cell r="D722" t="str">
            <v>B</v>
          </cell>
          <cell r="E722">
            <v>1</v>
          </cell>
          <cell r="F722">
            <v>1</v>
          </cell>
          <cell r="G722" t="str">
            <v>Felh.célu pénze.átad.áht.kivülre (30+34+35+36+42+43+46)</v>
          </cell>
        </row>
        <row r="723">
          <cell r="A723" t="str">
            <v>48</v>
          </cell>
          <cell r="B723" t="str">
            <v>21</v>
          </cell>
          <cell r="C723" t="str">
            <v>1</v>
          </cell>
          <cell r="D723" t="str">
            <v>B</v>
          </cell>
          <cell r="E723">
            <v>1</v>
          </cell>
          <cell r="F723">
            <v>0</v>
          </cell>
          <cell r="G723" t="str">
            <v>Felh.célu pénzeszközátad.fejezeten(önk.)belül</v>
          </cell>
        </row>
        <row r="724">
          <cell r="A724" t="str">
            <v>49</v>
          </cell>
          <cell r="B724" t="str">
            <v>21</v>
          </cell>
          <cell r="C724" t="str">
            <v>1</v>
          </cell>
          <cell r="D724" t="str">
            <v>B</v>
          </cell>
          <cell r="E724">
            <v>1</v>
          </cell>
          <cell r="F724">
            <v>0</v>
          </cell>
          <cell r="G724" t="str">
            <v>Felh.célu pénzeszközátad.közp. kgtv-i szervnek</v>
          </cell>
        </row>
        <row r="725">
          <cell r="A725" t="str">
            <v>50</v>
          </cell>
          <cell r="B725" t="str">
            <v>21</v>
          </cell>
          <cell r="C725" t="str">
            <v>1</v>
          </cell>
          <cell r="D725" t="str">
            <v>B</v>
          </cell>
          <cell r="E725">
            <v>1</v>
          </cell>
          <cell r="F725">
            <v>0</v>
          </cell>
          <cell r="G725" t="str">
            <v>Felh.célu pénzeszközátad.önkorm-i kgtv-i szer.</v>
          </cell>
        </row>
        <row r="726">
          <cell r="A726" t="str">
            <v>51</v>
          </cell>
          <cell r="B726" t="str">
            <v>21</v>
          </cell>
          <cell r="C726" t="str">
            <v>1</v>
          </cell>
          <cell r="D726" t="str">
            <v>B</v>
          </cell>
          <cell r="E726">
            <v>1</v>
          </cell>
          <cell r="F726">
            <v>0</v>
          </cell>
          <cell r="G726" t="str">
            <v>Felh.célu pénzeszközátad.TB alapnak és kezelőinek</v>
          </cell>
        </row>
        <row r="727">
          <cell r="A727" t="str">
            <v>52</v>
          </cell>
          <cell r="B727" t="str">
            <v>21</v>
          </cell>
          <cell r="C727" t="str">
            <v>1</v>
          </cell>
          <cell r="D727" t="str">
            <v>B</v>
          </cell>
          <cell r="E727">
            <v>1</v>
          </cell>
          <cell r="F727">
            <v>0</v>
          </cell>
          <cell r="G727" t="str">
            <v>Felh.célu pénzeszközátadás elkül.áll. pénzalap. és kez.</v>
          </cell>
        </row>
        <row r="728">
          <cell r="A728" t="str">
            <v>53</v>
          </cell>
          <cell r="B728" t="str">
            <v>21</v>
          </cell>
          <cell r="C728" t="str">
            <v>1</v>
          </cell>
          <cell r="D728" t="str">
            <v>B</v>
          </cell>
          <cell r="E728">
            <v>1</v>
          </cell>
          <cell r="F728">
            <v>0</v>
          </cell>
          <cell r="G728" t="str">
            <v>Felh.célu pénzeszközátad.fejezeti kez.elöirány</v>
          </cell>
        </row>
        <row r="729">
          <cell r="A729" t="str">
            <v>54</v>
          </cell>
          <cell r="B729" t="str">
            <v>21</v>
          </cell>
          <cell r="C729" t="str">
            <v>1</v>
          </cell>
          <cell r="D729" t="str">
            <v>B</v>
          </cell>
          <cell r="E729">
            <v>1</v>
          </cell>
          <cell r="F729">
            <v>2</v>
          </cell>
          <cell r="G729" t="str">
            <v>Felh.célu pénze.átadás államházt.belülre (48+..+53)</v>
          </cell>
        </row>
        <row r="730">
          <cell r="A730" t="str">
            <v>55</v>
          </cell>
          <cell r="B730" t="str">
            <v>21</v>
          </cell>
          <cell r="C730" t="str">
            <v>1</v>
          </cell>
          <cell r="D730" t="str">
            <v>B</v>
          </cell>
          <cell r="E730">
            <v>1</v>
          </cell>
          <cell r="F730">
            <v>0</v>
          </cell>
          <cell r="G730" t="str">
            <v>Ellátottak pénzbeli juttatásai</v>
          </cell>
        </row>
        <row r="731">
          <cell r="A731" t="str">
            <v>56</v>
          </cell>
          <cell r="B731" t="str">
            <v>21</v>
          </cell>
          <cell r="C731" t="str">
            <v>1</v>
          </cell>
          <cell r="D731" t="str">
            <v>B</v>
          </cell>
          <cell r="E731">
            <v>1</v>
          </cell>
          <cell r="F731">
            <v>0</v>
          </cell>
          <cell r="G731" t="str">
            <v>Támogatás és egyéb juttatás</v>
          </cell>
        </row>
        <row r="732">
          <cell r="A732" t="str">
            <v>57</v>
          </cell>
          <cell r="B732" t="str">
            <v>21</v>
          </cell>
          <cell r="C732" t="str">
            <v>1</v>
          </cell>
          <cell r="D732" t="str">
            <v>B</v>
          </cell>
          <cell r="E732">
            <v>1</v>
          </cell>
          <cell r="F732">
            <v>0</v>
          </cell>
          <cell r="G732" t="str">
            <v>Felujitás</v>
          </cell>
        </row>
        <row r="733">
          <cell r="A733" t="str">
            <v>58</v>
          </cell>
          <cell r="B733" t="str">
            <v>21</v>
          </cell>
          <cell r="C733" t="str">
            <v>1</v>
          </cell>
          <cell r="D733" t="str">
            <v>B</v>
          </cell>
          <cell r="E733">
            <v>1</v>
          </cell>
          <cell r="F733">
            <v>0</v>
          </cell>
          <cell r="G733" t="str">
            <v>Immateriális javak,tárgyi eszközök vásárlása,létesit.</v>
          </cell>
        </row>
        <row r="734">
          <cell r="A734" t="str">
            <v>59</v>
          </cell>
          <cell r="B734" t="str">
            <v>21</v>
          </cell>
          <cell r="C734" t="str">
            <v>1</v>
          </cell>
          <cell r="D734" t="str">
            <v>B</v>
          </cell>
          <cell r="E734">
            <v>1</v>
          </cell>
          <cell r="F734">
            <v>0</v>
          </cell>
          <cell r="G734" t="str">
            <v>Központi beruh.felhalm.célu pénzeszk.átadása</v>
          </cell>
        </row>
        <row r="735">
          <cell r="A735" t="str">
            <v>60</v>
          </cell>
          <cell r="B735" t="str">
            <v>21</v>
          </cell>
          <cell r="C735" t="str">
            <v>1</v>
          </cell>
          <cell r="D735" t="str">
            <v>B</v>
          </cell>
          <cell r="E735">
            <v>1</v>
          </cell>
          <cell r="F735">
            <v>0</v>
          </cell>
          <cell r="G735" t="str">
            <v>Pénzügyi befektetések</v>
          </cell>
        </row>
        <row r="736">
          <cell r="A736" t="str">
            <v>61</v>
          </cell>
          <cell r="B736" t="str">
            <v>21</v>
          </cell>
          <cell r="C736" t="str">
            <v>1</v>
          </cell>
          <cell r="D736" t="str">
            <v>B</v>
          </cell>
          <cell r="E736">
            <v>1</v>
          </cell>
          <cell r="F736">
            <v>0</v>
          </cell>
          <cell r="G736" t="str">
            <v>Kölcsönök nyujtása és törlesztése</v>
          </cell>
        </row>
        <row r="737">
          <cell r="A737" t="str">
            <v>62</v>
          </cell>
          <cell r="B737" t="str">
            <v>21</v>
          </cell>
          <cell r="C737" t="str">
            <v>1</v>
          </cell>
          <cell r="D737" t="str">
            <v>B</v>
          </cell>
          <cell r="E737">
            <v>1</v>
          </cell>
          <cell r="F737">
            <v>2</v>
          </cell>
          <cell r="G737" t="str">
            <v>Pénzforgalmi kiadások (01+..+07+22+29+47+54+..+61)</v>
          </cell>
        </row>
        <row r="738">
          <cell r="A738" t="str">
            <v>63</v>
          </cell>
          <cell r="B738" t="str">
            <v>21</v>
          </cell>
          <cell r="C738" t="str">
            <v>1</v>
          </cell>
          <cell r="D738" t="str">
            <v>B</v>
          </cell>
          <cell r="E738">
            <v>1</v>
          </cell>
          <cell r="F738">
            <v>0</v>
          </cell>
          <cell r="G738" t="str">
            <v>Pénzforgalom nélküli kiadások</v>
          </cell>
        </row>
        <row r="739">
          <cell r="A739" t="str">
            <v>64</v>
          </cell>
          <cell r="B739" t="str">
            <v>21</v>
          </cell>
          <cell r="C739" t="str">
            <v>1</v>
          </cell>
          <cell r="D739" t="str">
            <v>B</v>
          </cell>
          <cell r="E739">
            <v>1</v>
          </cell>
          <cell r="F739">
            <v>2</v>
          </cell>
          <cell r="G739" t="str">
            <v>Költségvetési kiadások (62+63)</v>
          </cell>
        </row>
        <row r="740">
          <cell r="A740" t="str">
            <v>65</v>
          </cell>
          <cell r="B740" t="str">
            <v>21</v>
          </cell>
          <cell r="C740" t="str">
            <v>1</v>
          </cell>
          <cell r="D740" t="str">
            <v>B</v>
          </cell>
          <cell r="E740">
            <v>1</v>
          </cell>
          <cell r="F740">
            <v>0</v>
          </cell>
          <cell r="G740" t="str">
            <v>Finanszirozás kiadásai</v>
          </cell>
        </row>
        <row r="741">
          <cell r="A741" t="str">
            <v>66</v>
          </cell>
          <cell r="B741" t="str">
            <v>21</v>
          </cell>
          <cell r="C741" t="str">
            <v>1</v>
          </cell>
          <cell r="D741" t="str">
            <v>B</v>
          </cell>
          <cell r="E741">
            <v>1</v>
          </cell>
          <cell r="F741">
            <v>2</v>
          </cell>
          <cell r="G741" t="str">
            <v>Kiadások összesen (64+65)</v>
          </cell>
        </row>
        <row r="742">
          <cell r="A742" t="str">
            <v>67</v>
          </cell>
          <cell r="B742" t="str">
            <v>21</v>
          </cell>
          <cell r="C742" t="str">
            <v>1</v>
          </cell>
          <cell r="D742" t="str">
            <v>B</v>
          </cell>
          <cell r="E742">
            <v>1</v>
          </cell>
          <cell r="F742">
            <v>0</v>
          </cell>
          <cell r="G742" t="str">
            <v>Int.üzemelt.kapcs.létszám(fö)-költ.engedélyezett létszám</v>
          </cell>
        </row>
        <row r="743">
          <cell r="A743" t="str">
            <v>68</v>
          </cell>
          <cell r="B743" t="str">
            <v>21</v>
          </cell>
          <cell r="C743" t="str">
            <v>1</v>
          </cell>
          <cell r="D743" t="str">
            <v>B</v>
          </cell>
          <cell r="E743">
            <v>1</v>
          </cell>
          <cell r="F743">
            <v>0</v>
          </cell>
          <cell r="G743" t="str">
            <v>Int.üzemelt.kapcs.létszám(fö)-átl.stat.állományi létszám</v>
          </cell>
        </row>
        <row r="744">
          <cell r="A744" t="str">
            <v>69</v>
          </cell>
          <cell r="B744" t="str">
            <v>21</v>
          </cell>
          <cell r="C744" t="str">
            <v>1</v>
          </cell>
          <cell r="D744" t="str">
            <v>B</v>
          </cell>
          <cell r="E744">
            <v>1</v>
          </cell>
          <cell r="F744">
            <v>0</v>
          </cell>
          <cell r="G744" t="str">
            <v>Szakmai tev.ellát.létszám(fö)-költ.engedélyezett létszám</v>
          </cell>
        </row>
        <row r="745">
          <cell r="A745" t="str">
            <v>70</v>
          </cell>
          <cell r="B745" t="str">
            <v>21</v>
          </cell>
          <cell r="C745" t="str">
            <v>1</v>
          </cell>
          <cell r="D745" t="str">
            <v>B</v>
          </cell>
          <cell r="E745">
            <v>1</v>
          </cell>
          <cell r="F745">
            <v>0</v>
          </cell>
          <cell r="G745" t="str">
            <v>Szakmai tev.ellát.létszám(fö)-átl.stat.állományi létszám</v>
          </cell>
        </row>
        <row r="746">
          <cell r="A746" t="str">
            <v>1</v>
          </cell>
          <cell r="B746" t="str">
            <v>22</v>
          </cell>
          <cell r="C746" t="str">
            <v>1</v>
          </cell>
          <cell r="D746" t="str">
            <v>B</v>
          </cell>
          <cell r="E746">
            <v>1</v>
          </cell>
          <cell r="F746">
            <v>0</v>
          </cell>
          <cell r="G746" t="str">
            <v>Intézményi müködési bevételek</v>
          </cell>
        </row>
        <row r="747">
          <cell r="A747" t="str">
            <v>2</v>
          </cell>
          <cell r="B747" t="str">
            <v>22</v>
          </cell>
          <cell r="C747" t="str">
            <v>1</v>
          </cell>
          <cell r="D747" t="str">
            <v>B</v>
          </cell>
          <cell r="E747">
            <v>1</v>
          </cell>
          <cell r="F747">
            <v>2</v>
          </cell>
          <cell r="G747" t="str">
            <v>01-böl Alaptevékenység bevételei</v>
          </cell>
        </row>
        <row r="748">
          <cell r="A748" t="str">
            <v>3</v>
          </cell>
          <cell r="B748" t="str">
            <v>22</v>
          </cell>
          <cell r="C748" t="str">
            <v>1</v>
          </cell>
          <cell r="D748" t="str">
            <v>B</v>
          </cell>
          <cell r="E748">
            <v>1</v>
          </cell>
          <cell r="F748">
            <v>2</v>
          </cell>
          <cell r="G748" t="str">
            <v>01-böl Alaptevékenységgel összefüggő egyéb bevételek</v>
          </cell>
        </row>
        <row r="749">
          <cell r="A749" t="str">
            <v>4</v>
          </cell>
          <cell r="B749" t="str">
            <v>22</v>
          </cell>
          <cell r="C749" t="str">
            <v>1</v>
          </cell>
          <cell r="D749" t="str">
            <v>B</v>
          </cell>
          <cell r="E749">
            <v>1</v>
          </cell>
          <cell r="F749">
            <v>2</v>
          </cell>
          <cell r="G749" t="str">
            <v>01-böl Intézmények egyéb sajátos bevételei</v>
          </cell>
        </row>
        <row r="750">
          <cell r="A750" t="str">
            <v>5</v>
          </cell>
          <cell r="B750" t="str">
            <v>22</v>
          </cell>
          <cell r="C750" t="str">
            <v>1</v>
          </cell>
          <cell r="D750" t="str">
            <v>B</v>
          </cell>
          <cell r="E750">
            <v>1</v>
          </cell>
          <cell r="F750">
            <v>0</v>
          </cell>
          <cell r="G750" t="str">
            <v>Önkormányzatok sajátos müködési bevételei</v>
          </cell>
        </row>
        <row r="751">
          <cell r="A751" t="str">
            <v>6</v>
          </cell>
          <cell r="B751" t="str">
            <v>22</v>
          </cell>
          <cell r="C751" t="str">
            <v>1</v>
          </cell>
          <cell r="D751" t="str">
            <v>B</v>
          </cell>
          <cell r="E751">
            <v>1</v>
          </cell>
          <cell r="F751">
            <v>3</v>
          </cell>
          <cell r="G751" t="str">
            <v>Intézmények és önkormányzatok müködési bev.(01+05)</v>
          </cell>
        </row>
        <row r="752">
          <cell r="A752" t="str">
            <v>7</v>
          </cell>
          <cell r="B752" t="str">
            <v>22</v>
          </cell>
          <cell r="C752" t="str">
            <v>1</v>
          </cell>
          <cell r="D752" t="str">
            <v>B</v>
          </cell>
          <cell r="E752">
            <v>1</v>
          </cell>
          <cell r="F752">
            <v>0</v>
          </cell>
          <cell r="G752" t="str">
            <v>Felhalmozási és töke jellegü bevételek</v>
          </cell>
        </row>
        <row r="753">
          <cell r="A753" t="str">
            <v>8</v>
          </cell>
          <cell r="B753" t="str">
            <v>22</v>
          </cell>
          <cell r="C753" t="str">
            <v>1</v>
          </cell>
          <cell r="D753" t="str">
            <v>B</v>
          </cell>
          <cell r="E753">
            <v>1</v>
          </cell>
          <cell r="F753">
            <v>0</v>
          </cell>
          <cell r="G753" t="str">
            <v>Támogatások, kiegészitések és átvett pénzeszközök</v>
          </cell>
        </row>
        <row r="754">
          <cell r="A754" t="str">
            <v>9</v>
          </cell>
          <cell r="B754" t="str">
            <v>22</v>
          </cell>
          <cell r="C754" t="str">
            <v>1</v>
          </cell>
          <cell r="D754" t="str">
            <v>B</v>
          </cell>
          <cell r="E754">
            <v>1</v>
          </cell>
          <cell r="F754">
            <v>2</v>
          </cell>
          <cell r="G754" t="str">
            <v>08-bol Felügyeleti szervtöl kapott támogatás</v>
          </cell>
        </row>
        <row r="755">
          <cell r="A755" t="str">
            <v>10</v>
          </cell>
          <cell r="B755" t="str">
            <v>22</v>
          </cell>
          <cell r="C755" t="str">
            <v>1</v>
          </cell>
          <cell r="D755" t="str">
            <v>B</v>
          </cell>
          <cell r="E755">
            <v>1</v>
          </cell>
          <cell r="F755">
            <v>2</v>
          </cell>
          <cell r="G755" t="str">
            <v>08-bol Önkormányzatok költségvetési támogatása</v>
          </cell>
        </row>
        <row r="756">
          <cell r="A756" t="str">
            <v>11</v>
          </cell>
          <cell r="B756" t="str">
            <v>22</v>
          </cell>
          <cell r="C756" t="str">
            <v>1</v>
          </cell>
          <cell r="D756" t="str">
            <v>B</v>
          </cell>
          <cell r="E756">
            <v>1</v>
          </cell>
          <cell r="F756">
            <v>2</v>
          </cell>
          <cell r="G756" t="str">
            <v>08-bol mük.c.p.eszközátvétel vállalkozásoktol</v>
          </cell>
        </row>
        <row r="757">
          <cell r="A757" t="str">
            <v>12</v>
          </cell>
          <cell r="B757" t="str">
            <v>22</v>
          </cell>
          <cell r="C757" t="str">
            <v>1</v>
          </cell>
          <cell r="D757" t="str">
            <v>B</v>
          </cell>
          <cell r="E757">
            <v>1</v>
          </cell>
          <cell r="F757">
            <v>2</v>
          </cell>
          <cell r="G757" t="str">
            <v>08-bol mük.c.p.eszközátvét.háztartásoktol</v>
          </cell>
        </row>
        <row r="758">
          <cell r="A758" t="str">
            <v>13</v>
          </cell>
          <cell r="B758" t="str">
            <v>22</v>
          </cell>
          <cell r="C758" t="str">
            <v>1</v>
          </cell>
          <cell r="D758" t="str">
            <v>B</v>
          </cell>
          <cell r="E758">
            <v>1</v>
          </cell>
          <cell r="F758">
            <v>2</v>
          </cell>
          <cell r="G758" t="str">
            <v>08-bol mük.c.p.eszközátvét.non-profit szerv.</v>
          </cell>
        </row>
        <row r="759">
          <cell r="A759" t="str">
            <v>14</v>
          </cell>
          <cell r="B759" t="str">
            <v>22</v>
          </cell>
          <cell r="C759" t="str">
            <v>1</v>
          </cell>
          <cell r="D759" t="str">
            <v>B</v>
          </cell>
          <cell r="E759">
            <v>1</v>
          </cell>
          <cell r="F759">
            <v>2</v>
          </cell>
          <cell r="G759" t="str">
            <v>08-bol mük.c.p.eszközátvét.egyéb belföldi forrásból</v>
          </cell>
        </row>
        <row r="760">
          <cell r="A760" t="str">
            <v>15</v>
          </cell>
          <cell r="B760" t="str">
            <v>22</v>
          </cell>
          <cell r="C760" t="str">
            <v>1</v>
          </cell>
          <cell r="D760" t="str">
            <v>B</v>
          </cell>
          <cell r="E760">
            <v>1</v>
          </cell>
          <cell r="F760">
            <v>3</v>
          </cell>
          <cell r="G760" t="str">
            <v>08-bol mük.c.pe.átvét.áht.kiv.belföldi f.(11+.+14)</v>
          </cell>
        </row>
        <row r="761">
          <cell r="A761" t="str">
            <v>16</v>
          </cell>
          <cell r="B761" t="str">
            <v>22</v>
          </cell>
          <cell r="C761" t="str">
            <v>1</v>
          </cell>
          <cell r="D761" t="str">
            <v>B</v>
          </cell>
          <cell r="E761">
            <v>1</v>
          </cell>
          <cell r="F761">
            <v>2</v>
          </cell>
          <cell r="G761" t="str">
            <v>08-bol mük.célra kapott juttatások EU-tol</v>
          </cell>
        </row>
        <row r="762">
          <cell r="A762" t="str">
            <v>17</v>
          </cell>
          <cell r="B762" t="str">
            <v>22</v>
          </cell>
          <cell r="C762" t="str">
            <v>1</v>
          </cell>
          <cell r="D762" t="str">
            <v>B</v>
          </cell>
          <cell r="E762">
            <v>1</v>
          </cell>
          <cell r="F762">
            <v>2</v>
          </cell>
          <cell r="G762" t="str">
            <v>08-bol mük.célra kapott jut.nemzetközi szerv-töl</v>
          </cell>
        </row>
        <row r="763">
          <cell r="A763" t="str">
            <v>18</v>
          </cell>
          <cell r="B763" t="str">
            <v>22</v>
          </cell>
          <cell r="C763" t="str">
            <v>1</v>
          </cell>
          <cell r="D763" t="str">
            <v>B</v>
          </cell>
          <cell r="E763">
            <v>1</v>
          </cell>
          <cell r="F763">
            <v>2</v>
          </cell>
          <cell r="G763" t="str">
            <v>08-bol mük.célra kapott juttatások kormányoktol</v>
          </cell>
        </row>
        <row r="764">
          <cell r="A764" t="str">
            <v>19</v>
          </cell>
          <cell r="B764" t="str">
            <v>22</v>
          </cell>
          <cell r="C764" t="str">
            <v>1</v>
          </cell>
          <cell r="D764" t="str">
            <v>B</v>
          </cell>
          <cell r="E764">
            <v>1</v>
          </cell>
          <cell r="F764">
            <v>2</v>
          </cell>
          <cell r="G764" t="str">
            <v>08-bol mük.célra kapott jut.külföldi magánforrásokból</v>
          </cell>
        </row>
        <row r="765">
          <cell r="A765" t="str">
            <v>20</v>
          </cell>
          <cell r="B765" t="str">
            <v>22</v>
          </cell>
          <cell r="C765" t="str">
            <v>1</v>
          </cell>
          <cell r="D765" t="str">
            <v>B</v>
          </cell>
          <cell r="E765">
            <v>1</v>
          </cell>
          <cell r="F765">
            <v>3</v>
          </cell>
          <cell r="G765" t="str">
            <v>08-bol mük.c.pe.átvétel más külf.f.(17+18+19)</v>
          </cell>
        </row>
        <row r="766">
          <cell r="A766" t="str">
            <v>21</v>
          </cell>
          <cell r="B766" t="str">
            <v>22</v>
          </cell>
          <cell r="C766" t="str">
            <v>1</v>
          </cell>
          <cell r="D766" t="str">
            <v>B</v>
          </cell>
          <cell r="E766">
            <v>1</v>
          </cell>
          <cell r="F766">
            <v>3</v>
          </cell>
          <cell r="G766" t="str">
            <v>08-bol mük.c.pe.átvétel államh.kiv.(15+16+20)</v>
          </cell>
        </row>
        <row r="767">
          <cell r="A767" t="str">
            <v>22</v>
          </cell>
          <cell r="B767" t="str">
            <v>22</v>
          </cell>
          <cell r="C767" t="str">
            <v>1</v>
          </cell>
          <cell r="D767" t="str">
            <v>B</v>
          </cell>
          <cell r="E767">
            <v>1</v>
          </cell>
          <cell r="F767">
            <v>2</v>
          </cell>
          <cell r="G767" t="str">
            <v>08-bol mük.c.pe.átvétel fejezeten (önk.)belül</v>
          </cell>
        </row>
        <row r="768">
          <cell r="A768" t="str">
            <v>23</v>
          </cell>
          <cell r="B768" t="str">
            <v>22</v>
          </cell>
          <cell r="C768" t="str">
            <v>1</v>
          </cell>
          <cell r="D768" t="str">
            <v>B</v>
          </cell>
          <cell r="E768">
            <v>1</v>
          </cell>
          <cell r="F768">
            <v>2</v>
          </cell>
          <cell r="G768" t="str">
            <v>08-bol mük.c.pe.átvétel központi kgtv-i szervtől</v>
          </cell>
        </row>
        <row r="769">
          <cell r="A769" t="str">
            <v>24</v>
          </cell>
          <cell r="B769" t="str">
            <v>22</v>
          </cell>
          <cell r="C769" t="str">
            <v>1</v>
          </cell>
          <cell r="D769" t="str">
            <v>B</v>
          </cell>
          <cell r="E769">
            <v>1</v>
          </cell>
          <cell r="F769">
            <v>2</v>
          </cell>
          <cell r="G769" t="str">
            <v>08-bol mük.c.pe.átvétel önk.kgtv-i szervtöl</v>
          </cell>
        </row>
        <row r="770">
          <cell r="A770" t="str">
            <v>25</v>
          </cell>
          <cell r="B770" t="str">
            <v>22</v>
          </cell>
          <cell r="C770" t="str">
            <v>1</v>
          </cell>
          <cell r="D770" t="str">
            <v>B</v>
          </cell>
          <cell r="E770">
            <v>1</v>
          </cell>
          <cell r="F770">
            <v>2</v>
          </cell>
          <cell r="G770" t="str">
            <v>08-bol mük.c.pe.átvétel tb alapoktol és kez.</v>
          </cell>
        </row>
        <row r="771">
          <cell r="A771" t="str">
            <v>26</v>
          </cell>
          <cell r="B771" t="str">
            <v>22</v>
          </cell>
          <cell r="C771" t="str">
            <v>1</v>
          </cell>
          <cell r="D771" t="str">
            <v>B</v>
          </cell>
          <cell r="E771">
            <v>1</v>
          </cell>
          <cell r="F771">
            <v>2</v>
          </cell>
          <cell r="G771" t="str">
            <v>08-bol mük.c.pe.átvétel elkül.állami pénzalap.</v>
          </cell>
        </row>
        <row r="772">
          <cell r="A772" t="str">
            <v>27</v>
          </cell>
          <cell r="B772" t="str">
            <v>22</v>
          </cell>
          <cell r="C772" t="str">
            <v>1</v>
          </cell>
          <cell r="D772" t="str">
            <v>B</v>
          </cell>
          <cell r="E772">
            <v>1</v>
          </cell>
          <cell r="F772">
            <v>2</v>
          </cell>
          <cell r="G772" t="str">
            <v>08-bol mük.c.pe.átvétel fejezeti kez.elöirány.</v>
          </cell>
        </row>
        <row r="773">
          <cell r="A773" t="str">
            <v>28</v>
          </cell>
          <cell r="B773" t="str">
            <v>22</v>
          </cell>
          <cell r="C773" t="str">
            <v>1</v>
          </cell>
          <cell r="D773" t="str">
            <v>B</v>
          </cell>
          <cell r="E773">
            <v>1</v>
          </cell>
          <cell r="F773">
            <v>3</v>
          </cell>
          <cell r="G773" t="str">
            <v>08-bol mük.c.pe.átvétel államh.bel.(22+..+27)</v>
          </cell>
        </row>
        <row r="774">
          <cell r="A774" t="str">
            <v>29</v>
          </cell>
          <cell r="B774" t="str">
            <v>22</v>
          </cell>
          <cell r="C774" t="str">
            <v>1</v>
          </cell>
          <cell r="D774" t="str">
            <v>B</v>
          </cell>
          <cell r="E774">
            <v>1</v>
          </cell>
          <cell r="F774">
            <v>3</v>
          </cell>
          <cell r="G774" t="str">
            <v>08-bol mük.célra kapott juttatások (21+28)</v>
          </cell>
        </row>
        <row r="775">
          <cell r="A775" t="str">
            <v>30</v>
          </cell>
          <cell r="B775" t="str">
            <v>22</v>
          </cell>
          <cell r="C775" t="str">
            <v>1</v>
          </cell>
          <cell r="D775" t="str">
            <v>B</v>
          </cell>
          <cell r="E775">
            <v>1</v>
          </cell>
          <cell r="F775">
            <v>2</v>
          </cell>
          <cell r="G775" t="str">
            <v>08-bol felh.c.p.eszközátvétel háztartásoktol</v>
          </cell>
        </row>
        <row r="776">
          <cell r="A776" t="str">
            <v>31</v>
          </cell>
          <cell r="B776" t="str">
            <v>22</v>
          </cell>
          <cell r="C776" t="str">
            <v>1</v>
          </cell>
          <cell r="D776" t="str">
            <v>B</v>
          </cell>
          <cell r="E776">
            <v>1</v>
          </cell>
          <cell r="F776">
            <v>2</v>
          </cell>
          <cell r="G776" t="str">
            <v>08-bol felh.c.p.eszk.átvétel non-profit szervezetektől</v>
          </cell>
        </row>
        <row r="777">
          <cell r="A777" t="str">
            <v>32</v>
          </cell>
          <cell r="B777" t="str">
            <v>22</v>
          </cell>
          <cell r="C777" t="str">
            <v>1</v>
          </cell>
          <cell r="D777" t="str">
            <v>B</v>
          </cell>
          <cell r="E777">
            <v>1</v>
          </cell>
          <cell r="F777">
            <v>2</v>
          </cell>
          <cell r="G777" t="str">
            <v>08-bol felh.c.p.eszközátvétel vállalkozásoktól</v>
          </cell>
        </row>
        <row r="778">
          <cell r="A778" t="str">
            <v>33</v>
          </cell>
          <cell r="B778" t="str">
            <v>22</v>
          </cell>
          <cell r="C778" t="str">
            <v>1</v>
          </cell>
          <cell r="D778" t="str">
            <v>B</v>
          </cell>
          <cell r="E778">
            <v>1</v>
          </cell>
          <cell r="F778">
            <v>2</v>
          </cell>
          <cell r="G778" t="str">
            <v>08-bol felh.c.p.eszközátvétel pü-i vállalkozásoktól</v>
          </cell>
        </row>
        <row r="779">
          <cell r="A779" t="str">
            <v>34</v>
          </cell>
          <cell r="B779" t="str">
            <v>22</v>
          </cell>
          <cell r="C779" t="str">
            <v>1</v>
          </cell>
          <cell r="D779" t="str">
            <v>B</v>
          </cell>
          <cell r="E779">
            <v>1</v>
          </cell>
          <cell r="F779">
            <v>3</v>
          </cell>
          <cell r="G779" t="str">
            <v>08-bol felh.c.pe.átvétel áht-n kiv.belf.for.(30+.+33)</v>
          </cell>
        </row>
        <row r="780">
          <cell r="A780" t="str">
            <v>35</v>
          </cell>
          <cell r="B780" t="str">
            <v>22</v>
          </cell>
          <cell r="C780" t="str">
            <v>1</v>
          </cell>
          <cell r="D780" t="str">
            <v>B</v>
          </cell>
          <cell r="E780">
            <v>1</v>
          </cell>
          <cell r="F780">
            <v>2</v>
          </cell>
          <cell r="G780" t="str">
            <v>08-bol felh.c.kapott juttatások EU-tol</v>
          </cell>
        </row>
        <row r="781">
          <cell r="A781" t="str">
            <v>36</v>
          </cell>
          <cell r="B781" t="str">
            <v>22</v>
          </cell>
          <cell r="C781" t="str">
            <v>1</v>
          </cell>
          <cell r="D781" t="str">
            <v>B</v>
          </cell>
          <cell r="E781">
            <v>1</v>
          </cell>
          <cell r="F781">
            <v>2</v>
          </cell>
          <cell r="G781" t="str">
            <v>08-bol felh.c.kapott jut.nemzetközi szervezetektől</v>
          </cell>
        </row>
        <row r="782">
          <cell r="A782" t="str">
            <v>37</v>
          </cell>
          <cell r="B782" t="str">
            <v>22</v>
          </cell>
          <cell r="C782" t="str">
            <v>1</v>
          </cell>
          <cell r="D782" t="str">
            <v>B</v>
          </cell>
          <cell r="E782">
            <v>1</v>
          </cell>
          <cell r="F782">
            <v>2</v>
          </cell>
          <cell r="G782" t="str">
            <v>08-bol felh.c.kapott juttatások kormányoktol</v>
          </cell>
        </row>
        <row r="783">
          <cell r="A783" t="str">
            <v>38</v>
          </cell>
          <cell r="B783" t="str">
            <v>22</v>
          </cell>
          <cell r="C783" t="str">
            <v>1</v>
          </cell>
          <cell r="D783" t="str">
            <v>B</v>
          </cell>
          <cell r="E783">
            <v>1</v>
          </cell>
          <cell r="F783">
            <v>2</v>
          </cell>
          <cell r="G783" t="str">
            <v>08-bol felh.c.kapott jut.külföldről (nem korm.)</v>
          </cell>
        </row>
        <row r="784">
          <cell r="A784" t="str">
            <v>39</v>
          </cell>
          <cell r="B784" t="str">
            <v>22</v>
          </cell>
          <cell r="C784" t="str">
            <v>1</v>
          </cell>
          <cell r="D784" t="str">
            <v>B</v>
          </cell>
          <cell r="E784">
            <v>1</v>
          </cell>
          <cell r="F784">
            <v>3</v>
          </cell>
          <cell r="G784" t="str">
            <v>08-bol felh.c.pe.kapott más külföldi f.(36+37+38)</v>
          </cell>
        </row>
        <row r="785">
          <cell r="A785" t="str">
            <v>40</v>
          </cell>
          <cell r="B785" t="str">
            <v>22</v>
          </cell>
          <cell r="C785" t="str">
            <v>1</v>
          </cell>
          <cell r="D785" t="str">
            <v>B</v>
          </cell>
          <cell r="E785">
            <v>1</v>
          </cell>
          <cell r="F785">
            <v>3</v>
          </cell>
          <cell r="G785" t="str">
            <v>08-bol felh.c.pe.átvét.államh.kiv(34+35+39)</v>
          </cell>
        </row>
        <row r="786">
          <cell r="A786" t="str">
            <v>41</v>
          </cell>
          <cell r="B786" t="str">
            <v>22</v>
          </cell>
          <cell r="C786" t="str">
            <v>1</v>
          </cell>
          <cell r="D786" t="str">
            <v>B</v>
          </cell>
          <cell r="E786">
            <v>1</v>
          </cell>
          <cell r="F786">
            <v>2</v>
          </cell>
          <cell r="G786" t="str">
            <v>08-bol felh.c.pe.átvét.fejezeten (önk.)belül</v>
          </cell>
        </row>
        <row r="787">
          <cell r="A787" t="str">
            <v>42</v>
          </cell>
          <cell r="B787" t="str">
            <v>22</v>
          </cell>
          <cell r="C787" t="str">
            <v>1</v>
          </cell>
          <cell r="D787" t="str">
            <v>B</v>
          </cell>
          <cell r="E787">
            <v>1</v>
          </cell>
          <cell r="F787">
            <v>2</v>
          </cell>
          <cell r="G787" t="str">
            <v>08-bol felh.c.pe.átvét.központi kgtv-i szer.</v>
          </cell>
        </row>
        <row r="788">
          <cell r="A788" t="str">
            <v>43</v>
          </cell>
          <cell r="B788" t="str">
            <v>22</v>
          </cell>
          <cell r="C788" t="str">
            <v>1</v>
          </cell>
          <cell r="D788" t="str">
            <v>B</v>
          </cell>
          <cell r="E788">
            <v>1</v>
          </cell>
          <cell r="F788">
            <v>2</v>
          </cell>
          <cell r="G788" t="str">
            <v>08-bol felh.c.pe.átvét.önk.kgtv-i szervtöl</v>
          </cell>
        </row>
        <row r="789">
          <cell r="A789" t="str">
            <v>44</v>
          </cell>
          <cell r="B789" t="str">
            <v>22</v>
          </cell>
          <cell r="C789" t="str">
            <v>1</v>
          </cell>
          <cell r="D789" t="str">
            <v>B</v>
          </cell>
          <cell r="E789">
            <v>1</v>
          </cell>
          <cell r="F789">
            <v>2</v>
          </cell>
          <cell r="G789" t="str">
            <v>08-bol felh.c.pe.átvét.tb alapoktol és kez.</v>
          </cell>
        </row>
        <row r="790">
          <cell r="A790" t="str">
            <v>45</v>
          </cell>
          <cell r="B790" t="str">
            <v>22</v>
          </cell>
          <cell r="C790" t="str">
            <v>1</v>
          </cell>
          <cell r="D790" t="str">
            <v>B</v>
          </cell>
          <cell r="E790">
            <v>1</v>
          </cell>
          <cell r="F790">
            <v>2</v>
          </cell>
          <cell r="G790" t="str">
            <v>08-bol felh.c.pe.átvét.elkül.állami pénzalap</v>
          </cell>
        </row>
        <row r="791">
          <cell r="A791" t="str">
            <v>46</v>
          </cell>
          <cell r="B791" t="str">
            <v>22</v>
          </cell>
          <cell r="C791" t="str">
            <v>1</v>
          </cell>
          <cell r="D791" t="str">
            <v>B</v>
          </cell>
          <cell r="E791">
            <v>1</v>
          </cell>
          <cell r="F791">
            <v>2</v>
          </cell>
          <cell r="G791" t="str">
            <v>08-bol felh.c.pe.átvét.fejezeti kez.elöir.</v>
          </cell>
        </row>
        <row r="792">
          <cell r="A792" t="str">
            <v>47</v>
          </cell>
          <cell r="B792" t="str">
            <v>22</v>
          </cell>
          <cell r="C792" t="str">
            <v>1</v>
          </cell>
          <cell r="D792" t="str">
            <v>B</v>
          </cell>
          <cell r="E792">
            <v>1</v>
          </cell>
          <cell r="F792">
            <v>3</v>
          </cell>
          <cell r="G792" t="str">
            <v>08-bol felh.c.pe.átvét.államh.bel(41+..+46)</v>
          </cell>
        </row>
        <row r="793">
          <cell r="A793" t="str">
            <v>48</v>
          </cell>
          <cell r="B793" t="str">
            <v>22</v>
          </cell>
          <cell r="C793" t="str">
            <v>1</v>
          </cell>
          <cell r="D793" t="str">
            <v>B</v>
          </cell>
          <cell r="E793">
            <v>1</v>
          </cell>
          <cell r="F793">
            <v>3</v>
          </cell>
          <cell r="G793" t="str">
            <v>08-bol felh.célu p.eszközátvételek (40+47)</v>
          </cell>
        </row>
        <row r="794">
          <cell r="A794" t="str">
            <v>49</v>
          </cell>
          <cell r="B794" t="str">
            <v>22</v>
          </cell>
          <cell r="C794" t="str">
            <v>1</v>
          </cell>
          <cell r="D794" t="str">
            <v>B</v>
          </cell>
          <cell r="E794">
            <v>1</v>
          </cell>
          <cell r="F794">
            <v>0</v>
          </cell>
          <cell r="G794" t="str">
            <v>Támogatási kölcsönök igénybevétele és visszatérülése</v>
          </cell>
        </row>
        <row r="795">
          <cell r="A795" t="str">
            <v>50</v>
          </cell>
          <cell r="B795" t="str">
            <v>22</v>
          </cell>
          <cell r="C795" t="str">
            <v>1</v>
          </cell>
          <cell r="D795" t="str">
            <v>B</v>
          </cell>
          <cell r="E795">
            <v>1</v>
          </cell>
          <cell r="F795">
            <v>3</v>
          </cell>
          <cell r="G795" t="str">
            <v>Pénzforgalmi bevételek (06+07+08+49)</v>
          </cell>
        </row>
        <row r="796">
          <cell r="A796" t="str">
            <v>51</v>
          </cell>
          <cell r="B796" t="str">
            <v>22</v>
          </cell>
          <cell r="C796" t="str">
            <v>1</v>
          </cell>
          <cell r="D796" t="str">
            <v>B</v>
          </cell>
          <cell r="E796">
            <v>1</v>
          </cell>
          <cell r="F796">
            <v>0</v>
          </cell>
          <cell r="G796" t="str">
            <v>Pénzforgalom nélküli bevételek</v>
          </cell>
        </row>
        <row r="797">
          <cell r="A797" t="str">
            <v>52</v>
          </cell>
          <cell r="B797" t="str">
            <v>22</v>
          </cell>
          <cell r="C797" t="str">
            <v>1</v>
          </cell>
          <cell r="D797" t="str">
            <v>B</v>
          </cell>
          <cell r="E797">
            <v>1</v>
          </cell>
          <cell r="F797">
            <v>3</v>
          </cell>
          <cell r="G797" t="str">
            <v>Költségvetési bevételek (50+51)</v>
          </cell>
        </row>
        <row r="798">
          <cell r="A798" t="str">
            <v>53</v>
          </cell>
          <cell r="B798" t="str">
            <v>22</v>
          </cell>
          <cell r="C798" t="str">
            <v>1</v>
          </cell>
          <cell r="D798" t="str">
            <v>B</v>
          </cell>
          <cell r="E798">
            <v>1</v>
          </cell>
          <cell r="F798">
            <v>0</v>
          </cell>
          <cell r="G798" t="str">
            <v>Finanszirozás bevételei</v>
          </cell>
        </row>
        <row r="799">
          <cell r="A799" t="str">
            <v>54</v>
          </cell>
          <cell r="B799" t="str">
            <v>22</v>
          </cell>
          <cell r="C799" t="str">
            <v>1</v>
          </cell>
          <cell r="D799" t="str">
            <v>B</v>
          </cell>
          <cell r="E799">
            <v>1</v>
          </cell>
          <cell r="F799">
            <v>3</v>
          </cell>
          <cell r="G799" t="str">
            <v>Bevételek összesen (52+53)</v>
          </cell>
        </row>
        <row r="800">
          <cell r="A800" t="str">
            <v>1</v>
          </cell>
          <cell r="B800" t="str">
            <v>23</v>
          </cell>
          <cell r="C800" t="str">
            <v>1</v>
          </cell>
          <cell r="D800" t="str">
            <v>B</v>
          </cell>
          <cell r="E800">
            <v>1</v>
          </cell>
          <cell r="F800">
            <v>0</v>
          </cell>
          <cell r="G800" t="str">
            <v>Személyi juttatások (=02/49)</v>
          </cell>
        </row>
        <row r="801">
          <cell r="A801" t="str">
            <v>2</v>
          </cell>
          <cell r="B801" t="str">
            <v>23</v>
          </cell>
          <cell r="C801" t="str">
            <v>1</v>
          </cell>
          <cell r="D801" t="str">
            <v>B</v>
          </cell>
          <cell r="E801">
            <v>1</v>
          </cell>
          <cell r="F801">
            <v>0</v>
          </cell>
          <cell r="G801" t="str">
            <v>Munkaadokat terhelö járulék (=02/56)</v>
          </cell>
        </row>
        <row r="802">
          <cell r="A802" t="str">
            <v>3</v>
          </cell>
          <cell r="B802" t="str">
            <v>23</v>
          </cell>
          <cell r="C802" t="str">
            <v>1</v>
          </cell>
          <cell r="D802" t="str">
            <v>B</v>
          </cell>
          <cell r="E802">
            <v>1</v>
          </cell>
          <cell r="F802">
            <v>0</v>
          </cell>
          <cell r="G802" t="str">
            <v>Dologi kiadások (=03/61-03/58)</v>
          </cell>
        </row>
        <row r="803">
          <cell r="A803" t="str">
            <v>4</v>
          </cell>
          <cell r="B803" t="str">
            <v>23</v>
          </cell>
          <cell r="C803" t="str">
            <v>1</v>
          </cell>
          <cell r="D803" t="str">
            <v>B</v>
          </cell>
          <cell r="E803">
            <v>1</v>
          </cell>
          <cell r="F803">
            <v>0</v>
          </cell>
          <cell r="G803" t="str">
            <v>Ellátottak pénzbeli juttatásai (=04/17)</v>
          </cell>
        </row>
        <row r="804">
          <cell r="A804" t="str">
            <v>5</v>
          </cell>
          <cell r="B804" t="str">
            <v>23</v>
          </cell>
          <cell r="C804" t="str">
            <v>1</v>
          </cell>
          <cell r="D804" t="str">
            <v>B</v>
          </cell>
          <cell r="E804">
            <v>1</v>
          </cell>
          <cell r="F804">
            <v>0</v>
          </cell>
          <cell r="G804" t="str">
            <v>Egyéb mük.célu támog,folyo kiad.(=04/01+02+03+10+18+...+21)</v>
          </cell>
        </row>
        <row r="805">
          <cell r="A805" t="str">
            <v>6</v>
          </cell>
          <cell r="B805" t="str">
            <v>23</v>
          </cell>
          <cell r="C805" t="str">
            <v>1</v>
          </cell>
          <cell r="D805" t="str">
            <v>B</v>
          </cell>
          <cell r="E805">
            <v>1</v>
          </cell>
          <cell r="F805">
            <v>0</v>
          </cell>
          <cell r="G805" t="str">
            <v>Kamatkiadások (=03/58)</v>
          </cell>
        </row>
        <row r="806">
          <cell r="A806" t="str">
            <v>7</v>
          </cell>
          <cell r="B806" t="str">
            <v>23</v>
          </cell>
          <cell r="C806" t="str">
            <v>1</v>
          </cell>
          <cell r="D806" t="str">
            <v>B</v>
          </cell>
          <cell r="E806">
            <v>1</v>
          </cell>
          <cell r="F806">
            <v>2</v>
          </cell>
          <cell r="G806" t="str">
            <v>Müködési költségvetés (01+...+06)</v>
          </cell>
        </row>
        <row r="807">
          <cell r="A807" t="str">
            <v>8</v>
          </cell>
          <cell r="B807" t="str">
            <v>23</v>
          </cell>
          <cell r="C807" t="str">
            <v>1</v>
          </cell>
          <cell r="D807" t="str">
            <v>B</v>
          </cell>
          <cell r="E807">
            <v>1</v>
          </cell>
          <cell r="F807">
            <v>0</v>
          </cell>
          <cell r="G807" t="str">
            <v>Intézményi beruházási kiadások (=05/13+05/27)</v>
          </cell>
        </row>
        <row r="808">
          <cell r="A808" t="str">
            <v>9</v>
          </cell>
          <cell r="B808" t="str">
            <v>23</v>
          </cell>
          <cell r="C808" t="str">
            <v>1</v>
          </cell>
          <cell r="D808" t="str">
            <v>B</v>
          </cell>
          <cell r="E808">
            <v>1</v>
          </cell>
          <cell r="F808">
            <v>0</v>
          </cell>
          <cell r="G808" t="str">
            <v>Felújítás (=05/06)</v>
          </cell>
        </row>
        <row r="809">
          <cell r="A809" t="str">
            <v>10</v>
          </cell>
          <cell r="B809" t="str">
            <v>23</v>
          </cell>
          <cell r="C809" t="str">
            <v>1</v>
          </cell>
          <cell r="D809" t="str">
            <v>B</v>
          </cell>
          <cell r="E809">
            <v>1</v>
          </cell>
          <cell r="F809">
            <v>0</v>
          </cell>
          <cell r="G809" t="str">
            <v>Egyéb intézményi felhalm.kiad.(=04/04+05 +05/26+30+31+38)</v>
          </cell>
        </row>
        <row r="810">
          <cell r="A810" t="str">
            <v>11</v>
          </cell>
          <cell r="B810" t="str">
            <v>23</v>
          </cell>
          <cell r="C810" t="str">
            <v>1</v>
          </cell>
          <cell r="D810" t="str">
            <v>B</v>
          </cell>
          <cell r="E810">
            <v>1</v>
          </cell>
          <cell r="F810">
            <v>0</v>
          </cell>
          <cell r="G810" t="str">
            <v>Központi beruházási kiadások (=05/21+05/28)</v>
          </cell>
        </row>
        <row r="811">
          <cell r="A811" t="str">
            <v>12</v>
          </cell>
          <cell r="B811" t="str">
            <v>23</v>
          </cell>
          <cell r="C811" t="str">
            <v>1</v>
          </cell>
          <cell r="D811" t="str">
            <v>B</v>
          </cell>
          <cell r="E811">
            <v>1</v>
          </cell>
          <cell r="F811">
            <v>0</v>
          </cell>
          <cell r="G811" t="str">
            <v>Lakástámogatás (=05/23)</v>
          </cell>
        </row>
        <row r="812">
          <cell r="A812" t="str">
            <v>13</v>
          </cell>
          <cell r="B812" t="str">
            <v>23</v>
          </cell>
          <cell r="C812" t="str">
            <v>1</v>
          </cell>
          <cell r="D812" t="str">
            <v>B</v>
          </cell>
          <cell r="E812">
            <v>1</v>
          </cell>
          <cell r="F812">
            <v>0</v>
          </cell>
          <cell r="G812" t="str">
            <v>Lakásépités (=05/25+05/29)</v>
          </cell>
        </row>
        <row r="813">
          <cell r="A813" t="str">
            <v>14</v>
          </cell>
          <cell r="B813" t="str">
            <v>23</v>
          </cell>
          <cell r="C813" t="str">
            <v>1</v>
          </cell>
          <cell r="D813" t="str">
            <v>B</v>
          </cell>
          <cell r="E813">
            <v>1</v>
          </cell>
          <cell r="F813">
            <v>2</v>
          </cell>
          <cell r="G813" t="str">
            <v>Felhalmozási kiadások (08+...+13)</v>
          </cell>
        </row>
        <row r="814">
          <cell r="A814" t="str">
            <v>15</v>
          </cell>
          <cell r="B814" t="str">
            <v>23</v>
          </cell>
          <cell r="C814" t="str">
            <v>1</v>
          </cell>
          <cell r="D814" t="str">
            <v>B</v>
          </cell>
          <cell r="E814">
            <v>1</v>
          </cell>
          <cell r="F814">
            <v>0</v>
          </cell>
          <cell r="G814" t="str">
            <v>Kölcsön nyujtása,törlesztése (=06/53)</v>
          </cell>
        </row>
        <row r="815">
          <cell r="A815" t="str">
            <v>16</v>
          </cell>
          <cell r="B815" t="str">
            <v>23</v>
          </cell>
          <cell r="C815" t="str">
            <v>1</v>
          </cell>
          <cell r="D815" t="str">
            <v>B</v>
          </cell>
          <cell r="E815">
            <v>1</v>
          </cell>
          <cell r="F815">
            <v>0</v>
          </cell>
          <cell r="G815" t="str">
            <v>Pénzforgalom nélküli kiadások (=06/71+06/72)</v>
          </cell>
        </row>
        <row r="816">
          <cell r="A816" t="str">
            <v>17</v>
          </cell>
          <cell r="B816" t="str">
            <v>23</v>
          </cell>
          <cell r="C816" t="str">
            <v>1</v>
          </cell>
          <cell r="D816" t="str">
            <v>B</v>
          </cell>
          <cell r="E816">
            <v>1</v>
          </cell>
          <cell r="F816">
            <v>2</v>
          </cell>
          <cell r="G816" t="str">
            <v>Költségvetési kiadások összesen  (07+14+15+16)</v>
          </cell>
        </row>
        <row r="817">
          <cell r="A817" t="str">
            <v>18</v>
          </cell>
          <cell r="B817" t="str">
            <v>23</v>
          </cell>
          <cell r="C817" t="str">
            <v>1</v>
          </cell>
          <cell r="D817" t="str">
            <v>B</v>
          </cell>
          <cell r="E817">
            <v>1</v>
          </cell>
          <cell r="F817">
            <v>0</v>
          </cell>
          <cell r="G817" t="str">
            <v>Alap- és vállalkozási tev.közötti elszámolások (=06/73)</v>
          </cell>
        </row>
        <row r="818">
          <cell r="A818" t="str">
            <v>19</v>
          </cell>
          <cell r="B818" t="str">
            <v>23</v>
          </cell>
          <cell r="C818" t="str">
            <v>1</v>
          </cell>
          <cell r="D818" t="str">
            <v>B</v>
          </cell>
          <cell r="E818">
            <v>1</v>
          </cell>
          <cell r="F818">
            <v>0</v>
          </cell>
          <cell r="G818" t="str">
            <v>Finanszirozás kiadásai (=06/64+70+78)</v>
          </cell>
        </row>
        <row r="819">
          <cell r="A819" t="str">
            <v>20</v>
          </cell>
          <cell r="B819" t="str">
            <v>23</v>
          </cell>
          <cell r="C819" t="str">
            <v>1</v>
          </cell>
          <cell r="D819" t="str">
            <v>B</v>
          </cell>
          <cell r="E819">
            <v>2</v>
          </cell>
          <cell r="F819">
            <v>3</v>
          </cell>
          <cell r="G819" t="str">
            <v>K i a d á s o k  ö s s z e s e n  (17+18+19)</v>
          </cell>
        </row>
        <row r="820">
          <cell r="A820" t="str">
            <v>21</v>
          </cell>
          <cell r="B820" t="str">
            <v>23</v>
          </cell>
          <cell r="C820" t="str">
            <v>1</v>
          </cell>
          <cell r="D820" t="str">
            <v>B</v>
          </cell>
          <cell r="E820">
            <v>2</v>
          </cell>
          <cell r="F820">
            <v>0</v>
          </cell>
          <cell r="G820" t="str">
            <v>Müködési költségvetés bevételei (=07/32+37 +09/11+12+13)</v>
          </cell>
        </row>
        <row r="821">
          <cell r="A821" t="str">
            <v>22</v>
          </cell>
          <cell r="B821" t="str">
            <v>23</v>
          </cell>
          <cell r="C821" t="str">
            <v>1</v>
          </cell>
          <cell r="D821" t="str">
            <v>B</v>
          </cell>
          <cell r="E821">
            <v>1</v>
          </cell>
          <cell r="F821">
            <v>0</v>
          </cell>
          <cell r="G821" t="str">
            <v>Felhalmozási bevételek (=08/15+09/14+09/15)</v>
          </cell>
        </row>
        <row r="822">
          <cell r="A822" t="str">
            <v>23</v>
          </cell>
          <cell r="B822" t="str">
            <v>23</v>
          </cell>
          <cell r="C822" t="str">
            <v>1</v>
          </cell>
          <cell r="D822" t="str">
            <v>B</v>
          </cell>
          <cell r="E822">
            <v>1</v>
          </cell>
          <cell r="F822">
            <v>0</v>
          </cell>
          <cell r="G822" t="str">
            <v>Támogatási kölcsönök igénybevétele,visszatér(=10/25+10/50)</v>
          </cell>
        </row>
        <row r="823">
          <cell r="A823" t="str">
            <v>24</v>
          </cell>
          <cell r="B823" t="str">
            <v>23</v>
          </cell>
          <cell r="C823" t="str">
            <v>1</v>
          </cell>
          <cell r="D823" t="str">
            <v>B</v>
          </cell>
          <cell r="E823">
            <v>1</v>
          </cell>
          <cell r="F823">
            <v>0</v>
          </cell>
          <cell r="G823" t="str">
            <v>Költségvetési támogatás (= 09/04 vagy 09/05)</v>
          </cell>
        </row>
        <row r="824">
          <cell r="A824" t="str">
            <v>25</v>
          </cell>
          <cell r="B824" t="str">
            <v>23</v>
          </cell>
          <cell r="C824" t="str">
            <v>1</v>
          </cell>
          <cell r="D824" t="str">
            <v>B</v>
          </cell>
          <cell r="E824">
            <v>1</v>
          </cell>
          <cell r="F824">
            <v>0</v>
          </cell>
          <cell r="G824" t="str">
            <v>Pénzforgalom nélküli bevételek (=10/72+10/73)</v>
          </cell>
        </row>
        <row r="825">
          <cell r="A825" t="str">
            <v>26</v>
          </cell>
          <cell r="B825" t="str">
            <v>23</v>
          </cell>
          <cell r="C825" t="str">
            <v>1</v>
          </cell>
          <cell r="D825" t="str">
            <v>B</v>
          </cell>
          <cell r="E825">
            <v>1</v>
          </cell>
          <cell r="F825">
            <v>2</v>
          </cell>
          <cell r="G825" t="str">
            <v>Költségvetési bevételek összesen  (21+..+25)</v>
          </cell>
        </row>
        <row r="826">
          <cell r="A826" t="str">
            <v>27</v>
          </cell>
          <cell r="B826" t="str">
            <v>23</v>
          </cell>
          <cell r="C826" t="str">
            <v>1</v>
          </cell>
          <cell r="D826" t="str">
            <v>B</v>
          </cell>
          <cell r="E826">
            <v>1</v>
          </cell>
          <cell r="F826">
            <v>0</v>
          </cell>
          <cell r="G826" t="str">
            <v>Alap- és vállalkozási tev.közötti elszámolások (=10/74)</v>
          </cell>
        </row>
        <row r="827">
          <cell r="A827" t="str">
            <v>28</v>
          </cell>
          <cell r="B827" t="str">
            <v>23</v>
          </cell>
          <cell r="C827" t="str">
            <v>1</v>
          </cell>
          <cell r="D827" t="str">
            <v>B</v>
          </cell>
          <cell r="E827">
            <v>1</v>
          </cell>
          <cell r="F827">
            <v>0</v>
          </cell>
          <cell r="G827" t="str">
            <v>Finanszirozás bevételei (=10/65+71+79)</v>
          </cell>
        </row>
        <row r="828">
          <cell r="A828" t="str">
            <v>29</v>
          </cell>
          <cell r="B828" t="str">
            <v>23</v>
          </cell>
          <cell r="C828" t="str">
            <v>1</v>
          </cell>
          <cell r="D828" t="str">
            <v>B</v>
          </cell>
          <cell r="E828">
            <v>2</v>
          </cell>
          <cell r="F828">
            <v>3</v>
          </cell>
          <cell r="G828" t="str">
            <v>B e v é t e l e k  ö s s z e s e n  (26+27+28)</v>
          </cell>
        </row>
        <row r="829">
          <cell r="A829" t="str">
            <v>1</v>
          </cell>
          <cell r="B829" t="str">
            <v>24</v>
          </cell>
          <cell r="C829" t="str">
            <v>1</v>
          </cell>
          <cell r="D829" t="str">
            <v>B</v>
          </cell>
          <cell r="E829">
            <v>1</v>
          </cell>
          <cell r="F829">
            <v>0</v>
          </cell>
          <cell r="G829" t="str">
            <v>Pénzkészlet tárgyidö.elején-Ft.Költ.bankszámlák egyenlege</v>
          </cell>
        </row>
        <row r="830">
          <cell r="A830" t="str">
            <v>2</v>
          </cell>
          <cell r="B830" t="str">
            <v>24</v>
          </cell>
          <cell r="C830" t="str">
            <v>1</v>
          </cell>
          <cell r="D830" t="str">
            <v>B</v>
          </cell>
          <cell r="E830">
            <v>1</v>
          </cell>
          <cell r="F830">
            <v>0</v>
          </cell>
          <cell r="G830" t="str">
            <v>Pénzkészlet tárgyidö.elején-Devizabetét számlák egyenlege</v>
          </cell>
        </row>
        <row r="831">
          <cell r="A831" t="str">
            <v>3</v>
          </cell>
          <cell r="B831" t="str">
            <v>24</v>
          </cell>
          <cell r="C831" t="str">
            <v>1</v>
          </cell>
          <cell r="D831" t="str">
            <v>B</v>
          </cell>
          <cell r="E831">
            <v>1</v>
          </cell>
          <cell r="F831">
            <v>0</v>
          </cell>
          <cell r="G831" t="str">
            <v>Pénzkészlet tárgyidö.elején-Forintpénztár,betét.egyenlege</v>
          </cell>
        </row>
        <row r="832">
          <cell r="A832" t="str">
            <v>4</v>
          </cell>
          <cell r="B832" t="str">
            <v>24</v>
          </cell>
          <cell r="C832" t="str">
            <v>1</v>
          </cell>
          <cell r="D832" t="str">
            <v>B</v>
          </cell>
          <cell r="E832">
            <v>1</v>
          </cell>
          <cell r="F832">
            <v>0</v>
          </cell>
          <cell r="G832" t="str">
            <v>Pénzkészlet tárgyidö.elején-Valutapénztárak egyenlege</v>
          </cell>
        </row>
        <row r="833">
          <cell r="A833" t="str">
            <v>5</v>
          </cell>
          <cell r="B833" t="str">
            <v>24</v>
          </cell>
          <cell r="C833" t="str">
            <v>1</v>
          </cell>
          <cell r="D833" t="str">
            <v>B</v>
          </cell>
          <cell r="E833">
            <v>1</v>
          </cell>
          <cell r="F833">
            <v>0</v>
          </cell>
          <cell r="G833" t="str">
            <v>Pénzkészlet tárgyidö.elején- ÖSSZESEN (01+02+03+04)</v>
          </cell>
        </row>
        <row r="834">
          <cell r="A834" t="str">
            <v>6</v>
          </cell>
          <cell r="B834" t="str">
            <v>24</v>
          </cell>
          <cell r="C834" t="str">
            <v>1</v>
          </cell>
          <cell r="D834" t="str">
            <v>B</v>
          </cell>
          <cell r="E834">
            <v>2</v>
          </cell>
          <cell r="F834">
            <v>1</v>
          </cell>
          <cell r="G834" t="str">
            <v>Bevételek                                           (+)</v>
          </cell>
        </row>
        <row r="835">
          <cell r="A835" t="str">
            <v>7</v>
          </cell>
          <cell r="B835" t="str">
            <v>24</v>
          </cell>
          <cell r="C835" t="str">
            <v>1</v>
          </cell>
          <cell r="D835" t="str">
            <v>B</v>
          </cell>
          <cell r="E835">
            <v>2</v>
          </cell>
          <cell r="F835">
            <v>1</v>
          </cell>
          <cell r="G835" t="str">
            <v>Kiadások                                            (-)</v>
          </cell>
        </row>
        <row r="836">
          <cell r="A836" t="str">
            <v>8</v>
          </cell>
          <cell r="B836" t="str">
            <v>24</v>
          </cell>
          <cell r="C836" t="str">
            <v>1</v>
          </cell>
          <cell r="D836" t="str">
            <v>B</v>
          </cell>
          <cell r="E836">
            <v>2</v>
          </cell>
          <cell r="F836">
            <v>0</v>
          </cell>
          <cell r="G836" t="str">
            <v>Pénzkészlet tárgyidö.végén-Ft.költs.bankszámlák egyenlege</v>
          </cell>
        </row>
        <row r="837">
          <cell r="A837" t="str">
            <v>9</v>
          </cell>
          <cell r="B837" t="str">
            <v>24</v>
          </cell>
          <cell r="C837" t="str">
            <v>1</v>
          </cell>
          <cell r="D837" t="str">
            <v>B</v>
          </cell>
          <cell r="E837">
            <v>1</v>
          </cell>
          <cell r="F837">
            <v>0</v>
          </cell>
          <cell r="G837" t="str">
            <v>Pénzkészlet tárgyidö.végén-Devizabetét számlák egyenlege</v>
          </cell>
        </row>
        <row r="838">
          <cell r="A838" t="str">
            <v>10</v>
          </cell>
          <cell r="B838" t="str">
            <v>24</v>
          </cell>
          <cell r="C838" t="str">
            <v>1</v>
          </cell>
          <cell r="D838" t="str">
            <v>B</v>
          </cell>
          <cell r="E838">
            <v>1</v>
          </cell>
          <cell r="F838">
            <v>0</v>
          </cell>
          <cell r="G838" t="str">
            <v>Pénzkészlet tárgyidö.végén-Forintpénztár,betét.egyenlege</v>
          </cell>
        </row>
        <row r="839">
          <cell r="A839" t="str">
            <v>11</v>
          </cell>
          <cell r="B839" t="str">
            <v>24</v>
          </cell>
          <cell r="C839" t="str">
            <v>1</v>
          </cell>
          <cell r="D839" t="str">
            <v>B</v>
          </cell>
          <cell r="E839">
            <v>1</v>
          </cell>
          <cell r="F839">
            <v>0</v>
          </cell>
          <cell r="G839" t="str">
            <v>Pénzkészlet tárgyidö.végén-Valutapénztárak egyenlege</v>
          </cell>
        </row>
        <row r="840">
          <cell r="A840" t="str">
            <v>12</v>
          </cell>
          <cell r="B840" t="str">
            <v>24</v>
          </cell>
          <cell r="C840" t="str">
            <v>1</v>
          </cell>
          <cell r="D840" t="str">
            <v>B</v>
          </cell>
          <cell r="E840">
            <v>1</v>
          </cell>
          <cell r="F840">
            <v>0</v>
          </cell>
          <cell r="G840" t="str">
            <v>Pénzkészlet tárgyidö.végén- ÖSSZESEN(08+...+11=05+06-07)</v>
          </cell>
        </row>
        <row r="841">
          <cell r="A841" t="str">
            <v>1</v>
          </cell>
          <cell r="B841" t="str">
            <v>26</v>
          </cell>
          <cell r="C841" t="str">
            <v>1</v>
          </cell>
          <cell r="D841" t="str">
            <v>B</v>
          </cell>
          <cell r="E841">
            <v>1</v>
          </cell>
          <cell r="F841">
            <v>0</v>
          </cell>
          <cell r="G841" t="str">
            <v>Személyi juttatások</v>
          </cell>
        </row>
        <row r="842">
          <cell r="A842" t="str">
            <v>2</v>
          </cell>
          <cell r="B842" t="str">
            <v>26</v>
          </cell>
          <cell r="C842" t="str">
            <v>1</v>
          </cell>
          <cell r="D842" t="str">
            <v>B</v>
          </cell>
          <cell r="E842">
            <v>1</v>
          </cell>
          <cell r="F842">
            <v>0</v>
          </cell>
          <cell r="G842" t="str">
            <v>Munkaadokat terhelö járulékok</v>
          </cell>
        </row>
        <row r="843">
          <cell r="A843" t="str">
            <v>3</v>
          </cell>
          <cell r="B843" t="str">
            <v>26</v>
          </cell>
          <cell r="C843" t="str">
            <v>1</v>
          </cell>
          <cell r="D843" t="str">
            <v>B</v>
          </cell>
          <cell r="E843">
            <v>1</v>
          </cell>
          <cell r="F843">
            <v>0</v>
          </cell>
          <cell r="G843" t="str">
            <v>Dologi kiadások és egyéb folyo kiadások</v>
          </cell>
        </row>
        <row r="844">
          <cell r="A844" t="str">
            <v>4</v>
          </cell>
          <cell r="B844" t="str">
            <v>26</v>
          </cell>
          <cell r="C844" t="str">
            <v>1</v>
          </cell>
          <cell r="D844" t="str">
            <v>B</v>
          </cell>
          <cell r="E844">
            <v>1</v>
          </cell>
          <cell r="F844">
            <v>0</v>
          </cell>
          <cell r="G844" t="str">
            <v>Végleges pénzeszközátadás, egyéb támogatás</v>
          </cell>
        </row>
        <row r="845">
          <cell r="A845" t="str">
            <v>5</v>
          </cell>
          <cell r="B845" t="str">
            <v>26</v>
          </cell>
          <cell r="C845" t="str">
            <v>1</v>
          </cell>
          <cell r="D845" t="str">
            <v>B</v>
          </cell>
          <cell r="E845">
            <v>1</v>
          </cell>
          <cell r="F845">
            <v>0</v>
          </cell>
          <cell r="G845" t="str">
            <v>Ellátottak pénzbeli juttatásai</v>
          </cell>
        </row>
        <row r="846">
          <cell r="A846" t="str">
            <v>6</v>
          </cell>
          <cell r="B846" t="str">
            <v>26</v>
          </cell>
          <cell r="C846" t="str">
            <v>1</v>
          </cell>
          <cell r="D846" t="str">
            <v>B</v>
          </cell>
          <cell r="E846">
            <v>1</v>
          </cell>
          <cell r="F846">
            <v>0</v>
          </cell>
          <cell r="G846" t="str">
            <v>Felujitás</v>
          </cell>
        </row>
        <row r="847">
          <cell r="A847" t="str">
            <v>7</v>
          </cell>
          <cell r="B847" t="str">
            <v>26</v>
          </cell>
          <cell r="C847" t="str">
            <v>1</v>
          </cell>
          <cell r="D847" t="str">
            <v>B</v>
          </cell>
          <cell r="E847">
            <v>1</v>
          </cell>
          <cell r="F847">
            <v>0</v>
          </cell>
          <cell r="G847" t="str">
            <v>Felhalmozási kiadások és pénzügyi befektetések</v>
          </cell>
        </row>
        <row r="848">
          <cell r="A848" t="str">
            <v>8</v>
          </cell>
          <cell r="B848" t="str">
            <v>26</v>
          </cell>
          <cell r="C848" t="str">
            <v>1</v>
          </cell>
          <cell r="D848" t="str">
            <v>B</v>
          </cell>
          <cell r="E848">
            <v>1</v>
          </cell>
          <cell r="F848">
            <v>0</v>
          </cell>
          <cell r="G848" t="str">
            <v>Hitelek,értékpap.,kölcsönök,pénzforg.nélk.kiad.</v>
          </cell>
        </row>
        <row r="849">
          <cell r="A849" t="str">
            <v>9</v>
          </cell>
          <cell r="B849" t="str">
            <v>26</v>
          </cell>
          <cell r="C849" t="str">
            <v>1</v>
          </cell>
          <cell r="D849" t="str">
            <v>B</v>
          </cell>
          <cell r="E849">
            <v>2</v>
          </cell>
          <cell r="F849">
            <v>3</v>
          </cell>
          <cell r="G849" t="str">
            <v>Kiadások összesen (01+...+08)</v>
          </cell>
        </row>
        <row r="850">
          <cell r="A850" t="str">
            <v>10</v>
          </cell>
          <cell r="B850" t="str">
            <v>26</v>
          </cell>
          <cell r="C850" t="str">
            <v>1</v>
          </cell>
          <cell r="D850" t="str">
            <v>B</v>
          </cell>
          <cell r="E850">
            <v>2</v>
          </cell>
          <cell r="F850">
            <v>0</v>
          </cell>
          <cell r="G850" t="str">
            <v>Intézményi müködési bevételek</v>
          </cell>
        </row>
        <row r="851">
          <cell r="A851" t="str">
            <v>11</v>
          </cell>
          <cell r="B851" t="str">
            <v>26</v>
          </cell>
          <cell r="C851" t="str">
            <v>1</v>
          </cell>
          <cell r="D851" t="str">
            <v>B</v>
          </cell>
          <cell r="E851">
            <v>1</v>
          </cell>
          <cell r="F851">
            <v>0</v>
          </cell>
          <cell r="G851" t="str">
            <v>Önkormányzatok sajátos müködési bevételei</v>
          </cell>
        </row>
        <row r="852">
          <cell r="A852" t="str">
            <v>12</v>
          </cell>
          <cell r="B852" t="str">
            <v>26</v>
          </cell>
          <cell r="C852" t="str">
            <v>1</v>
          </cell>
          <cell r="D852" t="str">
            <v>B</v>
          </cell>
          <cell r="E852">
            <v>2</v>
          </cell>
          <cell r="F852">
            <v>3</v>
          </cell>
          <cell r="G852" t="str">
            <v>Intézmények és önkorm. mük.bev.(10+11)</v>
          </cell>
        </row>
        <row r="853">
          <cell r="A853" t="str">
            <v>13</v>
          </cell>
          <cell r="B853" t="str">
            <v>26</v>
          </cell>
          <cell r="C853" t="str">
            <v>1</v>
          </cell>
          <cell r="D853" t="str">
            <v>B</v>
          </cell>
          <cell r="E853">
            <v>2</v>
          </cell>
          <cell r="F853">
            <v>0</v>
          </cell>
          <cell r="G853" t="str">
            <v>Felhalmozási és töke jellegü bevételek</v>
          </cell>
        </row>
        <row r="854">
          <cell r="A854" t="str">
            <v>14</v>
          </cell>
          <cell r="B854" t="str">
            <v>26</v>
          </cell>
          <cell r="C854" t="str">
            <v>1</v>
          </cell>
          <cell r="D854" t="str">
            <v>B</v>
          </cell>
          <cell r="E854">
            <v>1</v>
          </cell>
          <cell r="F854">
            <v>0</v>
          </cell>
          <cell r="G854" t="str">
            <v>Támogatások, kiegészitések és átvett pénzeszk.</v>
          </cell>
        </row>
        <row r="855">
          <cell r="A855" t="str">
            <v>15</v>
          </cell>
          <cell r="B855" t="str">
            <v>26</v>
          </cell>
          <cell r="C855" t="str">
            <v>1</v>
          </cell>
          <cell r="D855" t="str">
            <v>B</v>
          </cell>
          <cell r="E855">
            <v>1</v>
          </cell>
          <cell r="F855">
            <v>0</v>
          </cell>
          <cell r="G855" t="str">
            <v>Hitelek, értékp.,kölcs., pénzforgalom nélküli bevételek</v>
          </cell>
        </row>
        <row r="856">
          <cell r="A856" t="str">
            <v>16</v>
          </cell>
          <cell r="B856" t="str">
            <v>26</v>
          </cell>
          <cell r="C856" t="str">
            <v>1</v>
          </cell>
          <cell r="D856" t="str">
            <v>B</v>
          </cell>
          <cell r="E856">
            <v>2</v>
          </cell>
          <cell r="F856">
            <v>3</v>
          </cell>
          <cell r="G856" t="str">
            <v>Bevételek összesen (12+...+15)</v>
          </cell>
        </row>
        <row r="857">
          <cell r="A857" t="str">
            <v>1</v>
          </cell>
          <cell r="B857" t="str">
            <v>27</v>
          </cell>
          <cell r="C857" t="str">
            <v>1</v>
          </cell>
          <cell r="D857" t="str">
            <v>B</v>
          </cell>
          <cell r="E857">
            <v>1</v>
          </cell>
          <cell r="F857">
            <v>0</v>
          </cell>
          <cell r="G857" t="str">
            <v>Bankszámlaegyenleg a tárgyidöszak elején</v>
          </cell>
        </row>
        <row r="858">
          <cell r="A858" t="str">
            <v>2</v>
          </cell>
          <cell r="B858" t="str">
            <v>27</v>
          </cell>
          <cell r="C858" t="str">
            <v>1</v>
          </cell>
          <cell r="D858" t="str">
            <v>B</v>
          </cell>
          <cell r="E858">
            <v>1</v>
          </cell>
          <cell r="F858">
            <v>0</v>
          </cell>
          <cell r="G858" t="str">
            <v>Biroi letétek bevétele</v>
          </cell>
        </row>
        <row r="859">
          <cell r="A859" t="str">
            <v>3</v>
          </cell>
          <cell r="B859" t="str">
            <v>27</v>
          </cell>
          <cell r="C859" t="str">
            <v>1</v>
          </cell>
          <cell r="D859" t="str">
            <v>B</v>
          </cell>
          <cell r="E859">
            <v>1</v>
          </cell>
          <cell r="F859">
            <v>0</v>
          </cell>
          <cell r="G859" t="str">
            <v>Más jogszabályban foglalt letétek bevétele</v>
          </cell>
        </row>
        <row r="860">
          <cell r="A860" t="str">
            <v>4</v>
          </cell>
          <cell r="B860" t="str">
            <v>27</v>
          </cell>
          <cell r="C860" t="str">
            <v>1</v>
          </cell>
          <cell r="D860" t="str">
            <v>B</v>
          </cell>
          <cell r="E860">
            <v>1</v>
          </cell>
          <cell r="F860">
            <v>0</v>
          </cell>
          <cell r="G860" t="str">
            <v>Letéti pénzeszköz hozambevétele</v>
          </cell>
        </row>
        <row r="861">
          <cell r="A861" t="str">
            <v>5</v>
          </cell>
          <cell r="B861" t="str">
            <v>27</v>
          </cell>
          <cell r="C861" t="str">
            <v>1</v>
          </cell>
          <cell r="D861" t="str">
            <v>B</v>
          </cell>
          <cell r="E861">
            <v>1</v>
          </cell>
          <cell r="F861">
            <v>0</v>
          </cell>
          <cell r="G861" t="str">
            <v>Egyéb letéti bevételek</v>
          </cell>
        </row>
        <row r="862">
          <cell r="A862" t="str">
            <v>6</v>
          </cell>
          <cell r="B862" t="str">
            <v>27</v>
          </cell>
          <cell r="C862" t="str">
            <v>1</v>
          </cell>
          <cell r="D862" t="str">
            <v>B</v>
          </cell>
          <cell r="E862">
            <v>1</v>
          </cell>
          <cell r="F862">
            <v>3</v>
          </cell>
          <cell r="G862" t="str">
            <v>Letéti bevételek összesen (02+...+05)</v>
          </cell>
        </row>
        <row r="863">
          <cell r="A863" t="str">
            <v>7</v>
          </cell>
          <cell r="B863" t="str">
            <v>27</v>
          </cell>
          <cell r="C863" t="str">
            <v>1</v>
          </cell>
          <cell r="D863" t="str">
            <v>B</v>
          </cell>
          <cell r="E863">
            <v>2</v>
          </cell>
          <cell r="F863">
            <v>0</v>
          </cell>
          <cell r="G863" t="str">
            <v>Biroi letétek kiadásai</v>
          </cell>
        </row>
        <row r="864">
          <cell r="A864" t="str">
            <v>8</v>
          </cell>
          <cell r="B864" t="str">
            <v>27</v>
          </cell>
          <cell r="C864" t="str">
            <v>1</v>
          </cell>
          <cell r="D864" t="str">
            <v>B</v>
          </cell>
          <cell r="E864">
            <v>1</v>
          </cell>
          <cell r="F864">
            <v>0</v>
          </cell>
          <cell r="G864" t="str">
            <v>Más jogszabályban foglalt letétek kiadásai</v>
          </cell>
        </row>
        <row r="865">
          <cell r="A865" t="str">
            <v>9</v>
          </cell>
          <cell r="B865" t="str">
            <v>27</v>
          </cell>
          <cell r="C865" t="str">
            <v>1</v>
          </cell>
          <cell r="D865" t="str">
            <v>B</v>
          </cell>
          <cell r="E865">
            <v>1</v>
          </cell>
          <cell r="F865">
            <v>0</v>
          </cell>
          <cell r="G865" t="str">
            <v>Hozambevétel átutalása a ktgs-i elszámolási számlára</v>
          </cell>
        </row>
        <row r="866">
          <cell r="A866" t="str">
            <v>10</v>
          </cell>
          <cell r="B866" t="str">
            <v>27</v>
          </cell>
          <cell r="C866" t="str">
            <v>1</v>
          </cell>
          <cell r="D866" t="str">
            <v>B</v>
          </cell>
          <cell r="E866">
            <v>1</v>
          </cell>
          <cell r="F866">
            <v>0</v>
          </cell>
          <cell r="G866" t="str">
            <v>Egyéb letétek kiadásai</v>
          </cell>
        </row>
        <row r="867">
          <cell r="A867" t="str">
            <v>11</v>
          </cell>
          <cell r="B867" t="str">
            <v>27</v>
          </cell>
          <cell r="C867" t="str">
            <v>1</v>
          </cell>
          <cell r="D867" t="str">
            <v>B</v>
          </cell>
          <cell r="E867">
            <v>1</v>
          </cell>
          <cell r="F867">
            <v>3</v>
          </cell>
          <cell r="G867" t="str">
            <v>Letéti kiadások összesen (07+...+10)</v>
          </cell>
        </row>
        <row r="868">
          <cell r="A868" t="str">
            <v>12</v>
          </cell>
          <cell r="B868" t="str">
            <v>27</v>
          </cell>
          <cell r="C868" t="str">
            <v>1</v>
          </cell>
          <cell r="D868" t="str">
            <v>B</v>
          </cell>
          <cell r="E868">
            <v>2</v>
          </cell>
          <cell r="F868">
            <v>0</v>
          </cell>
          <cell r="G868" t="str">
            <v>Bankszámlaegyenleg a tárgyidöszak végén (01+06-11)</v>
          </cell>
        </row>
        <row r="869">
          <cell r="A869" t="str">
            <v>1</v>
          </cell>
          <cell r="B869" t="str">
            <v>29</v>
          </cell>
          <cell r="C869" t="str">
            <v>1</v>
          </cell>
          <cell r="D869" t="str">
            <v>B</v>
          </cell>
          <cell r="E869">
            <v>1</v>
          </cell>
          <cell r="F869">
            <v>0</v>
          </cell>
          <cell r="G869" t="str">
            <v>Költségvetési bankszámlák zároegyenlegei</v>
          </cell>
        </row>
        <row r="870">
          <cell r="A870" t="str">
            <v>2</v>
          </cell>
          <cell r="B870" t="str">
            <v>29</v>
          </cell>
          <cell r="C870" t="str">
            <v>1</v>
          </cell>
          <cell r="D870" t="str">
            <v>B</v>
          </cell>
          <cell r="E870">
            <v>1</v>
          </cell>
          <cell r="F870">
            <v>0</v>
          </cell>
          <cell r="G870" t="str">
            <v>Pénztárak és betétkönyvek zároegyenlegei</v>
          </cell>
        </row>
        <row r="871">
          <cell r="A871" t="str">
            <v>3</v>
          </cell>
          <cell r="B871" t="str">
            <v>29</v>
          </cell>
          <cell r="C871" t="str">
            <v>1</v>
          </cell>
          <cell r="D871" t="str">
            <v>B</v>
          </cell>
          <cell r="E871">
            <v>1</v>
          </cell>
          <cell r="F871">
            <v>3</v>
          </cell>
          <cell r="G871" t="str">
            <v>Záro pénzkészlet (01+02)</v>
          </cell>
        </row>
        <row r="872">
          <cell r="A872" t="str">
            <v>4</v>
          </cell>
          <cell r="B872" t="str">
            <v>29</v>
          </cell>
          <cell r="C872" t="str">
            <v>1</v>
          </cell>
          <cell r="D872" t="str">
            <v>B</v>
          </cell>
          <cell r="E872">
            <v>1</v>
          </cell>
          <cell r="F872">
            <v>0</v>
          </cell>
          <cell r="G872" t="str">
            <v>Költségvetési aktiv kiegyenlitö elszámolások zároegyenl.</v>
          </cell>
        </row>
        <row r="873">
          <cell r="A873" t="str">
            <v>5</v>
          </cell>
          <cell r="B873" t="str">
            <v>29</v>
          </cell>
          <cell r="C873" t="str">
            <v>1</v>
          </cell>
          <cell r="D873" t="str">
            <v>B</v>
          </cell>
          <cell r="E873">
            <v>1</v>
          </cell>
          <cell r="F873">
            <v>0</v>
          </cell>
          <cell r="G873" t="str">
            <v>Passziv kiegyenlitö elszámolások zároegyenlegei         (-)</v>
          </cell>
        </row>
        <row r="874">
          <cell r="A874" t="str">
            <v>6</v>
          </cell>
          <cell r="B874" t="str">
            <v>29</v>
          </cell>
          <cell r="C874" t="str">
            <v>1</v>
          </cell>
          <cell r="D874" t="str">
            <v>B</v>
          </cell>
          <cell r="E874">
            <v>1</v>
          </cell>
          <cell r="F874">
            <v>0</v>
          </cell>
          <cell r="G874" t="str">
            <v>Költségvetési aktiv átfuto elszámolások zároegyenlege</v>
          </cell>
        </row>
        <row r="875">
          <cell r="A875" t="str">
            <v>7</v>
          </cell>
          <cell r="B875" t="str">
            <v>29</v>
          </cell>
          <cell r="C875" t="str">
            <v>1</v>
          </cell>
          <cell r="D875" t="str">
            <v>B</v>
          </cell>
          <cell r="E875">
            <v>1</v>
          </cell>
          <cell r="F875">
            <v>0</v>
          </cell>
          <cell r="G875" t="str">
            <v>Passziv átfuto elszámolások zároegyenlege               (-)</v>
          </cell>
        </row>
        <row r="876">
          <cell r="A876" t="str">
            <v>8</v>
          </cell>
          <cell r="B876" t="str">
            <v>29</v>
          </cell>
          <cell r="C876" t="str">
            <v>1</v>
          </cell>
          <cell r="D876" t="str">
            <v>B</v>
          </cell>
          <cell r="E876">
            <v>1</v>
          </cell>
          <cell r="F876">
            <v>0</v>
          </cell>
          <cell r="G876" t="str">
            <v>Aktiv függö elszámolások zároegyenlege</v>
          </cell>
        </row>
        <row r="877">
          <cell r="A877" t="str">
            <v>9</v>
          </cell>
          <cell r="B877" t="str">
            <v>29</v>
          </cell>
          <cell r="C877" t="str">
            <v>1</v>
          </cell>
          <cell r="D877" t="str">
            <v>B</v>
          </cell>
          <cell r="E877">
            <v>1</v>
          </cell>
          <cell r="F877">
            <v>0</v>
          </cell>
          <cell r="G877" t="str">
            <v>Passziv függö elszámolások zároegyenlege                (-)</v>
          </cell>
        </row>
        <row r="878">
          <cell r="A878" t="str">
            <v>10</v>
          </cell>
          <cell r="B878" t="str">
            <v>29</v>
          </cell>
          <cell r="C878" t="str">
            <v>1</v>
          </cell>
          <cell r="D878" t="str">
            <v>B</v>
          </cell>
          <cell r="E878">
            <v>1</v>
          </cell>
          <cell r="F878">
            <v>3</v>
          </cell>
          <cell r="G878" t="str">
            <v>Egyéb aktiv, passziv pü.elszámolások összesen(04-09)(+-)</v>
          </cell>
        </row>
        <row r="879">
          <cell r="A879" t="str">
            <v>11</v>
          </cell>
          <cell r="B879" t="str">
            <v>29</v>
          </cell>
          <cell r="C879" t="str">
            <v>1</v>
          </cell>
          <cell r="D879" t="str">
            <v>B</v>
          </cell>
          <cell r="E879">
            <v>1</v>
          </cell>
          <cell r="F879">
            <v>0</v>
          </cell>
          <cell r="G879" t="str">
            <v>Elözö év(ek)ben képzett tartalékok maradványa           (-)</v>
          </cell>
        </row>
        <row r="880">
          <cell r="A880" t="str">
            <v>12</v>
          </cell>
          <cell r="B880" t="str">
            <v>29</v>
          </cell>
          <cell r="C880" t="str">
            <v>1</v>
          </cell>
          <cell r="D880" t="str">
            <v>B</v>
          </cell>
          <cell r="E880">
            <v>1</v>
          </cell>
          <cell r="F880">
            <v>0</v>
          </cell>
          <cell r="G880" t="str">
            <v>Vállalkozási tevékenység pénzforgalmi eredménye         (-)</v>
          </cell>
        </row>
        <row r="881">
          <cell r="A881" t="str">
            <v>13</v>
          </cell>
          <cell r="B881" t="str">
            <v>29</v>
          </cell>
          <cell r="C881" t="str">
            <v>1</v>
          </cell>
          <cell r="D881" t="str">
            <v>B</v>
          </cell>
          <cell r="E881">
            <v>1</v>
          </cell>
          <cell r="F881">
            <v>3</v>
          </cell>
          <cell r="G881" t="str">
            <v>Tárgyévi helyesbitett pénzmaradvány (03+10-11-12)</v>
          </cell>
        </row>
        <row r="882">
          <cell r="A882" t="str">
            <v>14</v>
          </cell>
          <cell r="B882" t="str">
            <v>29</v>
          </cell>
          <cell r="C882" t="str">
            <v>1</v>
          </cell>
          <cell r="D882" t="str">
            <v>B</v>
          </cell>
          <cell r="E882">
            <v>1</v>
          </cell>
          <cell r="F882">
            <v>0</v>
          </cell>
          <cell r="G882" t="str">
            <v>Intézményi költségvetési befiz.többlettámogatás miatt (+ -)</v>
          </cell>
        </row>
        <row r="883">
          <cell r="A883" t="str">
            <v>15</v>
          </cell>
          <cell r="B883" t="str">
            <v>29</v>
          </cell>
          <cell r="C883" t="str">
            <v>1</v>
          </cell>
          <cell r="D883" t="str">
            <v>B</v>
          </cell>
          <cell r="E883">
            <v>1</v>
          </cell>
          <cell r="F883">
            <v>0</v>
          </cell>
          <cell r="G883" t="str">
            <v>Költségvetési befizetés többlettámogatás miatt        (+ -)</v>
          </cell>
        </row>
        <row r="884">
          <cell r="A884" t="str">
            <v>16</v>
          </cell>
          <cell r="B884" t="str">
            <v>29</v>
          </cell>
          <cell r="C884" t="str">
            <v>1</v>
          </cell>
          <cell r="D884" t="str">
            <v>B</v>
          </cell>
          <cell r="E884">
            <v>1</v>
          </cell>
          <cell r="F884">
            <v>0</v>
          </cell>
          <cell r="G884" t="str">
            <v>Költségvetési kiutalás kiutalatlan intézm.támog.miatt (+ -)</v>
          </cell>
        </row>
        <row r="885">
          <cell r="A885" t="str">
            <v>17</v>
          </cell>
          <cell r="B885" t="str">
            <v>29</v>
          </cell>
          <cell r="C885" t="str">
            <v>1</v>
          </cell>
          <cell r="D885" t="str">
            <v>B</v>
          </cell>
          <cell r="E885">
            <v>1</v>
          </cell>
          <cell r="F885">
            <v>0</v>
          </cell>
          <cell r="G885" t="str">
            <v>Költségvetési kiutalás kiutalatlan támogatás miatt    (+ -)</v>
          </cell>
        </row>
        <row r="886">
          <cell r="A886" t="str">
            <v>18</v>
          </cell>
          <cell r="B886" t="str">
            <v>29</v>
          </cell>
          <cell r="C886" t="str">
            <v>1</v>
          </cell>
          <cell r="D886" t="str">
            <v>B</v>
          </cell>
          <cell r="E886">
            <v>1</v>
          </cell>
          <cell r="F886">
            <v>0</v>
          </cell>
          <cell r="G886" t="str">
            <v>Pénzmaradványt terhelö elvonások                      (+ -)</v>
          </cell>
        </row>
        <row r="887">
          <cell r="A887" t="str">
            <v>19</v>
          </cell>
          <cell r="B887" t="str">
            <v>29</v>
          </cell>
          <cell r="C887" t="str">
            <v>1</v>
          </cell>
          <cell r="D887" t="str">
            <v>B</v>
          </cell>
          <cell r="E887">
            <v>1</v>
          </cell>
          <cell r="F887">
            <v>3</v>
          </cell>
          <cell r="G887" t="str">
            <v>Költségvetési pénzmaradvány(13+...+18)</v>
          </cell>
        </row>
        <row r="888">
          <cell r="A888" t="str">
            <v>20</v>
          </cell>
          <cell r="B888" t="str">
            <v>29</v>
          </cell>
          <cell r="C888" t="str">
            <v>1</v>
          </cell>
          <cell r="D888" t="str">
            <v>B</v>
          </cell>
          <cell r="E888">
            <v>1</v>
          </cell>
          <cell r="F888">
            <v>0</v>
          </cell>
          <cell r="G888" t="str">
            <v>Vállalk. tev. eredményéböl alaptev. ellát-ra felhaszn. össz.</v>
          </cell>
        </row>
        <row r="889">
          <cell r="A889" t="str">
            <v>21</v>
          </cell>
          <cell r="B889" t="str">
            <v>29</v>
          </cell>
          <cell r="C889" t="str">
            <v>1</v>
          </cell>
          <cell r="D889" t="str">
            <v>B</v>
          </cell>
          <cell r="E889">
            <v>1</v>
          </cell>
          <cell r="F889">
            <v>0</v>
          </cell>
          <cell r="G889" t="str">
            <v>Ktgv-i pénzmaradv.külön jogszabály alapján mod. tétel (+ -)</v>
          </cell>
        </row>
        <row r="890">
          <cell r="A890" t="str">
            <v>22</v>
          </cell>
          <cell r="B890" t="str">
            <v>29</v>
          </cell>
          <cell r="C890" t="str">
            <v>1</v>
          </cell>
          <cell r="D890" t="str">
            <v>B</v>
          </cell>
          <cell r="E890">
            <v>1</v>
          </cell>
          <cell r="F890">
            <v>3</v>
          </cell>
          <cell r="G890" t="str">
            <v>Modositott pénzmaradvány (19+20+21)</v>
          </cell>
        </row>
        <row r="891">
          <cell r="A891" t="str">
            <v>23</v>
          </cell>
          <cell r="B891" t="str">
            <v>29</v>
          </cell>
          <cell r="C891" t="str">
            <v>1</v>
          </cell>
          <cell r="D891" t="str">
            <v>B</v>
          </cell>
          <cell r="E891">
            <v>1</v>
          </cell>
          <cell r="F891">
            <v>0</v>
          </cell>
          <cell r="G891" t="str">
            <v>A 19.sorbol- Egészségbizt.alapbol foly.pénzeszk.maradványa</v>
          </cell>
        </row>
        <row r="892">
          <cell r="A892" t="str">
            <v>24</v>
          </cell>
          <cell r="B892" t="str">
            <v>29</v>
          </cell>
          <cell r="C892" t="str">
            <v>1</v>
          </cell>
          <cell r="D892" t="str">
            <v>B</v>
          </cell>
          <cell r="E892">
            <v>1</v>
          </cell>
          <cell r="F892">
            <v>0</v>
          </cell>
          <cell r="G892" t="str">
            <v>A 19.sorbol- Kötelezettséggel terhelt pénzmaradvány</v>
          </cell>
        </row>
        <row r="893">
          <cell r="A893" t="str">
            <v>25</v>
          </cell>
          <cell r="B893" t="str">
            <v>29</v>
          </cell>
          <cell r="C893" t="str">
            <v>1</v>
          </cell>
          <cell r="D893" t="str">
            <v>B</v>
          </cell>
          <cell r="E893">
            <v>1</v>
          </cell>
          <cell r="F893">
            <v>0</v>
          </cell>
          <cell r="G893" t="str">
            <v>A 19.sorbol- Szabad pénzmaradvány</v>
          </cell>
        </row>
        <row r="894">
          <cell r="A894" t="str">
            <v>26</v>
          </cell>
          <cell r="B894" t="str">
            <v>29</v>
          </cell>
          <cell r="C894" t="str">
            <v>1</v>
          </cell>
          <cell r="D894" t="str">
            <v>B</v>
          </cell>
          <cell r="E894">
            <v>1</v>
          </cell>
          <cell r="F894">
            <v>3</v>
          </cell>
          <cell r="G894" t="str">
            <v>Technikai összesen (22+23+24+25)</v>
          </cell>
        </row>
        <row r="895">
          <cell r="A895" t="str">
            <v>1</v>
          </cell>
          <cell r="B895" t="str">
            <v>30</v>
          </cell>
          <cell r="C895" t="str">
            <v>1</v>
          </cell>
          <cell r="D895" t="str">
            <v>B</v>
          </cell>
          <cell r="E895">
            <v>1</v>
          </cell>
          <cell r="F895">
            <v>0</v>
          </cell>
          <cell r="G895" t="str">
            <v>Vállalkozási tevékenység bevételi elöirányzata</v>
          </cell>
        </row>
        <row r="896">
          <cell r="A896" t="str">
            <v>2</v>
          </cell>
          <cell r="B896" t="str">
            <v>30</v>
          </cell>
          <cell r="C896" t="str">
            <v>1</v>
          </cell>
          <cell r="D896" t="str">
            <v>B</v>
          </cell>
          <cell r="E896">
            <v>1</v>
          </cell>
          <cell r="F896">
            <v>0</v>
          </cell>
          <cell r="G896" t="str">
            <v>Váll.tev.szakfeladaton - folyo bevételei</v>
          </cell>
        </row>
        <row r="897">
          <cell r="A897" t="str">
            <v>3</v>
          </cell>
          <cell r="B897" t="str">
            <v>30</v>
          </cell>
          <cell r="C897" t="str">
            <v>1</v>
          </cell>
          <cell r="D897" t="str">
            <v>B</v>
          </cell>
          <cell r="E897">
            <v>1</v>
          </cell>
          <cell r="F897">
            <v>0</v>
          </cell>
          <cell r="G897" t="str">
            <v>Váll.tev.szakfeladaton - kamatbevétele</v>
          </cell>
        </row>
        <row r="898">
          <cell r="A898" t="str">
            <v>4</v>
          </cell>
          <cell r="B898" t="str">
            <v>30</v>
          </cell>
          <cell r="C898" t="str">
            <v>1</v>
          </cell>
          <cell r="D898" t="str">
            <v>B</v>
          </cell>
          <cell r="E898">
            <v>1</v>
          </cell>
          <cell r="F898">
            <v>0</v>
          </cell>
          <cell r="G898" t="str">
            <v>Váll.tev.szakfeladaton - felhalmozási, tökejellegü bevételei</v>
          </cell>
        </row>
        <row r="899">
          <cell r="A899" t="str">
            <v>5</v>
          </cell>
          <cell r="B899" t="str">
            <v>30</v>
          </cell>
          <cell r="C899" t="str">
            <v>1</v>
          </cell>
          <cell r="D899" t="str">
            <v>B</v>
          </cell>
          <cell r="E899">
            <v>1</v>
          </cell>
          <cell r="F899">
            <v>0</v>
          </cell>
          <cell r="G899" t="str">
            <v>Váll.tev.szakfeladaton - osztalék és hozambevétele</v>
          </cell>
        </row>
        <row r="900">
          <cell r="A900" t="str">
            <v>6</v>
          </cell>
          <cell r="B900" t="str">
            <v>30</v>
          </cell>
          <cell r="C900" t="str">
            <v>1</v>
          </cell>
          <cell r="D900" t="str">
            <v>B</v>
          </cell>
          <cell r="E900">
            <v>1</v>
          </cell>
          <cell r="F900">
            <v>0</v>
          </cell>
          <cell r="G900" t="str">
            <v>Váll.tev.szakfeladaton - pénzforgalom nélküli bevétele</v>
          </cell>
        </row>
        <row r="901">
          <cell r="A901" t="str">
            <v>7</v>
          </cell>
          <cell r="B901" t="str">
            <v>30</v>
          </cell>
          <cell r="C901" t="str">
            <v>1</v>
          </cell>
          <cell r="D901" t="str">
            <v>B</v>
          </cell>
          <cell r="E901">
            <v>1</v>
          </cell>
          <cell r="F901">
            <v>0</v>
          </cell>
          <cell r="G901" t="str">
            <v>Váll.tev.szakfeladaton - felhalm.folyo támog.,visszatérülés</v>
          </cell>
        </row>
        <row r="902">
          <cell r="A902" t="str">
            <v>8</v>
          </cell>
          <cell r="B902" t="str">
            <v>30</v>
          </cell>
          <cell r="C902" t="str">
            <v>1</v>
          </cell>
          <cell r="D902" t="str">
            <v>B</v>
          </cell>
          <cell r="E902">
            <v>1</v>
          </cell>
          <cell r="F902">
            <v>0</v>
          </cell>
          <cell r="G902" t="str">
            <v>Váll.tev.szakfeladaton - hitel,rövid lejár.értékparir bevét</v>
          </cell>
        </row>
        <row r="903">
          <cell r="A903" t="str">
            <v>9</v>
          </cell>
          <cell r="B903" t="str">
            <v>30</v>
          </cell>
          <cell r="C903" t="str">
            <v>1</v>
          </cell>
          <cell r="D903" t="str">
            <v>B</v>
          </cell>
          <cell r="E903">
            <v>1</v>
          </cell>
          <cell r="F903">
            <v>1</v>
          </cell>
          <cell r="G903" t="str">
            <v>Váll.tev.szakfeladaton - bevételei összesen (02+...+08)</v>
          </cell>
        </row>
        <row r="904">
          <cell r="A904" t="str">
            <v>10</v>
          </cell>
          <cell r="B904" t="str">
            <v>30</v>
          </cell>
          <cell r="C904" t="str">
            <v>1</v>
          </cell>
          <cell r="D904" t="str">
            <v>B</v>
          </cell>
          <cell r="E904">
            <v>1</v>
          </cell>
          <cell r="F904">
            <v>0</v>
          </cell>
          <cell r="G904" t="str">
            <v>Vállalkozási tevékenység kiadási elöirányzata</v>
          </cell>
        </row>
        <row r="905">
          <cell r="A905" t="str">
            <v>11</v>
          </cell>
          <cell r="B905" t="str">
            <v>30</v>
          </cell>
          <cell r="C905" t="str">
            <v>1</v>
          </cell>
          <cell r="D905" t="str">
            <v>B</v>
          </cell>
          <cell r="E905">
            <v>1</v>
          </cell>
          <cell r="F905">
            <v>0</v>
          </cell>
          <cell r="G905" t="str">
            <v>Váll.tev.szakfeladaton - folyo(és pénzforg.nélküli)kiadásai</v>
          </cell>
        </row>
        <row r="906">
          <cell r="A906" t="str">
            <v>12</v>
          </cell>
          <cell r="B906" t="str">
            <v>30</v>
          </cell>
          <cell r="C906" t="str">
            <v>1</v>
          </cell>
          <cell r="D906" t="str">
            <v>B</v>
          </cell>
          <cell r="E906">
            <v>1</v>
          </cell>
          <cell r="F906">
            <v>0</v>
          </cell>
          <cell r="G906" t="str">
            <v>Váll.tev.szakfeladaton - felhalmozási és tökekiadásai</v>
          </cell>
        </row>
        <row r="907">
          <cell r="A907" t="str">
            <v>13</v>
          </cell>
          <cell r="B907" t="str">
            <v>30</v>
          </cell>
          <cell r="C907" t="str">
            <v>1</v>
          </cell>
          <cell r="D907" t="str">
            <v>B</v>
          </cell>
          <cell r="E907">
            <v>1</v>
          </cell>
          <cell r="F907">
            <v>0</v>
          </cell>
          <cell r="G907" t="str">
            <v>Váll.tev.szakfeladaton - pe.átadásai,elvonásai,egyéb átut.</v>
          </cell>
        </row>
        <row r="908">
          <cell r="A908" t="str">
            <v>14</v>
          </cell>
          <cell r="B908" t="str">
            <v>30</v>
          </cell>
          <cell r="C908" t="str">
            <v>1</v>
          </cell>
          <cell r="D908" t="str">
            <v>B</v>
          </cell>
          <cell r="E908">
            <v>1</v>
          </cell>
          <cell r="F908">
            <v>0</v>
          </cell>
          <cell r="G908" t="str">
            <v>Váll.tev.szakfeladaton - hitel,rövid lejár.értékpapir kiad.</v>
          </cell>
        </row>
        <row r="909">
          <cell r="A909" t="str">
            <v>15</v>
          </cell>
          <cell r="B909" t="str">
            <v>30</v>
          </cell>
          <cell r="C909" t="str">
            <v>1</v>
          </cell>
          <cell r="D909" t="str">
            <v>B</v>
          </cell>
          <cell r="E909">
            <v>1</v>
          </cell>
          <cell r="F909">
            <v>0</v>
          </cell>
          <cell r="G909" t="str">
            <v>Váll.tev.szakfeladaton - kiadásai összesen (11 +...+ 14)</v>
          </cell>
        </row>
        <row r="910">
          <cell r="A910" t="str">
            <v>16</v>
          </cell>
          <cell r="B910" t="str">
            <v>30</v>
          </cell>
          <cell r="C910" t="str">
            <v>1</v>
          </cell>
          <cell r="D910" t="str">
            <v>B</v>
          </cell>
          <cell r="E910">
            <v>1</v>
          </cell>
          <cell r="F910">
            <v>1</v>
          </cell>
          <cell r="G910" t="str">
            <v>Vállalkozási tevékenység pénzforgalmi eredménye (09-15)</v>
          </cell>
        </row>
        <row r="911">
          <cell r="A911" t="str">
            <v>17</v>
          </cell>
          <cell r="B911" t="str">
            <v>30</v>
          </cell>
          <cell r="C911" t="str">
            <v>1</v>
          </cell>
          <cell r="D911" t="str">
            <v>B</v>
          </cell>
          <cell r="E911">
            <v>1</v>
          </cell>
          <cell r="F911">
            <v>0</v>
          </cell>
          <cell r="G911" t="str">
            <v>Vállalkozási tevékenységet terhelö értékcsökkenési leirás(-)</v>
          </cell>
        </row>
        <row r="912">
          <cell r="A912" t="str">
            <v>18</v>
          </cell>
          <cell r="B912" t="str">
            <v>30</v>
          </cell>
          <cell r="C912" t="str">
            <v>1</v>
          </cell>
          <cell r="D912" t="str">
            <v>B</v>
          </cell>
          <cell r="E912">
            <v>1</v>
          </cell>
          <cell r="F912">
            <v>0</v>
          </cell>
          <cell r="G912" t="str">
            <v>Alaptevékenység ellátására felhaszn. tárgyévi eredmény  (-)</v>
          </cell>
        </row>
        <row r="913">
          <cell r="A913" t="str">
            <v>19</v>
          </cell>
          <cell r="B913" t="str">
            <v>30</v>
          </cell>
          <cell r="C913" t="str">
            <v>1</v>
          </cell>
          <cell r="D913" t="str">
            <v>B</v>
          </cell>
          <cell r="E913">
            <v>1</v>
          </cell>
          <cell r="F913">
            <v>0</v>
          </cell>
          <cell r="G913" t="str">
            <v>Alaptevékenység ellátására felhaszn.elözö év(ek) eredm. (-)</v>
          </cell>
        </row>
        <row r="914">
          <cell r="A914" t="str">
            <v>20</v>
          </cell>
          <cell r="B914" t="str">
            <v>30</v>
          </cell>
          <cell r="C914" t="str">
            <v>1</v>
          </cell>
          <cell r="D914" t="str">
            <v>B</v>
          </cell>
          <cell r="E914">
            <v>1</v>
          </cell>
          <cell r="F914">
            <v>0</v>
          </cell>
          <cell r="G914" t="str">
            <v>A tárgyévet köv. évben alaptev.ellát.felhasz.terv.eredm.(-)</v>
          </cell>
        </row>
        <row r="915">
          <cell r="A915" t="str">
            <v>21</v>
          </cell>
          <cell r="B915" t="str">
            <v>30</v>
          </cell>
          <cell r="C915" t="str">
            <v>1</v>
          </cell>
          <cell r="D915" t="str">
            <v>B</v>
          </cell>
          <cell r="E915">
            <v>1</v>
          </cell>
          <cell r="F915">
            <v>0</v>
          </cell>
          <cell r="G915" t="str">
            <v>Pénzforg.eredm.külön jogszabály alapján modosito tétel(+ -)</v>
          </cell>
        </row>
        <row r="916">
          <cell r="A916" t="str">
            <v>22</v>
          </cell>
          <cell r="B916" t="str">
            <v>30</v>
          </cell>
          <cell r="C916" t="str">
            <v>1</v>
          </cell>
          <cell r="D916" t="str">
            <v>B</v>
          </cell>
          <cell r="E916">
            <v>1</v>
          </cell>
          <cell r="F916">
            <v>1</v>
          </cell>
          <cell r="G916" t="str">
            <v>Vállalk.tev.mod.pénzforgalmi eredménye(16-17-18-19-20+21)</v>
          </cell>
        </row>
        <row r="917">
          <cell r="A917" t="str">
            <v>23</v>
          </cell>
          <cell r="B917" t="str">
            <v>30</v>
          </cell>
          <cell r="C917" t="str">
            <v>1</v>
          </cell>
          <cell r="D917" t="str">
            <v>B</v>
          </cell>
          <cell r="E917">
            <v>1</v>
          </cell>
          <cell r="F917">
            <v>0</v>
          </cell>
          <cell r="G917" t="str">
            <v>Tárgyévröl átvitt veszteség</v>
          </cell>
        </row>
        <row r="918">
          <cell r="A918" t="str">
            <v>24</v>
          </cell>
          <cell r="B918" t="str">
            <v>30</v>
          </cell>
          <cell r="C918" t="str">
            <v>1</v>
          </cell>
          <cell r="D918" t="str">
            <v>B</v>
          </cell>
          <cell r="E918">
            <v>1</v>
          </cell>
          <cell r="F918">
            <v>0</v>
          </cell>
          <cell r="G918" t="str">
            <v>Megelözö év(ek) el nem számolt veszteség. t.évre esö r. (-)</v>
          </cell>
        </row>
        <row r="919">
          <cell r="A919" t="str">
            <v>25</v>
          </cell>
          <cell r="B919" t="str">
            <v>30</v>
          </cell>
          <cell r="C919" t="str">
            <v>1</v>
          </cell>
          <cell r="D919" t="str">
            <v>B</v>
          </cell>
          <cell r="E919">
            <v>1</v>
          </cell>
          <cell r="F919">
            <v>1</v>
          </cell>
          <cell r="G919" t="str">
            <v>Vállalkozási tevékenység helyesbitett eredm.  (22+23-24)</v>
          </cell>
        </row>
        <row r="920">
          <cell r="A920" t="str">
            <v>26</v>
          </cell>
          <cell r="B920" t="str">
            <v>30</v>
          </cell>
          <cell r="C920" t="str">
            <v>1</v>
          </cell>
          <cell r="D920" t="str">
            <v>B</v>
          </cell>
          <cell r="E920">
            <v>1</v>
          </cell>
          <cell r="F920">
            <v>0</v>
          </cell>
          <cell r="G920" t="str">
            <v>Vállalkozási tevékenységet terhelö befizetés            (-)</v>
          </cell>
        </row>
        <row r="921">
          <cell r="A921" t="str">
            <v>27</v>
          </cell>
          <cell r="B921" t="str">
            <v>30</v>
          </cell>
          <cell r="C921" t="str">
            <v>1</v>
          </cell>
          <cell r="D921" t="str">
            <v>B</v>
          </cell>
          <cell r="E921">
            <v>1</v>
          </cell>
          <cell r="F921">
            <v>3</v>
          </cell>
          <cell r="G921" t="str">
            <v>T a r t a l é k b a    helyezhetö összeg (16-18-19-26)</v>
          </cell>
        </row>
        <row r="922">
          <cell r="A922" t="str">
            <v>2</v>
          </cell>
          <cell r="B922" t="str">
            <v>31</v>
          </cell>
          <cell r="C922" t="str">
            <v>1</v>
          </cell>
          <cell r="D922" t="str">
            <v>B</v>
          </cell>
          <cell r="E922">
            <v>1</v>
          </cell>
          <cell r="F922">
            <v>0</v>
          </cell>
          <cell r="G922" t="str">
            <v>Ktv.feladattal korr. - mutatoszám</v>
          </cell>
        </row>
        <row r="923">
          <cell r="A923" t="str">
            <v>3</v>
          </cell>
          <cell r="B923" t="str">
            <v>31</v>
          </cell>
          <cell r="C923" t="str">
            <v>1</v>
          </cell>
          <cell r="D923" t="str">
            <v>B</v>
          </cell>
          <cell r="E923">
            <v>1</v>
          </cell>
          <cell r="F923">
            <v>0</v>
          </cell>
          <cell r="G923" t="str">
            <v>Ktv.feladattal korr. - áll.hozzájárulás</v>
          </cell>
        </row>
        <row r="924">
          <cell r="A924" t="str">
            <v>4</v>
          </cell>
          <cell r="B924" t="str">
            <v>31</v>
          </cell>
          <cell r="C924" t="str">
            <v>1</v>
          </cell>
          <cell r="D924" t="str">
            <v>B</v>
          </cell>
          <cell r="E924">
            <v>2</v>
          </cell>
          <cell r="F924">
            <v>0</v>
          </cell>
          <cell r="G924" t="str">
            <v>Évközi változás- ápr.30.- mutatoszám</v>
          </cell>
        </row>
        <row r="925">
          <cell r="A925" t="str">
            <v>5</v>
          </cell>
          <cell r="B925" t="str">
            <v>31</v>
          </cell>
          <cell r="C925" t="str">
            <v>1</v>
          </cell>
          <cell r="D925" t="str">
            <v>B</v>
          </cell>
          <cell r="E925">
            <v>1</v>
          </cell>
          <cell r="F925">
            <v>0</v>
          </cell>
          <cell r="G925" t="str">
            <v>Évközi változás- ápr.30.- áll.hozzájárulás</v>
          </cell>
        </row>
        <row r="926">
          <cell r="A926" t="str">
            <v>6</v>
          </cell>
          <cell r="B926" t="str">
            <v>31</v>
          </cell>
          <cell r="C926" t="str">
            <v>1</v>
          </cell>
          <cell r="D926" t="str">
            <v>B</v>
          </cell>
          <cell r="E926">
            <v>2</v>
          </cell>
          <cell r="F926">
            <v>0</v>
          </cell>
          <cell r="G926" t="str">
            <v>Évközi változás- jul.31.- mutatoszám</v>
          </cell>
        </row>
        <row r="927">
          <cell r="A927" t="str">
            <v>7</v>
          </cell>
          <cell r="B927" t="str">
            <v>31</v>
          </cell>
          <cell r="C927" t="str">
            <v>1</v>
          </cell>
          <cell r="D927" t="str">
            <v>B</v>
          </cell>
          <cell r="E927">
            <v>1</v>
          </cell>
          <cell r="F927">
            <v>0</v>
          </cell>
          <cell r="G927" t="str">
            <v>Évközi változás- jul.31.- áll.hozzájárulás</v>
          </cell>
        </row>
        <row r="928">
          <cell r="A928" t="str">
            <v>8</v>
          </cell>
          <cell r="B928" t="str">
            <v>31</v>
          </cell>
          <cell r="C928" t="str">
            <v>1</v>
          </cell>
          <cell r="D928" t="str">
            <v>B</v>
          </cell>
          <cell r="E928">
            <v>2</v>
          </cell>
          <cell r="F928">
            <v>0</v>
          </cell>
          <cell r="G928" t="str">
            <v>Évközi változás- okt.15.- mutatoszám</v>
          </cell>
        </row>
        <row r="929">
          <cell r="A929" t="str">
            <v>9</v>
          </cell>
          <cell r="B929" t="str">
            <v>31</v>
          </cell>
          <cell r="C929" t="str">
            <v>1</v>
          </cell>
          <cell r="D929" t="str">
            <v>B</v>
          </cell>
          <cell r="E929">
            <v>1</v>
          </cell>
          <cell r="F929">
            <v>0</v>
          </cell>
          <cell r="G929" t="str">
            <v>Évközi változás- okt.15.- áll.hozzájárulás</v>
          </cell>
        </row>
        <row r="930">
          <cell r="A930" t="str">
            <v>10</v>
          </cell>
          <cell r="B930" t="str">
            <v>31</v>
          </cell>
          <cell r="C930" t="str">
            <v>1</v>
          </cell>
          <cell r="D930" t="str">
            <v>B</v>
          </cell>
          <cell r="E930">
            <v>2</v>
          </cell>
          <cell r="F930">
            <v>0</v>
          </cell>
          <cell r="G930" t="str">
            <v>Tényleges - mutatoszám</v>
          </cell>
        </row>
        <row r="931">
          <cell r="A931" t="str">
            <v>11</v>
          </cell>
          <cell r="B931" t="str">
            <v>31</v>
          </cell>
          <cell r="C931" t="str">
            <v>1</v>
          </cell>
          <cell r="D931" t="str">
            <v>B</v>
          </cell>
          <cell r="E931">
            <v>1</v>
          </cell>
          <cell r="F931">
            <v>0</v>
          </cell>
          <cell r="G931" t="str">
            <v>Tényleges - állami hozzájárulás</v>
          </cell>
        </row>
        <row r="932">
          <cell r="A932" t="str">
            <v>12</v>
          </cell>
          <cell r="B932" t="str">
            <v>31</v>
          </cell>
          <cell r="C932" t="str">
            <v>1</v>
          </cell>
          <cell r="D932" t="str">
            <v>B</v>
          </cell>
          <cell r="E932">
            <v>2</v>
          </cell>
          <cell r="F932">
            <v>1</v>
          </cell>
          <cell r="G932" t="str">
            <v>Eltérés-dec.31.-mutatoszám(12=10-2-4-6-8)</v>
          </cell>
        </row>
        <row r="933">
          <cell r="A933" t="str">
            <v>13</v>
          </cell>
          <cell r="B933" t="str">
            <v>31</v>
          </cell>
          <cell r="C933" t="str">
            <v>1</v>
          </cell>
          <cell r="D933" t="str">
            <v>B</v>
          </cell>
          <cell r="E933">
            <v>1</v>
          </cell>
          <cell r="F933">
            <v>1</v>
          </cell>
          <cell r="G933" t="str">
            <v>Eltérés-dec.31.-áll.hozzájár.(13=11-3-5-7-9)</v>
          </cell>
        </row>
        <row r="934">
          <cell r="A934" t="str">
            <v>3</v>
          </cell>
          <cell r="B934" t="str">
            <v>32</v>
          </cell>
          <cell r="C934" t="str">
            <v>1</v>
          </cell>
          <cell r="D934" t="str">
            <v>B</v>
          </cell>
          <cell r="E934">
            <v>1</v>
          </cell>
          <cell r="F934">
            <v>0</v>
          </cell>
          <cell r="G934" t="str">
            <v>Beruházás tervezett összes költsége</v>
          </cell>
        </row>
        <row r="935">
          <cell r="A935" t="str">
            <v>4</v>
          </cell>
          <cell r="B935" t="str">
            <v>32</v>
          </cell>
          <cell r="C935" t="str">
            <v>1</v>
          </cell>
          <cell r="D935" t="str">
            <v>B</v>
          </cell>
          <cell r="E935">
            <v>1</v>
          </cell>
          <cell r="F935">
            <v>0</v>
          </cell>
          <cell r="G935" t="str">
            <v>Beruházásbol Céltámogatás - eredeti elöir.</v>
          </cell>
        </row>
        <row r="936">
          <cell r="A936" t="str">
            <v>5</v>
          </cell>
          <cell r="B936" t="str">
            <v>32</v>
          </cell>
          <cell r="C936" t="str">
            <v>1</v>
          </cell>
          <cell r="D936" t="str">
            <v>B</v>
          </cell>
          <cell r="E936">
            <v>1</v>
          </cell>
          <cell r="F936">
            <v>0</v>
          </cell>
          <cell r="G936" t="str">
            <v>Beruházásbol Céltámogatás - modositott elöir.</v>
          </cell>
        </row>
        <row r="937">
          <cell r="A937" t="str">
            <v>6</v>
          </cell>
          <cell r="B937" t="str">
            <v>32</v>
          </cell>
          <cell r="C937" t="str">
            <v>1</v>
          </cell>
          <cell r="D937" t="str">
            <v>B</v>
          </cell>
          <cell r="E937">
            <v>2</v>
          </cell>
          <cell r="F937">
            <v>0</v>
          </cell>
          <cell r="G937" t="str">
            <v>Elözö idöszak Beruházás összes ráforditása</v>
          </cell>
        </row>
        <row r="938">
          <cell r="A938" t="str">
            <v>7</v>
          </cell>
          <cell r="B938" t="str">
            <v>32</v>
          </cell>
          <cell r="C938" t="str">
            <v>1</v>
          </cell>
          <cell r="D938" t="str">
            <v>B</v>
          </cell>
          <cell r="E938">
            <v>1</v>
          </cell>
          <cell r="F938">
            <v>0</v>
          </cell>
          <cell r="G938" t="str">
            <v>Elözö idöszak Céltámogatás- idöarányos elöir.</v>
          </cell>
        </row>
        <row r="939">
          <cell r="A939" t="str">
            <v>8</v>
          </cell>
          <cell r="B939" t="str">
            <v>32</v>
          </cell>
          <cell r="C939" t="str">
            <v>1</v>
          </cell>
          <cell r="D939" t="str">
            <v>B</v>
          </cell>
          <cell r="E939">
            <v>1</v>
          </cell>
          <cell r="F939">
            <v>0</v>
          </cell>
          <cell r="G939" t="str">
            <v>Elözö idöszak Céltámogatás- igénybe vett össz.</v>
          </cell>
        </row>
        <row r="940">
          <cell r="A940" t="str">
            <v>9</v>
          </cell>
          <cell r="B940" t="str">
            <v>32</v>
          </cell>
          <cell r="C940" t="str">
            <v>1</v>
          </cell>
          <cell r="D940" t="str">
            <v>B</v>
          </cell>
          <cell r="E940">
            <v>2</v>
          </cell>
          <cell r="F940">
            <v>0</v>
          </cell>
          <cell r="G940" t="str">
            <v>Tárgyévi Beruházás **tervezett** ráforditása</v>
          </cell>
        </row>
        <row r="941">
          <cell r="A941" t="str">
            <v>10</v>
          </cell>
          <cell r="B941" t="str">
            <v>32</v>
          </cell>
          <cell r="C941" t="str">
            <v>1</v>
          </cell>
          <cell r="D941" t="str">
            <v>B</v>
          </cell>
          <cell r="E941">
            <v>1</v>
          </cell>
          <cell r="F941">
            <v>0</v>
          </cell>
          <cell r="G941" t="str">
            <v>Tárgyévi Céltámogatás elöir.- áthuzudo</v>
          </cell>
        </row>
        <row r="942">
          <cell r="A942" t="str">
            <v>11</v>
          </cell>
          <cell r="B942" t="str">
            <v>32</v>
          </cell>
          <cell r="C942" t="str">
            <v>1</v>
          </cell>
          <cell r="D942" t="str">
            <v>B</v>
          </cell>
          <cell r="E942">
            <v>1</v>
          </cell>
          <cell r="F942">
            <v>0</v>
          </cell>
          <cell r="G942" t="str">
            <v>Tárgyévi Céltámogatás elöir.- tárgyévi</v>
          </cell>
        </row>
        <row r="943">
          <cell r="A943" t="str">
            <v>12</v>
          </cell>
          <cell r="B943" t="str">
            <v>32</v>
          </cell>
          <cell r="C943" t="str">
            <v>1</v>
          </cell>
          <cell r="D943" t="str">
            <v>B</v>
          </cell>
          <cell r="E943">
            <v>1</v>
          </cell>
          <cell r="F943">
            <v>0</v>
          </cell>
          <cell r="G943" t="str">
            <v>Tárgyévi Céltámogatás elöir.- összes</v>
          </cell>
        </row>
        <row r="944">
          <cell r="A944" t="str">
            <v>13</v>
          </cell>
          <cell r="B944" t="str">
            <v>32</v>
          </cell>
          <cell r="C944" t="str">
            <v>1</v>
          </cell>
          <cell r="D944" t="str">
            <v>B</v>
          </cell>
          <cell r="E944">
            <v>2</v>
          </cell>
          <cell r="F944">
            <v>0</v>
          </cell>
          <cell r="G944" t="str">
            <v>Tárgyévi Beruházás **tényleges**  ráforditása</v>
          </cell>
        </row>
        <row r="945">
          <cell r="A945" t="str">
            <v>14</v>
          </cell>
          <cell r="B945" t="str">
            <v>32</v>
          </cell>
          <cell r="C945" t="str">
            <v>1</v>
          </cell>
          <cell r="D945" t="str">
            <v>B</v>
          </cell>
          <cell r="E945">
            <v>1</v>
          </cell>
          <cell r="F945">
            <v>0</v>
          </cell>
          <cell r="G945" t="str">
            <v>Tárgyévi Igénybe vett céltám.- áthuzodo elöir.</v>
          </cell>
        </row>
        <row r="946">
          <cell r="A946" t="str">
            <v>15</v>
          </cell>
          <cell r="B946" t="str">
            <v>32</v>
          </cell>
          <cell r="C946" t="str">
            <v>1</v>
          </cell>
          <cell r="D946" t="str">
            <v>B</v>
          </cell>
          <cell r="E946">
            <v>1</v>
          </cell>
          <cell r="F946">
            <v>0</v>
          </cell>
          <cell r="G946" t="str">
            <v>Tárgyévi Igénybe vett céltám.- tárgyévi elöir.</v>
          </cell>
        </row>
        <row r="947">
          <cell r="A947" t="str">
            <v>16</v>
          </cell>
          <cell r="B947" t="str">
            <v>32</v>
          </cell>
          <cell r="C947" t="str">
            <v>1</v>
          </cell>
          <cell r="D947" t="str">
            <v>B</v>
          </cell>
          <cell r="E947">
            <v>1</v>
          </cell>
          <cell r="F947">
            <v>0</v>
          </cell>
          <cell r="G947" t="str">
            <v>Tárgyévi Igénybe vett céltám.- összesen</v>
          </cell>
        </row>
        <row r="948">
          <cell r="A948" t="str">
            <v>1</v>
          </cell>
          <cell r="B948" t="str">
            <v>33</v>
          </cell>
          <cell r="C948" t="str">
            <v>1</v>
          </cell>
          <cell r="D948" t="str">
            <v>B</v>
          </cell>
          <cell r="E948">
            <v>1</v>
          </cell>
          <cell r="F948">
            <v>0</v>
          </cell>
          <cell r="G948" t="str">
            <v>Lakossági közmüfejlesztés támogatása</v>
          </cell>
        </row>
        <row r="949">
          <cell r="A949" t="str">
            <v>2</v>
          </cell>
          <cell r="B949" t="str">
            <v>33</v>
          </cell>
          <cell r="C949" t="str">
            <v>1</v>
          </cell>
          <cell r="D949" t="str">
            <v>B</v>
          </cell>
          <cell r="E949">
            <v>1</v>
          </cell>
          <cell r="F949">
            <v>0</v>
          </cell>
          <cell r="G949" t="str">
            <v>Lakossági viz- csatornaszolgáltatás támogatása</v>
          </cell>
        </row>
        <row r="950">
          <cell r="A950" t="str">
            <v>3</v>
          </cell>
          <cell r="B950" t="str">
            <v>33</v>
          </cell>
          <cell r="C950" t="str">
            <v>1</v>
          </cell>
          <cell r="D950" t="str">
            <v>B</v>
          </cell>
          <cell r="E950">
            <v>1</v>
          </cell>
          <cell r="F950">
            <v>0</v>
          </cell>
          <cell r="G950" t="str">
            <v>Kompok,révek fenntartásának,felujitásának támogatása</v>
          </cell>
        </row>
        <row r="951">
          <cell r="A951" t="str">
            <v>4</v>
          </cell>
          <cell r="B951" t="str">
            <v>33</v>
          </cell>
          <cell r="C951" t="str">
            <v>1</v>
          </cell>
          <cell r="D951" t="str">
            <v>B</v>
          </cell>
          <cell r="E951">
            <v>1</v>
          </cell>
          <cell r="F951">
            <v>0</v>
          </cell>
          <cell r="G951" t="str">
            <v>Határátkelöhelyek fenntartásának támogatása</v>
          </cell>
        </row>
        <row r="952">
          <cell r="A952" t="str">
            <v>5</v>
          </cell>
          <cell r="B952" t="str">
            <v>33</v>
          </cell>
          <cell r="C952" t="str">
            <v>1</v>
          </cell>
          <cell r="D952" t="str">
            <v>B</v>
          </cell>
          <cell r="E952">
            <v>1</v>
          </cell>
          <cell r="F952">
            <v>0</v>
          </cell>
          <cell r="G952" t="str">
            <v>Helyi kisebbségi önk.müködésének általános támogatása</v>
          </cell>
        </row>
        <row r="953">
          <cell r="A953" t="str">
            <v>6</v>
          </cell>
          <cell r="B953" t="str">
            <v>33</v>
          </cell>
          <cell r="C953" t="str">
            <v>1</v>
          </cell>
          <cell r="D953" t="str">
            <v>B</v>
          </cell>
          <cell r="E953">
            <v>1</v>
          </cell>
          <cell r="F953">
            <v>0</v>
          </cell>
          <cell r="G953" t="str">
            <v>Gyermek és ifjusági feladatok</v>
          </cell>
        </row>
        <row r="954">
          <cell r="A954" t="str">
            <v>7</v>
          </cell>
          <cell r="B954" t="str">
            <v>33</v>
          </cell>
          <cell r="C954" t="str">
            <v>1</v>
          </cell>
          <cell r="D954" t="str">
            <v>B</v>
          </cell>
          <cell r="E954">
            <v>1</v>
          </cell>
          <cell r="F954">
            <v>0</v>
          </cell>
          <cell r="G954" t="str">
            <v>Kiegészitö támogatás nemzetiségi iskolák fenntartásához</v>
          </cell>
        </row>
        <row r="955">
          <cell r="A955" t="str">
            <v>8</v>
          </cell>
          <cell r="B955" t="str">
            <v>33</v>
          </cell>
          <cell r="C955" t="str">
            <v>1</v>
          </cell>
          <cell r="D955" t="str">
            <v>B</v>
          </cell>
          <cell r="E955">
            <v>1</v>
          </cell>
          <cell r="F955">
            <v>0</v>
          </cell>
          <cell r="G955" t="str">
            <v>Könyvtári és közmüvelödési érdekeltségnövelö támogatás</v>
          </cell>
        </row>
        <row r="956">
          <cell r="A956" t="str">
            <v>9</v>
          </cell>
          <cell r="B956" t="str">
            <v>33</v>
          </cell>
          <cell r="C956" t="str">
            <v>1</v>
          </cell>
          <cell r="D956" t="str">
            <v>B</v>
          </cell>
          <cell r="E956">
            <v>1</v>
          </cell>
          <cell r="F956">
            <v>0</v>
          </cell>
          <cell r="G956" t="str">
            <v>Helyi önkormányzatok hivatásos zenekari és énekkari támog.</v>
          </cell>
        </row>
        <row r="957">
          <cell r="A957" t="str">
            <v>10</v>
          </cell>
          <cell r="B957" t="str">
            <v>33</v>
          </cell>
          <cell r="C957" t="str">
            <v>1</v>
          </cell>
          <cell r="D957" t="str">
            <v>B</v>
          </cell>
          <cell r="E957">
            <v>1</v>
          </cell>
          <cell r="F957">
            <v>0</v>
          </cell>
          <cell r="G957" t="str">
            <v>A létszámcsökkentéssel kapcsolatos kiadások támogatása</v>
          </cell>
        </row>
        <row r="958">
          <cell r="A958" t="str">
            <v>11</v>
          </cell>
          <cell r="B958" t="str">
            <v>33</v>
          </cell>
          <cell r="C958" t="str">
            <v>1</v>
          </cell>
          <cell r="D958" t="str">
            <v>B</v>
          </cell>
          <cell r="E958">
            <v>1</v>
          </cell>
          <cell r="F958">
            <v>0</v>
          </cell>
          <cell r="G958" t="str">
            <v>A könyvvizsgálatra kötelezett helyi önkorm.-k támogatása</v>
          </cell>
        </row>
        <row r="959">
          <cell r="A959" t="str">
            <v>12</v>
          </cell>
          <cell r="B959" t="str">
            <v>33</v>
          </cell>
          <cell r="C959" t="str">
            <v>1</v>
          </cell>
          <cell r="D959" t="str">
            <v>B</v>
          </cell>
          <cell r="E959">
            <v>1</v>
          </cell>
          <cell r="F959">
            <v>0</v>
          </cell>
          <cell r="G959" t="str">
            <v>Települési hulladék közszolgáltatás fejlesztéseinek tám.-a</v>
          </cell>
        </row>
        <row r="960">
          <cell r="A960" t="str">
            <v>13</v>
          </cell>
          <cell r="B960" t="str">
            <v>33</v>
          </cell>
          <cell r="C960" t="str">
            <v>1</v>
          </cell>
          <cell r="D960" t="str">
            <v>B</v>
          </cell>
          <cell r="E960">
            <v>1</v>
          </cell>
          <cell r="F960">
            <v>0</v>
          </cell>
          <cell r="G960" t="str">
            <v>Belsö ellenörzési társulások támogatása</v>
          </cell>
        </row>
        <row r="961">
          <cell r="A961" t="str">
            <v>14</v>
          </cell>
          <cell r="B961" t="str">
            <v>33</v>
          </cell>
          <cell r="C961" t="str">
            <v>1</v>
          </cell>
          <cell r="D961" t="str">
            <v>B</v>
          </cell>
          <cell r="E961">
            <v>1</v>
          </cell>
          <cell r="F961">
            <v>0</v>
          </cell>
          <cell r="G961" t="str">
            <v>ART  mozihálozat fejlesztésének támogatása</v>
          </cell>
        </row>
        <row r="962">
          <cell r="A962" t="str">
            <v>15</v>
          </cell>
          <cell r="B962" t="str">
            <v>33</v>
          </cell>
          <cell r="C962" t="str">
            <v>1</v>
          </cell>
          <cell r="D962" t="str">
            <v>B</v>
          </cell>
          <cell r="E962">
            <v>1</v>
          </cell>
          <cell r="F962">
            <v>0</v>
          </cell>
          <cell r="G962" t="str">
            <v>Ozdi martinsalak felh.miatt kártosodott lakoép.tul.kártalan.</v>
          </cell>
        </row>
        <row r="963">
          <cell r="A963" t="str">
            <v>16</v>
          </cell>
          <cell r="B963" t="str">
            <v>33</v>
          </cell>
          <cell r="C963" t="str">
            <v>1</v>
          </cell>
          <cell r="D963" t="str">
            <v>B</v>
          </cell>
          <cell r="E963">
            <v>1</v>
          </cell>
          <cell r="F963">
            <v>0</v>
          </cell>
          <cell r="G963" t="str">
            <v>Helyi önk. állat és növénykerti, vadasparki támogatása</v>
          </cell>
        </row>
        <row r="964">
          <cell r="A964" t="str">
            <v>17</v>
          </cell>
          <cell r="B964" t="str">
            <v>33</v>
          </cell>
          <cell r="C964" t="str">
            <v>1</v>
          </cell>
          <cell r="D964" t="str">
            <v>B</v>
          </cell>
          <cell r="E964">
            <v>1</v>
          </cell>
          <cell r="F964">
            <v>0</v>
          </cell>
          <cell r="G964" t="str">
            <v>Pincerendsz.,t.partfalak,földcsuszamlások veszélyelhár. tám.</v>
          </cell>
        </row>
        <row r="965">
          <cell r="A965" t="str">
            <v>18</v>
          </cell>
          <cell r="B965" t="str">
            <v>33</v>
          </cell>
          <cell r="C965" t="str">
            <v>1</v>
          </cell>
          <cell r="D965" t="str">
            <v>B</v>
          </cell>
          <cell r="E965">
            <v>1</v>
          </cell>
          <cell r="F965">
            <v>0</v>
          </cell>
          <cell r="G965" t="str">
            <v>A 2003. évi jövedelem-differenciálódással ér. besz.önk.tám.</v>
          </cell>
        </row>
        <row r="966">
          <cell r="A966" t="str">
            <v>19</v>
          </cell>
          <cell r="B966" t="str">
            <v>33</v>
          </cell>
          <cell r="C966" t="str">
            <v>1</v>
          </cell>
          <cell r="D966" t="str">
            <v>B</v>
          </cell>
          <cell r="E966">
            <v>1</v>
          </cell>
          <cell r="F966">
            <v>0</v>
          </cell>
          <cell r="G966" t="str">
            <v>Önk. EU-s, hazai fejl. pályázat saját forrás kieg. tám.</v>
          </cell>
        </row>
        <row r="967">
          <cell r="A967" t="str">
            <v>20</v>
          </cell>
          <cell r="B967" t="str">
            <v>33</v>
          </cell>
          <cell r="C967" t="str">
            <v>1</v>
          </cell>
          <cell r="D967" t="str">
            <v>B</v>
          </cell>
          <cell r="E967">
            <v>1</v>
          </cell>
          <cell r="F967">
            <v>0</v>
          </cell>
          <cell r="G967" t="str">
            <v>Kistérségi fejlesztések és kistérségi társulások ösztönzése</v>
          </cell>
        </row>
        <row r="968">
          <cell r="A968" t="str">
            <v>21</v>
          </cell>
          <cell r="B968" t="str">
            <v>33</v>
          </cell>
          <cell r="C968" t="str">
            <v>1</v>
          </cell>
          <cell r="D968" t="str">
            <v>B</v>
          </cell>
          <cell r="E968">
            <v>1</v>
          </cell>
          <cell r="F968">
            <v>0</v>
          </cell>
          <cell r="G968" t="str">
            <v>A múzeumok szakmai támogatása</v>
          </cell>
        </row>
        <row r="969">
          <cell r="A969" t="str">
            <v>22</v>
          </cell>
          <cell r="B969" t="str">
            <v>33</v>
          </cell>
          <cell r="C969" t="str">
            <v>1</v>
          </cell>
          <cell r="D969" t="str">
            <v>B</v>
          </cell>
          <cell r="E969">
            <v>1</v>
          </cell>
          <cell r="F969">
            <v>0</v>
          </cell>
          <cell r="G969" t="str">
            <v>Az ECDL vizsga és nyelvvizsga díjának visszatérítése</v>
          </cell>
        </row>
        <row r="970">
          <cell r="A970" t="str">
            <v>23</v>
          </cell>
          <cell r="B970" t="str">
            <v>33</v>
          </cell>
          <cell r="C970" t="str">
            <v>1</v>
          </cell>
          <cell r="D970" t="str">
            <v>B</v>
          </cell>
          <cell r="E970">
            <v>1</v>
          </cell>
          <cell r="F970">
            <v>0</v>
          </cell>
          <cell r="G970" t="str">
            <v>Helyi közforgalmú közlekedés normatív támogatása</v>
          </cell>
        </row>
        <row r="971">
          <cell r="A971" t="str">
            <v>24</v>
          </cell>
          <cell r="B971" t="str">
            <v>33</v>
          </cell>
          <cell r="C971" t="str">
            <v>1</v>
          </cell>
          <cell r="D971" t="str">
            <v>B</v>
          </cell>
          <cell r="E971">
            <v>1</v>
          </cell>
          <cell r="F971">
            <v>0</v>
          </cell>
          <cell r="G971" t="str">
            <v>Hozzájárulás a helyi önk. lakbértámogatási rendszeréhez</v>
          </cell>
        </row>
        <row r="972">
          <cell r="A972" t="str">
            <v>25</v>
          </cell>
          <cell r="B972" t="str">
            <v>33</v>
          </cell>
          <cell r="C972" t="str">
            <v>1</v>
          </cell>
          <cell r="D972" t="str">
            <v>B</v>
          </cell>
          <cell r="E972">
            <v>1</v>
          </cell>
          <cell r="F972">
            <v>0</v>
          </cell>
          <cell r="G972" t="str">
            <v>Helyi önk.körben foglalk.közalk. bérfejlesztéséhez támogatás</v>
          </cell>
        </row>
        <row r="973">
          <cell r="A973" t="str">
            <v>26</v>
          </cell>
          <cell r="B973" t="str">
            <v>33</v>
          </cell>
          <cell r="C973" t="str">
            <v>1</v>
          </cell>
          <cell r="D973" t="str">
            <v>B</v>
          </cell>
          <cell r="E973">
            <v>1</v>
          </cell>
          <cell r="F973">
            <v>0</v>
          </cell>
          <cell r="G973" t="str">
            <v>Egyéb</v>
          </cell>
        </row>
        <row r="974">
          <cell r="A974" t="str">
            <v>27</v>
          </cell>
          <cell r="B974" t="str">
            <v>33</v>
          </cell>
          <cell r="C974" t="str">
            <v>1</v>
          </cell>
          <cell r="D974" t="str">
            <v>B</v>
          </cell>
          <cell r="E974">
            <v>1</v>
          </cell>
          <cell r="F974">
            <v>0</v>
          </cell>
          <cell r="G974" t="str">
            <v>Központositott elöirányzatok összesen (01+...+26)</v>
          </cell>
        </row>
        <row r="975">
          <cell r="A975" t="str">
            <v>28</v>
          </cell>
          <cell r="B975" t="str">
            <v>33</v>
          </cell>
          <cell r="C975" t="str">
            <v>1</v>
          </cell>
          <cell r="D975" t="str">
            <v>B</v>
          </cell>
          <cell r="E975">
            <v>1</v>
          </cell>
          <cell r="F975">
            <v>2</v>
          </cell>
          <cell r="G975" t="str">
            <v>Egyes jövedelempotlo támogatások kiegészitése</v>
          </cell>
        </row>
        <row r="976">
          <cell r="A976" t="str">
            <v>29</v>
          </cell>
          <cell r="B976" t="str">
            <v>33</v>
          </cell>
          <cell r="C976" t="str">
            <v>1</v>
          </cell>
          <cell r="D976" t="str">
            <v>B</v>
          </cell>
          <cell r="E976">
            <v>1</v>
          </cell>
          <cell r="F976">
            <v>0</v>
          </cell>
          <cell r="G976" t="str">
            <v>Önkorm. által szervezett közcélú foglalkoztatás támogatása</v>
          </cell>
        </row>
        <row r="977">
          <cell r="A977" t="str">
            <v>30</v>
          </cell>
          <cell r="B977" t="str">
            <v>33</v>
          </cell>
          <cell r="C977" t="str">
            <v>1</v>
          </cell>
          <cell r="D977" t="str">
            <v>B</v>
          </cell>
          <cell r="E977">
            <v>1</v>
          </cell>
          <cell r="F977">
            <v>2</v>
          </cell>
          <cell r="G977" t="str">
            <v>Szoc.ellátásokkal kapcsolatos egyéb támogatás össz.(28+29)</v>
          </cell>
        </row>
        <row r="978">
          <cell r="A978" t="str">
            <v>31</v>
          </cell>
          <cell r="B978" t="str">
            <v>33</v>
          </cell>
          <cell r="C978" t="str">
            <v>1</v>
          </cell>
          <cell r="D978" t="str">
            <v>B</v>
          </cell>
          <cell r="E978">
            <v>1</v>
          </cell>
          <cell r="F978">
            <v>0</v>
          </cell>
          <cell r="G978" t="str">
            <v>Működtetési hozzájárulás</v>
          </cell>
        </row>
        <row r="979">
          <cell r="A979" t="str">
            <v>32</v>
          </cell>
          <cell r="B979" t="str">
            <v>33</v>
          </cell>
          <cell r="C979" t="str">
            <v>1</v>
          </cell>
          <cell r="D979" t="str">
            <v>B</v>
          </cell>
          <cell r="E979">
            <v>1</v>
          </cell>
          <cell r="F979">
            <v>0</v>
          </cell>
          <cell r="G979" t="str">
            <v>Művészeti tevékenység kiadásaihoz való hozzájárulás</v>
          </cell>
        </row>
        <row r="980">
          <cell r="A980" t="str">
            <v>33</v>
          </cell>
          <cell r="B980" t="str">
            <v>33</v>
          </cell>
          <cell r="C980" t="str">
            <v>1</v>
          </cell>
          <cell r="D980" t="str">
            <v>B</v>
          </cell>
          <cell r="E980">
            <v>1</v>
          </cell>
          <cell r="F980">
            <v>0</v>
          </cell>
          <cell r="G980" t="str">
            <v>Bábszínházak művészeti tevékenységének támogatása</v>
          </cell>
        </row>
        <row r="981">
          <cell r="A981" t="str">
            <v>34</v>
          </cell>
          <cell r="B981" t="str">
            <v>33</v>
          </cell>
          <cell r="C981" t="str">
            <v>1</v>
          </cell>
          <cell r="D981" t="str">
            <v>B</v>
          </cell>
          <cell r="E981">
            <v>1</v>
          </cell>
          <cell r="F981">
            <v>0</v>
          </cell>
          <cell r="G981" t="str">
            <v>Színházak pályázati támogatása</v>
          </cell>
        </row>
        <row r="982">
          <cell r="A982" t="str">
            <v>35</v>
          </cell>
          <cell r="B982" t="str">
            <v>33</v>
          </cell>
          <cell r="C982" t="str">
            <v>1</v>
          </cell>
          <cell r="D982" t="str">
            <v>B</v>
          </cell>
          <cell r="E982">
            <v>1</v>
          </cell>
          <cell r="F982">
            <v>2</v>
          </cell>
          <cell r="G982" t="str">
            <v>Helyi önkorm.színházi támogatása összesen (31+...+34)</v>
          </cell>
        </row>
        <row r="983">
          <cell r="A983" t="str">
            <v>1</v>
          </cell>
          <cell r="B983" t="str">
            <v>35</v>
          </cell>
          <cell r="C983" t="str">
            <v>1</v>
          </cell>
          <cell r="D983" t="str">
            <v>B</v>
          </cell>
          <cell r="E983">
            <v>1</v>
          </cell>
          <cell r="F983">
            <v>0</v>
          </cell>
          <cell r="G983" t="str">
            <v>Rendszeres személyi juttatások</v>
          </cell>
        </row>
        <row r="984">
          <cell r="A984" t="str">
            <v>2</v>
          </cell>
          <cell r="B984" t="str">
            <v>35</v>
          </cell>
          <cell r="C984" t="str">
            <v>1</v>
          </cell>
          <cell r="D984" t="str">
            <v>B</v>
          </cell>
          <cell r="E984">
            <v>1</v>
          </cell>
          <cell r="F984">
            <v>0</v>
          </cell>
          <cell r="G984" t="str">
            <v>Munkavégzéshez kapcsolodo juttatások</v>
          </cell>
        </row>
        <row r="985">
          <cell r="A985" t="str">
            <v>3</v>
          </cell>
          <cell r="B985" t="str">
            <v>35</v>
          </cell>
          <cell r="C985" t="str">
            <v>1</v>
          </cell>
          <cell r="D985" t="str">
            <v>B</v>
          </cell>
          <cell r="E985">
            <v>1</v>
          </cell>
          <cell r="F985">
            <v>0</v>
          </cell>
          <cell r="G985" t="str">
            <v>Foglalkoztatottak sajátos juttatásai</v>
          </cell>
        </row>
        <row r="986">
          <cell r="A986" t="str">
            <v>4</v>
          </cell>
          <cell r="B986" t="str">
            <v>35</v>
          </cell>
          <cell r="C986" t="str">
            <v>1</v>
          </cell>
          <cell r="D986" t="str">
            <v>B</v>
          </cell>
          <cell r="E986">
            <v>1</v>
          </cell>
          <cell r="F986">
            <v>0</v>
          </cell>
          <cell r="G986" t="str">
            <v>Személyhez kapcsolodo költs.és hozzájárulások</v>
          </cell>
        </row>
        <row r="987">
          <cell r="A987" t="str">
            <v>5</v>
          </cell>
          <cell r="B987" t="str">
            <v>35</v>
          </cell>
          <cell r="C987" t="str">
            <v>1</v>
          </cell>
          <cell r="D987" t="str">
            <v>B</v>
          </cell>
          <cell r="E987">
            <v>1</v>
          </cell>
          <cell r="F987">
            <v>0</v>
          </cell>
          <cell r="G987" t="str">
            <v>Szociális jellegü juttatások</v>
          </cell>
        </row>
        <row r="988">
          <cell r="A988" t="str">
            <v>6</v>
          </cell>
          <cell r="B988" t="str">
            <v>35</v>
          </cell>
          <cell r="C988" t="str">
            <v>1</v>
          </cell>
          <cell r="D988" t="str">
            <v>B</v>
          </cell>
          <cell r="E988">
            <v>1</v>
          </cell>
          <cell r="F988">
            <v>0</v>
          </cell>
          <cell r="G988" t="str">
            <v>Állományba tartozo különf.nem rendsz.juttat.</v>
          </cell>
        </row>
        <row r="989">
          <cell r="A989" t="str">
            <v>7</v>
          </cell>
          <cell r="B989" t="str">
            <v>35</v>
          </cell>
          <cell r="C989" t="str">
            <v>1</v>
          </cell>
          <cell r="D989" t="str">
            <v>B</v>
          </cell>
          <cell r="E989">
            <v>1</v>
          </cell>
          <cell r="F989">
            <v>3</v>
          </cell>
          <cell r="G989" t="str">
            <v>Nem rendszeres jutt.összesen (02+...+06)</v>
          </cell>
        </row>
        <row r="990">
          <cell r="A990" t="str">
            <v>8</v>
          </cell>
          <cell r="B990" t="str">
            <v>35</v>
          </cell>
          <cell r="C990" t="str">
            <v>1</v>
          </cell>
          <cell r="D990" t="str">
            <v>B</v>
          </cell>
          <cell r="E990">
            <v>1</v>
          </cell>
          <cell r="F990">
            <v>0</v>
          </cell>
          <cell r="G990" t="str">
            <v>Külsö személyi juttatások</v>
          </cell>
        </row>
        <row r="991">
          <cell r="A991" t="str">
            <v>9</v>
          </cell>
          <cell r="B991" t="str">
            <v>35</v>
          </cell>
          <cell r="C991" t="str">
            <v>1</v>
          </cell>
          <cell r="D991" t="str">
            <v>B</v>
          </cell>
          <cell r="E991">
            <v>1</v>
          </cell>
          <cell r="F991">
            <v>3</v>
          </cell>
          <cell r="G991" t="str">
            <v>Személyi juttatások összesen (01+07+08)</v>
          </cell>
        </row>
        <row r="992">
          <cell r="A992" t="str">
            <v>10</v>
          </cell>
          <cell r="B992" t="str">
            <v>35</v>
          </cell>
          <cell r="C992" t="str">
            <v>1</v>
          </cell>
          <cell r="D992" t="str">
            <v>B</v>
          </cell>
          <cell r="E992">
            <v>1</v>
          </cell>
          <cell r="F992">
            <v>0</v>
          </cell>
          <cell r="G992" t="str">
            <v>Nyitolétszám (fö)</v>
          </cell>
        </row>
        <row r="993">
          <cell r="A993" t="str">
            <v>11</v>
          </cell>
          <cell r="B993" t="str">
            <v>35</v>
          </cell>
          <cell r="C993" t="str">
            <v>1</v>
          </cell>
          <cell r="D993" t="str">
            <v>B</v>
          </cell>
          <cell r="E993">
            <v>1</v>
          </cell>
          <cell r="F993">
            <v>0</v>
          </cell>
          <cell r="G993" t="str">
            <v>Munkajogi nyitolétszám (fö)</v>
          </cell>
        </row>
        <row r="994">
          <cell r="A994" t="str">
            <v>12</v>
          </cell>
          <cell r="B994" t="str">
            <v>35</v>
          </cell>
          <cell r="C994" t="str">
            <v>1</v>
          </cell>
          <cell r="D994" t="str">
            <v>B</v>
          </cell>
          <cell r="E994">
            <v>1</v>
          </cell>
          <cell r="F994">
            <v>0</v>
          </cell>
          <cell r="G994" t="str">
            <v>Költségvetési eng.létszámkeret (álláshely) fö</v>
          </cell>
        </row>
        <row r="995">
          <cell r="A995" t="str">
            <v>13</v>
          </cell>
          <cell r="B995" t="str">
            <v>35</v>
          </cell>
          <cell r="C995" t="str">
            <v>1</v>
          </cell>
          <cell r="D995" t="str">
            <v>B</v>
          </cell>
          <cell r="E995">
            <v>1</v>
          </cell>
          <cell r="F995">
            <v>0</v>
          </cell>
          <cell r="G995" t="str">
            <v>Zárolétszám (fö)</v>
          </cell>
        </row>
        <row r="996">
          <cell r="A996" t="str">
            <v>14</v>
          </cell>
          <cell r="B996" t="str">
            <v>35</v>
          </cell>
          <cell r="C996" t="str">
            <v>1</v>
          </cell>
          <cell r="D996" t="str">
            <v>B</v>
          </cell>
          <cell r="E996">
            <v>1</v>
          </cell>
          <cell r="F996">
            <v>0</v>
          </cell>
          <cell r="G996" t="str">
            <v>Munkajogi zárolétszám (fö)</v>
          </cell>
        </row>
        <row r="997">
          <cell r="A997" t="str">
            <v>15</v>
          </cell>
          <cell r="B997" t="str">
            <v>35</v>
          </cell>
          <cell r="C997" t="str">
            <v>1</v>
          </cell>
          <cell r="D997" t="str">
            <v>B</v>
          </cell>
          <cell r="E997">
            <v>1</v>
          </cell>
          <cell r="F997">
            <v>0</v>
          </cell>
          <cell r="G997" t="str">
            <v>Üres álláshelyek száma dec.31-én</v>
          </cell>
        </row>
        <row r="998">
          <cell r="A998" t="str">
            <v>16</v>
          </cell>
          <cell r="B998" t="str">
            <v>35</v>
          </cell>
          <cell r="C998" t="str">
            <v>1</v>
          </cell>
          <cell r="D998" t="str">
            <v>B</v>
          </cell>
          <cell r="E998">
            <v>1</v>
          </cell>
          <cell r="F998">
            <v>0</v>
          </cell>
          <cell r="G998" t="str">
            <v>Tartósan üres álláshelyek száma</v>
          </cell>
        </row>
        <row r="999">
          <cell r="A999" t="str">
            <v>17</v>
          </cell>
          <cell r="B999" t="str">
            <v>35</v>
          </cell>
          <cell r="C999" t="str">
            <v>1</v>
          </cell>
          <cell r="D999" t="str">
            <v>B</v>
          </cell>
          <cell r="E999">
            <v>1</v>
          </cell>
          <cell r="F999">
            <v>0</v>
          </cell>
          <cell r="G999" t="str">
            <v>Átlagos statisztikai állományi létszám (fö)</v>
          </cell>
        </row>
        <row r="1000">
          <cell r="A1000" t="str">
            <v>18</v>
          </cell>
          <cell r="B1000" t="str">
            <v>35</v>
          </cell>
          <cell r="C1000" t="str">
            <v>1</v>
          </cell>
          <cell r="D1000" t="str">
            <v>B</v>
          </cell>
          <cell r="E1000">
            <v>1</v>
          </cell>
          <cell r="F1000">
            <v>1</v>
          </cell>
          <cell r="G1000" t="str">
            <v>ebböl-Tartalékos állományuak</v>
          </cell>
        </row>
        <row r="1001">
          <cell r="A1001" t="str">
            <v>19</v>
          </cell>
          <cell r="B1001" t="str">
            <v>35</v>
          </cell>
          <cell r="C1001" t="str">
            <v>1</v>
          </cell>
          <cell r="D1001" t="str">
            <v>B</v>
          </cell>
          <cell r="E1001">
            <v>1</v>
          </cell>
          <cell r="F1001">
            <v>1</v>
          </cell>
          <cell r="G1001" t="str">
            <v>ebböl-Katonai és rendvédelmi tan.hallgatoi</v>
          </cell>
        </row>
        <row r="1002">
          <cell r="A1002" t="str">
            <v>20</v>
          </cell>
          <cell r="B1002" t="str">
            <v>35</v>
          </cell>
          <cell r="C1002" t="str">
            <v>1</v>
          </cell>
          <cell r="D1002" t="str">
            <v>B</v>
          </cell>
          <cell r="E1002">
            <v>1</v>
          </cell>
          <cell r="F1002">
            <v>1</v>
          </cell>
          <cell r="G1002" t="str">
            <v>ebböl-Sorkatona</v>
          </cell>
        </row>
        <row r="1003">
          <cell r="A1003" t="str">
            <v>21</v>
          </cell>
          <cell r="B1003" t="str">
            <v>35</v>
          </cell>
          <cell r="C1003" t="str">
            <v>1</v>
          </cell>
          <cell r="D1003" t="str">
            <v>B</v>
          </cell>
          <cell r="E1003">
            <v>1</v>
          </cell>
          <cell r="F1003">
            <v>1</v>
          </cell>
          <cell r="G1003" t="str">
            <v>ebböl-Egyéb foglalkoztatottak</v>
          </cell>
        </row>
        <row r="1004">
          <cell r="A1004" t="str">
            <v>1</v>
          </cell>
          <cell r="B1004" t="str">
            <v>38</v>
          </cell>
          <cell r="C1004" t="str">
            <v>1</v>
          </cell>
          <cell r="D1004" t="str">
            <v>B</v>
          </cell>
          <cell r="E1004">
            <v>1</v>
          </cell>
          <cell r="F1004">
            <v>0</v>
          </cell>
          <cell r="G1004" t="str">
            <v>Tárgyévi nyitó állomány (Előző évi záró)</v>
          </cell>
        </row>
        <row r="1005">
          <cell r="A1005" t="str">
            <v>2</v>
          </cell>
          <cell r="B1005" t="str">
            <v>38</v>
          </cell>
          <cell r="C1005" t="str">
            <v>1</v>
          </cell>
          <cell r="D1005" t="str">
            <v>B</v>
          </cell>
          <cell r="E1005">
            <v>1</v>
          </cell>
          <cell r="F1005">
            <v>0</v>
          </cell>
          <cell r="G1005" t="str">
            <v>Bruttó növ.- Beszerzés, létesítés</v>
          </cell>
        </row>
        <row r="1006">
          <cell r="A1006" t="str">
            <v>3</v>
          </cell>
          <cell r="B1006" t="str">
            <v>38</v>
          </cell>
          <cell r="C1006" t="str">
            <v>1</v>
          </cell>
          <cell r="D1006" t="str">
            <v>B</v>
          </cell>
          <cell r="E1006">
            <v>1</v>
          </cell>
          <cell r="F1006">
            <v>0</v>
          </cell>
          <cell r="G1006" t="str">
            <v>Bruttó növ.- Felújítás</v>
          </cell>
        </row>
        <row r="1007">
          <cell r="A1007" t="str">
            <v>4</v>
          </cell>
          <cell r="B1007" t="str">
            <v>38</v>
          </cell>
          <cell r="C1007" t="str">
            <v>1</v>
          </cell>
          <cell r="D1007" t="str">
            <v>B</v>
          </cell>
          <cell r="E1007">
            <v>1</v>
          </cell>
          <cell r="F1007">
            <v>0</v>
          </cell>
          <cell r="G1007" t="str">
            <v>Bruttó növ.- Beszerzés,felújítás előz.felsz.ÁFÁ-ja</v>
          </cell>
        </row>
        <row r="1008">
          <cell r="A1008" t="str">
            <v>5</v>
          </cell>
          <cell r="B1008" t="str">
            <v>38</v>
          </cell>
          <cell r="C1008" t="str">
            <v>1</v>
          </cell>
          <cell r="D1008" t="str">
            <v>B</v>
          </cell>
          <cell r="E1008">
            <v>1</v>
          </cell>
          <cell r="F1008">
            <v>0</v>
          </cell>
          <cell r="G1008" t="str">
            <v>Bruttó növ.- Tárgyévi pénzforg.növ. (02+03+04)</v>
          </cell>
        </row>
        <row r="1009">
          <cell r="A1009" t="str">
            <v>6</v>
          </cell>
          <cell r="B1009" t="str">
            <v>38</v>
          </cell>
          <cell r="C1009" t="str">
            <v>1</v>
          </cell>
          <cell r="D1009" t="str">
            <v>B</v>
          </cell>
          <cell r="E1009">
            <v>1</v>
          </cell>
          <cell r="F1009">
            <v>0</v>
          </cell>
          <cell r="G1009" t="str">
            <v>Bruttó növ.- Saját kiv.beruh.(feluj.) aktivált értéke</v>
          </cell>
        </row>
        <row r="1010">
          <cell r="A1010" t="str">
            <v>7</v>
          </cell>
          <cell r="B1010" t="str">
            <v>38</v>
          </cell>
          <cell r="C1010" t="str">
            <v>1</v>
          </cell>
          <cell r="D1010" t="str">
            <v>B</v>
          </cell>
          <cell r="E1010">
            <v>1</v>
          </cell>
          <cell r="F1010">
            <v>0</v>
          </cell>
          <cell r="G1010" t="str">
            <v>Bruttó növ.- Előző év(ek) beruházásábol aktivált érték</v>
          </cell>
        </row>
        <row r="1011">
          <cell r="A1011" t="str">
            <v>8</v>
          </cell>
          <cell r="B1011" t="str">
            <v>38</v>
          </cell>
          <cell r="C1011" t="str">
            <v>1</v>
          </cell>
          <cell r="D1011" t="str">
            <v>B</v>
          </cell>
          <cell r="E1011">
            <v>1</v>
          </cell>
          <cell r="F1011">
            <v>0</v>
          </cell>
          <cell r="G1011" t="str">
            <v>Bruttó növ.- Térítésmentes átvétel</v>
          </cell>
        </row>
        <row r="1012">
          <cell r="A1012" t="str">
            <v>9</v>
          </cell>
          <cell r="B1012" t="str">
            <v>38</v>
          </cell>
          <cell r="C1012" t="str">
            <v>1</v>
          </cell>
          <cell r="D1012" t="str">
            <v>B</v>
          </cell>
          <cell r="E1012">
            <v>1</v>
          </cell>
          <cell r="F1012">
            <v>0</v>
          </cell>
          <cell r="G1012" t="str">
            <v>Bruttó növ.- Egyéb növekedés</v>
          </cell>
        </row>
        <row r="1013">
          <cell r="A1013" t="str">
            <v>10</v>
          </cell>
          <cell r="B1013" t="str">
            <v>38</v>
          </cell>
          <cell r="C1013" t="str">
            <v>1</v>
          </cell>
          <cell r="D1013" t="str">
            <v>B</v>
          </cell>
          <cell r="E1013">
            <v>1</v>
          </cell>
          <cell r="F1013">
            <v>0</v>
          </cell>
          <cell r="G1013" t="str">
            <v>Bruttó növ.- Tágyévi pénzforg.nélk.növ.össz.(06+...09)</v>
          </cell>
        </row>
        <row r="1014">
          <cell r="A1014" t="str">
            <v>11</v>
          </cell>
          <cell r="B1014" t="str">
            <v>38</v>
          </cell>
          <cell r="C1014" t="str">
            <v>1</v>
          </cell>
          <cell r="D1014" t="str">
            <v>B</v>
          </cell>
          <cell r="E1014">
            <v>1</v>
          </cell>
          <cell r="F1014">
            <v>2</v>
          </cell>
          <cell r="G1014" t="str">
            <v>Bruttó növ.- Összes növekedés (05+10)</v>
          </cell>
        </row>
        <row r="1015">
          <cell r="A1015" t="str">
            <v>12</v>
          </cell>
          <cell r="B1015" t="str">
            <v>38</v>
          </cell>
          <cell r="C1015" t="str">
            <v>1</v>
          </cell>
          <cell r="D1015" t="str">
            <v>B</v>
          </cell>
          <cell r="E1015">
            <v>1</v>
          </cell>
          <cell r="F1015">
            <v>0</v>
          </cell>
          <cell r="G1015" t="str">
            <v>Bruttó csök.- Értékesítés</v>
          </cell>
        </row>
        <row r="1016">
          <cell r="A1016" t="str">
            <v>13</v>
          </cell>
          <cell r="B1016" t="str">
            <v>38</v>
          </cell>
          <cell r="C1016" t="str">
            <v>1</v>
          </cell>
          <cell r="D1016" t="str">
            <v>B</v>
          </cell>
          <cell r="E1016">
            <v>1</v>
          </cell>
          <cell r="F1016">
            <v>0</v>
          </cell>
          <cell r="G1016" t="str">
            <v>Bruttó csök.- 02-04-ből nem aktivált beruh., felúj és ÁFA</v>
          </cell>
        </row>
        <row r="1017">
          <cell r="A1017" t="str">
            <v>14</v>
          </cell>
          <cell r="B1017" t="str">
            <v>38</v>
          </cell>
          <cell r="C1017" t="str">
            <v>1</v>
          </cell>
          <cell r="D1017" t="str">
            <v>B</v>
          </cell>
          <cell r="E1017">
            <v>1</v>
          </cell>
          <cell r="F1017">
            <v>0</v>
          </cell>
          <cell r="G1017" t="str">
            <v>Bruttó csök.- 02-04-ből a beruházási előleg összege</v>
          </cell>
        </row>
        <row r="1018">
          <cell r="A1018" t="str">
            <v>15</v>
          </cell>
          <cell r="B1018" t="str">
            <v>38</v>
          </cell>
          <cell r="C1018" t="str">
            <v>1</v>
          </cell>
          <cell r="D1018" t="str">
            <v>B</v>
          </cell>
          <cell r="E1018">
            <v>1</v>
          </cell>
          <cell r="F1018">
            <v>0</v>
          </cell>
          <cell r="G1018" t="str">
            <v>Bruttó csök.- Selejtezés, megsemmisülés</v>
          </cell>
        </row>
        <row r="1019">
          <cell r="A1019" t="str">
            <v>16</v>
          </cell>
          <cell r="B1019" t="str">
            <v>38</v>
          </cell>
          <cell r="C1019" t="str">
            <v>1</v>
          </cell>
          <cell r="D1019" t="str">
            <v>B</v>
          </cell>
          <cell r="E1019">
            <v>1</v>
          </cell>
          <cell r="F1019">
            <v>0</v>
          </cell>
          <cell r="G1019" t="str">
            <v>Bruttó csök.- Térítésmentes átadás</v>
          </cell>
        </row>
        <row r="1020">
          <cell r="A1020" t="str">
            <v>17</v>
          </cell>
          <cell r="B1020" t="str">
            <v>38</v>
          </cell>
          <cell r="C1020" t="str">
            <v>1</v>
          </cell>
          <cell r="D1020" t="str">
            <v>B</v>
          </cell>
          <cell r="E1020">
            <v>1</v>
          </cell>
          <cell r="F1020">
            <v>0</v>
          </cell>
          <cell r="G1020" t="str">
            <v>Bruttó csök.- Egyéb csökkenés</v>
          </cell>
        </row>
        <row r="1021">
          <cell r="A1021" t="str">
            <v>18</v>
          </cell>
          <cell r="B1021" t="str">
            <v>38</v>
          </cell>
          <cell r="C1021" t="str">
            <v>1</v>
          </cell>
          <cell r="D1021" t="str">
            <v>B</v>
          </cell>
          <cell r="E1021">
            <v>1</v>
          </cell>
          <cell r="F1021">
            <v>2</v>
          </cell>
          <cell r="G1021" t="str">
            <v>Bruttó csök.- Összes csökkenés (12+...+17)</v>
          </cell>
        </row>
        <row r="1022">
          <cell r="A1022" t="str">
            <v>19</v>
          </cell>
          <cell r="B1022" t="str">
            <v>38</v>
          </cell>
          <cell r="C1022" t="str">
            <v>1</v>
          </cell>
          <cell r="D1022" t="str">
            <v>B</v>
          </cell>
          <cell r="E1022">
            <v>1</v>
          </cell>
          <cell r="F1022">
            <v>3</v>
          </cell>
          <cell r="G1022" t="str">
            <v>Bruttó érték  ö s s z e s e n (01+11-18)</v>
          </cell>
        </row>
        <row r="1023">
          <cell r="A1023" t="str">
            <v>20</v>
          </cell>
          <cell r="B1023" t="str">
            <v>38</v>
          </cell>
          <cell r="C1023" t="str">
            <v>1</v>
          </cell>
          <cell r="D1023" t="str">
            <v>B</v>
          </cell>
          <cell r="E1023">
            <v>1</v>
          </cell>
          <cell r="F1023">
            <v>0</v>
          </cell>
          <cell r="G1023" t="str">
            <v>Terv szerinti értékcsökkenés nyitó állománya</v>
          </cell>
        </row>
        <row r="1024">
          <cell r="A1024" t="str">
            <v>21</v>
          </cell>
          <cell r="B1024" t="str">
            <v>38</v>
          </cell>
          <cell r="C1024" t="str">
            <v>1</v>
          </cell>
          <cell r="D1024" t="str">
            <v>B</v>
          </cell>
          <cell r="E1024">
            <v>1</v>
          </cell>
          <cell r="F1024">
            <v>0</v>
          </cell>
          <cell r="G1024" t="str">
            <v>Terv szerinti - Érték - Növekedés</v>
          </cell>
        </row>
        <row r="1025">
          <cell r="A1025" t="str">
            <v>22</v>
          </cell>
          <cell r="B1025" t="str">
            <v>38</v>
          </cell>
          <cell r="C1025" t="str">
            <v>1</v>
          </cell>
          <cell r="D1025" t="str">
            <v>B</v>
          </cell>
          <cell r="E1025">
            <v>1</v>
          </cell>
          <cell r="F1025">
            <v>0</v>
          </cell>
          <cell r="G1025" t="str">
            <v>Terv szerinti - Érték - Csökkenés</v>
          </cell>
        </row>
        <row r="1026">
          <cell r="A1026" t="str">
            <v>23</v>
          </cell>
          <cell r="B1026" t="str">
            <v>38</v>
          </cell>
          <cell r="C1026" t="str">
            <v>1</v>
          </cell>
          <cell r="D1026" t="str">
            <v>B</v>
          </cell>
          <cell r="E1026">
            <v>1</v>
          </cell>
          <cell r="F1026">
            <v>0</v>
          </cell>
          <cell r="G1026" t="str">
            <v>Terv szerinti értékcsökkenés záró állománya (20+21-22)</v>
          </cell>
        </row>
        <row r="1027">
          <cell r="A1027" t="str">
            <v>24</v>
          </cell>
          <cell r="B1027" t="str">
            <v>38</v>
          </cell>
          <cell r="C1027" t="str">
            <v>1</v>
          </cell>
          <cell r="D1027" t="str">
            <v>B</v>
          </cell>
          <cell r="E1027">
            <v>1</v>
          </cell>
          <cell r="F1027">
            <v>0</v>
          </cell>
          <cell r="G1027" t="str">
            <v>Terven felüli értékcsökkenés nyitó állománya</v>
          </cell>
        </row>
        <row r="1028">
          <cell r="A1028" t="str">
            <v>25</v>
          </cell>
          <cell r="B1028" t="str">
            <v>38</v>
          </cell>
          <cell r="C1028" t="str">
            <v>1</v>
          </cell>
          <cell r="D1028" t="str">
            <v>B</v>
          </cell>
          <cell r="E1028">
            <v>1</v>
          </cell>
          <cell r="F1028">
            <v>0</v>
          </cell>
          <cell r="G1028" t="str">
            <v>Terven felüli - Érték - Növekedés</v>
          </cell>
        </row>
        <row r="1029">
          <cell r="A1029" t="str">
            <v>26</v>
          </cell>
          <cell r="B1029" t="str">
            <v>38</v>
          </cell>
          <cell r="C1029" t="str">
            <v>1</v>
          </cell>
          <cell r="D1029" t="str">
            <v>B</v>
          </cell>
          <cell r="E1029">
            <v>1</v>
          </cell>
          <cell r="F1029">
            <v>0</v>
          </cell>
          <cell r="G1029" t="str">
            <v>Terven felüli - Érték - Csökkenés</v>
          </cell>
        </row>
        <row r="1030">
          <cell r="A1030" t="str">
            <v>27</v>
          </cell>
          <cell r="B1030" t="str">
            <v>38</v>
          </cell>
          <cell r="C1030" t="str">
            <v>1</v>
          </cell>
          <cell r="D1030" t="str">
            <v>B</v>
          </cell>
          <cell r="E1030">
            <v>1</v>
          </cell>
          <cell r="F1030">
            <v>0</v>
          </cell>
          <cell r="G1030" t="str">
            <v>Terven felüli értékcsökkenés visszaírása (25.sorból)</v>
          </cell>
        </row>
        <row r="1031">
          <cell r="A1031" t="str">
            <v>28</v>
          </cell>
          <cell r="B1031" t="str">
            <v>38</v>
          </cell>
          <cell r="C1031" t="str">
            <v>1</v>
          </cell>
          <cell r="D1031" t="str">
            <v>B</v>
          </cell>
          <cell r="E1031">
            <v>1</v>
          </cell>
          <cell r="F1031">
            <v>0</v>
          </cell>
          <cell r="G1031" t="str">
            <v>Terven felüli értékcsökkenés záró állománya (24+25-26)</v>
          </cell>
        </row>
        <row r="1032">
          <cell r="A1032" t="str">
            <v>29</v>
          </cell>
          <cell r="B1032" t="str">
            <v>38</v>
          </cell>
          <cell r="C1032" t="str">
            <v>1</v>
          </cell>
          <cell r="D1032" t="str">
            <v>B</v>
          </cell>
          <cell r="E1032">
            <v>1</v>
          </cell>
          <cell r="F1032">
            <v>2</v>
          </cell>
          <cell r="G1032" t="str">
            <v>Értékcsökkenés összesen (23+28)</v>
          </cell>
        </row>
        <row r="1033">
          <cell r="A1033" t="str">
            <v>30</v>
          </cell>
          <cell r="B1033" t="str">
            <v>38</v>
          </cell>
          <cell r="C1033" t="str">
            <v>1</v>
          </cell>
          <cell r="D1033" t="str">
            <v>B</v>
          </cell>
          <cell r="E1033">
            <v>1</v>
          </cell>
          <cell r="F1033">
            <v>4</v>
          </cell>
          <cell r="G1033" t="str">
            <v>Eszközök   n e t t ó   értéke (19-29)</v>
          </cell>
        </row>
        <row r="1034">
          <cell r="A1034" t="str">
            <v>31</v>
          </cell>
          <cell r="B1034" t="str">
            <v>38</v>
          </cell>
          <cell r="C1034" t="str">
            <v>1</v>
          </cell>
          <cell r="D1034" t="str">
            <v>B</v>
          </cell>
          <cell r="E1034">
            <v>1</v>
          </cell>
          <cell r="F1034">
            <v>0</v>
          </cell>
          <cell r="G1034" t="str">
            <v>Teljesen (0-ig) leírt eszközök bruttó értéke</v>
          </cell>
        </row>
        <row r="1035">
          <cell r="A1035" t="str">
            <v>3</v>
          </cell>
          <cell r="B1035" t="str">
            <v>39</v>
          </cell>
          <cell r="C1035" t="str">
            <v>1</v>
          </cell>
          <cell r="D1035" t="str">
            <v>B</v>
          </cell>
          <cell r="E1035">
            <v>1</v>
          </cell>
          <cell r="F1035">
            <v>0</v>
          </cell>
          <cell r="G1035" t="str">
            <v>Beruházás tervezett összes költsége</v>
          </cell>
        </row>
        <row r="1036">
          <cell r="A1036" t="str">
            <v>4</v>
          </cell>
          <cell r="B1036" t="str">
            <v>39</v>
          </cell>
          <cell r="C1036" t="str">
            <v>1</v>
          </cell>
          <cell r="D1036" t="str">
            <v>B</v>
          </cell>
          <cell r="E1036">
            <v>1</v>
          </cell>
          <cell r="F1036">
            <v>0</v>
          </cell>
          <cell r="G1036" t="str">
            <v>Beruházásbol Cimzett támog.- eredeti elöir.</v>
          </cell>
        </row>
        <row r="1037">
          <cell r="A1037" t="str">
            <v>5</v>
          </cell>
          <cell r="B1037" t="str">
            <v>39</v>
          </cell>
          <cell r="C1037" t="str">
            <v>1</v>
          </cell>
          <cell r="D1037" t="str">
            <v>B</v>
          </cell>
          <cell r="E1037">
            <v>1</v>
          </cell>
          <cell r="F1037">
            <v>0</v>
          </cell>
          <cell r="G1037" t="str">
            <v>Beruházásbol Cimzett támog.- modositott elöir.</v>
          </cell>
        </row>
        <row r="1038">
          <cell r="A1038" t="str">
            <v>6</v>
          </cell>
          <cell r="B1038" t="str">
            <v>39</v>
          </cell>
          <cell r="C1038" t="str">
            <v>1</v>
          </cell>
          <cell r="D1038" t="str">
            <v>B</v>
          </cell>
          <cell r="E1038">
            <v>1</v>
          </cell>
          <cell r="F1038">
            <v>0</v>
          </cell>
          <cell r="G1038" t="str">
            <v>Elözö idöszak Beruházás összes ráforditása</v>
          </cell>
        </row>
        <row r="1039">
          <cell r="A1039" t="str">
            <v>7</v>
          </cell>
          <cell r="B1039" t="str">
            <v>39</v>
          </cell>
          <cell r="C1039" t="str">
            <v>1</v>
          </cell>
          <cell r="D1039" t="str">
            <v>B</v>
          </cell>
          <cell r="E1039">
            <v>1</v>
          </cell>
          <cell r="F1039">
            <v>0</v>
          </cell>
          <cell r="G1039" t="str">
            <v>Elözö idöszak Cimzett támog.- idöarányos elöir.</v>
          </cell>
        </row>
        <row r="1040">
          <cell r="A1040" t="str">
            <v>8</v>
          </cell>
          <cell r="B1040" t="str">
            <v>39</v>
          </cell>
          <cell r="C1040" t="str">
            <v>1</v>
          </cell>
          <cell r="D1040" t="str">
            <v>B</v>
          </cell>
          <cell r="E1040">
            <v>1</v>
          </cell>
          <cell r="F1040">
            <v>0</v>
          </cell>
          <cell r="G1040" t="str">
            <v>Elözö idöszak Cimzett támog.- igénybe vett össz.</v>
          </cell>
        </row>
        <row r="1041">
          <cell r="A1041" t="str">
            <v>9</v>
          </cell>
          <cell r="B1041" t="str">
            <v>39</v>
          </cell>
          <cell r="C1041" t="str">
            <v>1</v>
          </cell>
          <cell r="D1041" t="str">
            <v>B</v>
          </cell>
          <cell r="E1041">
            <v>1</v>
          </cell>
          <cell r="F1041">
            <v>0</v>
          </cell>
          <cell r="G1041" t="str">
            <v>Tárgyévi Beruházás **tervezett** ráforditása</v>
          </cell>
        </row>
        <row r="1042">
          <cell r="A1042" t="str">
            <v>10</v>
          </cell>
          <cell r="B1042" t="str">
            <v>39</v>
          </cell>
          <cell r="C1042" t="str">
            <v>1</v>
          </cell>
          <cell r="D1042" t="str">
            <v>B</v>
          </cell>
          <cell r="E1042">
            <v>1</v>
          </cell>
          <cell r="F1042">
            <v>0</v>
          </cell>
          <cell r="G1042" t="str">
            <v>Tárgyévi Cimzett támog.elöir.- áthuzudo</v>
          </cell>
        </row>
        <row r="1043">
          <cell r="A1043" t="str">
            <v>11</v>
          </cell>
          <cell r="B1043" t="str">
            <v>39</v>
          </cell>
          <cell r="C1043" t="str">
            <v>1</v>
          </cell>
          <cell r="D1043" t="str">
            <v>B</v>
          </cell>
          <cell r="E1043">
            <v>1</v>
          </cell>
          <cell r="F1043">
            <v>0</v>
          </cell>
          <cell r="G1043" t="str">
            <v>Tárgyévi Cimzett támog.elöir.- tárgyévi</v>
          </cell>
        </row>
        <row r="1044">
          <cell r="A1044" t="str">
            <v>12</v>
          </cell>
          <cell r="B1044" t="str">
            <v>39</v>
          </cell>
          <cell r="C1044" t="str">
            <v>1</v>
          </cell>
          <cell r="D1044" t="str">
            <v>B</v>
          </cell>
          <cell r="E1044">
            <v>1</v>
          </cell>
          <cell r="F1044">
            <v>0</v>
          </cell>
          <cell r="G1044" t="str">
            <v>Tárgyévi Cimzett támog.elöir.- összes</v>
          </cell>
        </row>
        <row r="1045">
          <cell r="A1045" t="str">
            <v>13</v>
          </cell>
          <cell r="B1045" t="str">
            <v>39</v>
          </cell>
          <cell r="C1045" t="str">
            <v>1</v>
          </cell>
          <cell r="D1045" t="str">
            <v>B</v>
          </cell>
          <cell r="E1045">
            <v>1</v>
          </cell>
          <cell r="F1045">
            <v>0</v>
          </cell>
          <cell r="G1045" t="str">
            <v>Tárgyévi Beruházás **tényleges**  ráforditása</v>
          </cell>
        </row>
        <row r="1046">
          <cell r="A1046" t="str">
            <v>14</v>
          </cell>
          <cell r="B1046" t="str">
            <v>39</v>
          </cell>
          <cell r="C1046" t="str">
            <v>1</v>
          </cell>
          <cell r="D1046" t="str">
            <v>B</v>
          </cell>
          <cell r="E1046">
            <v>1</v>
          </cell>
          <cell r="F1046">
            <v>0</v>
          </cell>
          <cell r="G1046" t="str">
            <v>Tárgyévi Igénybe v.cimzett tám.- áthuzodo elöir.</v>
          </cell>
        </row>
        <row r="1047">
          <cell r="A1047" t="str">
            <v>15</v>
          </cell>
          <cell r="B1047" t="str">
            <v>39</v>
          </cell>
          <cell r="C1047" t="str">
            <v>1</v>
          </cell>
          <cell r="D1047" t="str">
            <v>B</v>
          </cell>
          <cell r="E1047">
            <v>1</v>
          </cell>
          <cell r="F1047">
            <v>0</v>
          </cell>
          <cell r="G1047" t="str">
            <v>Tárgyévi Igénybe v.cimzett tám.- tárgyévi elöir.</v>
          </cell>
        </row>
        <row r="1048">
          <cell r="A1048" t="str">
            <v>16</v>
          </cell>
          <cell r="B1048" t="str">
            <v>39</v>
          </cell>
          <cell r="C1048" t="str">
            <v>1</v>
          </cell>
          <cell r="D1048" t="str">
            <v>B</v>
          </cell>
          <cell r="E1048">
            <v>1</v>
          </cell>
          <cell r="F1048">
            <v>0</v>
          </cell>
          <cell r="G1048" t="str">
            <v>Tárgyévi Igénybe v.cimzett tám.- összesen</v>
          </cell>
        </row>
        <row r="1049">
          <cell r="A1049" t="str">
            <v>1</v>
          </cell>
          <cell r="B1049" t="str">
            <v>40</v>
          </cell>
          <cell r="C1049" t="str">
            <v>1</v>
          </cell>
          <cell r="D1049" t="str">
            <v>B</v>
          </cell>
          <cell r="E1049">
            <v>1</v>
          </cell>
          <cell r="F1049">
            <v>1</v>
          </cell>
          <cell r="G1049" t="str">
            <v>Önkormányzati lakások lakbérbevétele</v>
          </cell>
        </row>
        <row r="1050">
          <cell r="A1050" t="str">
            <v>2</v>
          </cell>
          <cell r="B1050" t="str">
            <v>40</v>
          </cell>
          <cell r="C1050" t="str">
            <v>1</v>
          </cell>
          <cell r="D1050" t="str">
            <v>B</v>
          </cell>
          <cell r="E1050">
            <v>1</v>
          </cell>
          <cell r="F1050">
            <v>1</v>
          </cell>
          <cell r="G1050" t="str">
            <v>Önkorm.egyéb helyiségek bérbeadásábol származo bevétel</v>
          </cell>
        </row>
        <row r="1051">
          <cell r="A1051" t="str">
            <v>3</v>
          </cell>
          <cell r="B1051" t="str">
            <v>40</v>
          </cell>
          <cell r="C1051" t="str">
            <v>1</v>
          </cell>
          <cell r="D1051" t="str">
            <v>B</v>
          </cell>
          <cell r="E1051">
            <v>1</v>
          </cell>
          <cell r="F1051">
            <v>1</v>
          </cell>
          <cell r="G1051" t="str">
            <v>Önkormányzati lakások értékesitése</v>
          </cell>
        </row>
        <row r="1052">
          <cell r="A1052" t="str">
            <v>4</v>
          </cell>
          <cell r="B1052" t="str">
            <v>40</v>
          </cell>
          <cell r="C1052" t="str">
            <v>1</v>
          </cell>
          <cell r="D1052" t="str">
            <v>B</v>
          </cell>
          <cell r="E1052">
            <v>1</v>
          </cell>
          <cell r="F1052">
            <v>1</v>
          </cell>
          <cell r="G1052" t="str">
            <v>Önkormányzati egyéb helyiségek értékesitése</v>
          </cell>
        </row>
        <row r="1053">
          <cell r="A1053" t="str">
            <v>5</v>
          </cell>
          <cell r="B1053" t="str">
            <v>40</v>
          </cell>
          <cell r="C1053" t="str">
            <v>1</v>
          </cell>
          <cell r="D1053" t="str">
            <v>B</v>
          </cell>
          <cell r="E1053">
            <v>1</v>
          </cell>
          <cell r="F1053">
            <v>1</v>
          </cell>
          <cell r="G1053" t="str">
            <v>Önkormányzati lakások cseréjéböl származo bevétel</v>
          </cell>
        </row>
        <row r="1054">
          <cell r="A1054" t="str">
            <v>6</v>
          </cell>
          <cell r="B1054" t="str">
            <v>40</v>
          </cell>
          <cell r="C1054" t="str">
            <v>1</v>
          </cell>
          <cell r="D1054" t="str">
            <v>B</v>
          </cell>
          <cell r="E1054">
            <v>1</v>
          </cell>
          <cell r="F1054">
            <v>4</v>
          </cell>
          <cell r="G1054" t="str">
            <v>Bevételek összesen (01+...+05)</v>
          </cell>
        </row>
        <row r="1055">
          <cell r="A1055" t="str">
            <v>7</v>
          </cell>
          <cell r="B1055" t="str">
            <v>40</v>
          </cell>
          <cell r="C1055" t="str">
            <v>1</v>
          </cell>
          <cell r="D1055" t="str">
            <v>B</v>
          </cell>
          <cell r="E1055">
            <v>1</v>
          </cell>
          <cell r="F1055">
            <v>1</v>
          </cell>
          <cell r="G1055" t="str">
            <v>Önkorm.lakások és helyiségek - fenntartási költsége</v>
          </cell>
        </row>
        <row r="1056">
          <cell r="A1056" t="str">
            <v>8</v>
          </cell>
          <cell r="B1056" t="str">
            <v>40</v>
          </cell>
          <cell r="C1056" t="str">
            <v>1</v>
          </cell>
          <cell r="D1056" t="str">
            <v>B</v>
          </cell>
          <cell r="E1056">
            <v>1</v>
          </cell>
          <cell r="F1056">
            <v>1</v>
          </cell>
          <cell r="G1056" t="str">
            <v>Önkorm.lakások és helyiségek - felujitása</v>
          </cell>
        </row>
        <row r="1057">
          <cell r="A1057" t="str">
            <v>9</v>
          </cell>
          <cell r="B1057" t="str">
            <v>40</v>
          </cell>
          <cell r="C1057" t="str">
            <v>1</v>
          </cell>
          <cell r="D1057" t="str">
            <v>B</v>
          </cell>
          <cell r="E1057">
            <v>1</v>
          </cell>
          <cell r="F1057">
            <v>1</v>
          </cell>
          <cell r="G1057" t="str">
            <v>Lakások és helyiségek elidegenitésének költsége</v>
          </cell>
        </row>
        <row r="1058">
          <cell r="A1058" t="str">
            <v>10</v>
          </cell>
          <cell r="B1058" t="str">
            <v>40</v>
          </cell>
          <cell r="C1058" t="str">
            <v>1</v>
          </cell>
          <cell r="D1058" t="str">
            <v>B</v>
          </cell>
          <cell r="E1058">
            <v>1</v>
          </cell>
          <cell r="F1058">
            <v>1</v>
          </cell>
          <cell r="G1058" t="str">
            <v>Személyi tulajdonu lakoépületek felujitási támogatása</v>
          </cell>
        </row>
        <row r="1059">
          <cell r="A1059" t="str">
            <v>11</v>
          </cell>
          <cell r="B1059" t="str">
            <v>40</v>
          </cell>
          <cell r="C1059" t="str">
            <v>1</v>
          </cell>
          <cell r="D1059" t="str">
            <v>B</v>
          </cell>
          <cell r="E1059">
            <v>1</v>
          </cell>
          <cell r="F1059">
            <v>1</v>
          </cell>
          <cell r="G1059" t="str">
            <v>Önkorm.saját bevételböl- lakásfenntartási támogatásra</v>
          </cell>
        </row>
        <row r="1060">
          <cell r="A1060" t="str">
            <v>12</v>
          </cell>
          <cell r="B1060" t="str">
            <v>40</v>
          </cell>
          <cell r="C1060" t="str">
            <v>1</v>
          </cell>
          <cell r="D1060" t="str">
            <v>B</v>
          </cell>
          <cell r="E1060">
            <v>1</v>
          </cell>
          <cell r="F1060">
            <v>1</v>
          </cell>
          <cell r="G1060" t="str">
            <v>Önkorm.saját bevételböl- kényszerbérletek felszámolására</v>
          </cell>
        </row>
        <row r="1061">
          <cell r="A1061" t="str">
            <v>13</v>
          </cell>
          <cell r="B1061" t="str">
            <v>40</v>
          </cell>
          <cell r="C1061" t="str">
            <v>1</v>
          </cell>
          <cell r="D1061" t="str">
            <v>B</v>
          </cell>
          <cell r="E1061">
            <v>1</v>
          </cell>
          <cell r="F1061">
            <v>4</v>
          </cell>
          <cell r="G1061" t="str">
            <v>Kiadások összesen (07+...+12)</v>
          </cell>
        </row>
        <row r="1062">
          <cell r="A1062" t="str">
            <v>14</v>
          </cell>
          <cell r="B1062" t="str">
            <v>40</v>
          </cell>
          <cell r="C1062" t="str">
            <v>1</v>
          </cell>
          <cell r="D1062" t="str">
            <v>B</v>
          </cell>
          <cell r="E1062">
            <v>1</v>
          </cell>
          <cell r="F1062">
            <v>1</v>
          </cell>
          <cell r="G1062" t="str">
            <v>Tájékoztato adat-Önkorm.lakás épitésére fordit.kiadás</v>
          </cell>
        </row>
        <row r="1063">
          <cell r="A1063" t="str">
            <v>15</v>
          </cell>
          <cell r="B1063" t="str">
            <v>40</v>
          </cell>
          <cell r="C1063" t="str">
            <v>1</v>
          </cell>
          <cell r="D1063" t="str">
            <v>B</v>
          </cell>
          <cell r="E1063">
            <v>1</v>
          </cell>
          <cell r="F1063">
            <v>1</v>
          </cell>
          <cell r="G1063" t="str">
            <v>Tájékoztato adat-Ingatlanvásárlás önkorm.lakás céljára</v>
          </cell>
        </row>
        <row r="1064">
          <cell r="A1064" t="str">
            <v>16</v>
          </cell>
          <cell r="B1064" t="str">
            <v>40</v>
          </cell>
          <cell r="C1064" t="str">
            <v>1</v>
          </cell>
          <cell r="D1064" t="str">
            <v>B</v>
          </cell>
          <cell r="E1064">
            <v>1</v>
          </cell>
          <cell r="F1064">
            <v>1</v>
          </cell>
          <cell r="G1064" t="str">
            <v>Tájékoztato adat-Támogatás Áll.Támogatásu Bérlakás Prog.</v>
          </cell>
        </row>
        <row r="1065">
          <cell r="A1065" t="str">
            <v>17</v>
          </cell>
          <cell r="B1065" t="str">
            <v>40</v>
          </cell>
          <cell r="C1065" t="str">
            <v>1</v>
          </cell>
          <cell r="D1065" t="str">
            <v>B</v>
          </cell>
          <cell r="E1065">
            <v>1</v>
          </cell>
          <cell r="F1065">
            <v>1</v>
          </cell>
          <cell r="G1065" t="str">
            <v>Tájékoztato adat-Kiadás Áll.Támogatásu Bérlakás Program</v>
          </cell>
        </row>
        <row r="1066">
          <cell r="A1066" t="str">
            <v>18</v>
          </cell>
          <cell r="B1066" t="str">
            <v>40</v>
          </cell>
          <cell r="C1066" t="str">
            <v>1</v>
          </cell>
          <cell r="D1066" t="str">
            <v>B</v>
          </cell>
          <cell r="E1066">
            <v>1</v>
          </cell>
          <cell r="F1066">
            <v>1</v>
          </cell>
          <cell r="G1066" t="str">
            <v>Tájékoztato adat-Technikai összesen (14+17)</v>
          </cell>
        </row>
        <row r="1067">
          <cell r="A1067" t="str">
            <v>1</v>
          </cell>
          <cell r="B1067" t="str">
            <v>41</v>
          </cell>
          <cell r="C1067" t="str">
            <v>1</v>
          </cell>
          <cell r="D1067" t="str">
            <v>B</v>
          </cell>
          <cell r="E1067">
            <v>1</v>
          </cell>
          <cell r="F1067">
            <v>0</v>
          </cell>
          <cell r="G1067" t="str">
            <v>Fejezeti maradványelszámolási számla nyito egyenlege</v>
          </cell>
        </row>
        <row r="1068">
          <cell r="A1068" t="str">
            <v>2</v>
          </cell>
          <cell r="B1068" t="str">
            <v>41</v>
          </cell>
          <cell r="C1068" t="str">
            <v>1</v>
          </cell>
          <cell r="D1068" t="str">
            <v>B</v>
          </cell>
          <cell r="E1068">
            <v>1</v>
          </cell>
          <cell r="F1068">
            <v>0</v>
          </cell>
          <cell r="G1068" t="str">
            <v>Fej.alatti - ktsg-i szervek elöirányzat maradványa jováirása</v>
          </cell>
        </row>
        <row r="1069">
          <cell r="A1069" t="str">
            <v>3</v>
          </cell>
          <cell r="B1069" t="str">
            <v>41</v>
          </cell>
          <cell r="C1069" t="str">
            <v>1</v>
          </cell>
          <cell r="D1069" t="str">
            <v>B</v>
          </cell>
          <cell r="E1069">
            <v>1</v>
          </cell>
          <cell r="F1069">
            <v>0</v>
          </cell>
          <cell r="G1069" t="str">
            <v>Fej.alatti - pénz-,elöir.-maradv.fej.felülvizsg.-t jováirása</v>
          </cell>
        </row>
        <row r="1070">
          <cell r="A1070" t="str">
            <v>4</v>
          </cell>
          <cell r="B1070" t="str">
            <v>41</v>
          </cell>
          <cell r="C1070" t="str">
            <v>1</v>
          </cell>
          <cell r="D1070" t="str">
            <v>B</v>
          </cell>
          <cell r="E1070">
            <v>1</v>
          </cell>
          <cell r="F1070">
            <v>0</v>
          </cell>
          <cell r="G1070" t="str">
            <v>Fej.alatti - pénz-,elöir.-maradv.ellenörzö szerv-i jováirása</v>
          </cell>
        </row>
        <row r="1071">
          <cell r="A1071" t="str">
            <v>5</v>
          </cell>
          <cell r="B1071" t="str">
            <v>41</v>
          </cell>
          <cell r="C1071" t="str">
            <v>1</v>
          </cell>
          <cell r="D1071" t="str">
            <v>B</v>
          </cell>
          <cell r="E1071">
            <v>1</v>
          </cell>
          <cell r="F1071">
            <v>0</v>
          </cell>
          <cell r="G1071" t="str">
            <v>Fej.alatti - normativ hozzájár.elözö évi maradvány jováirása</v>
          </cell>
        </row>
        <row r="1072">
          <cell r="A1072" t="str">
            <v>6</v>
          </cell>
          <cell r="B1072" t="str">
            <v>41</v>
          </cell>
          <cell r="C1072" t="str">
            <v>1</v>
          </cell>
          <cell r="D1072" t="str">
            <v>B</v>
          </cell>
          <cell r="E1072">
            <v>1</v>
          </cell>
          <cell r="F1072">
            <v>0</v>
          </cell>
          <cell r="G1072" t="str">
            <v>Fej.alatti - egyéb jováirások</v>
          </cell>
        </row>
        <row r="1073">
          <cell r="A1073" t="str">
            <v>7</v>
          </cell>
          <cell r="B1073" t="str">
            <v>41</v>
          </cell>
          <cell r="C1073" t="str">
            <v>1</v>
          </cell>
          <cell r="D1073" t="str">
            <v>B</v>
          </cell>
          <cell r="E1073">
            <v>1</v>
          </cell>
          <cell r="F1073">
            <v>0</v>
          </cell>
          <cell r="G1073" t="str">
            <v>Társadalmi önszervezödés normativ hozzájár.és tám.visszatér.</v>
          </cell>
        </row>
        <row r="1074">
          <cell r="A1074" t="str">
            <v>8</v>
          </cell>
          <cell r="B1074" t="str">
            <v>41</v>
          </cell>
          <cell r="C1074" t="str">
            <v>1</v>
          </cell>
          <cell r="D1074" t="str">
            <v>B</v>
          </cell>
          <cell r="E1074">
            <v>1</v>
          </cell>
          <cell r="F1074">
            <v>0</v>
          </cell>
          <cell r="G1074" t="str">
            <v>Egyéb bevételek</v>
          </cell>
        </row>
        <row r="1075">
          <cell r="A1075" t="str">
            <v>9</v>
          </cell>
          <cell r="B1075" t="str">
            <v>41</v>
          </cell>
          <cell r="C1075" t="str">
            <v>1</v>
          </cell>
          <cell r="D1075" t="str">
            <v>B</v>
          </cell>
          <cell r="E1075">
            <v>2</v>
          </cell>
          <cell r="F1075">
            <v>2</v>
          </cell>
          <cell r="G1075" t="str">
            <v>Bevételek (jováirások) összesen (02+...+08)</v>
          </cell>
        </row>
        <row r="1076">
          <cell r="A1076" t="str">
            <v>10</v>
          </cell>
          <cell r="B1076" t="str">
            <v>41</v>
          </cell>
          <cell r="C1076" t="str">
            <v>1</v>
          </cell>
          <cell r="D1076" t="str">
            <v>B</v>
          </cell>
          <cell r="E1076">
            <v>2</v>
          </cell>
          <cell r="F1076">
            <v>0</v>
          </cell>
          <cell r="G1076" t="str">
            <v>Közp.ktsg.átvez.- fej.alatti szerv miatti csökk.átvezetése</v>
          </cell>
        </row>
        <row r="1077">
          <cell r="A1077" t="str">
            <v>11</v>
          </cell>
          <cell r="B1077" t="str">
            <v>41</v>
          </cell>
          <cell r="C1077" t="str">
            <v>1</v>
          </cell>
          <cell r="D1077" t="str">
            <v>B</v>
          </cell>
          <cell r="E1077">
            <v>1</v>
          </cell>
          <cell r="F1077">
            <v>0</v>
          </cell>
          <cell r="G1077" t="str">
            <v>Közp.ktsg.átvez.- normativ hozzájár.maradvány átvezetése</v>
          </cell>
        </row>
        <row r="1078">
          <cell r="A1078" t="str">
            <v>12</v>
          </cell>
          <cell r="B1078" t="str">
            <v>41</v>
          </cell>
          <cell r="C1078" t="str">
            <v>1</v>
          </cell>
          <cell r="D1078" t="str">
            <v>B</v>
          </cell>
          <cell r="E1078">
            <v>1</v>
          </cell>
          <cell r="F1078">
            <v>0</v>
          </cell>
          <cell r="G1078" t="str">
            <v>Közp.ktsg.átvez.- egyéb átvezetések</v>
          </cell>
        </row>
        <row r="1079">
          <cell r="A1079" t="str">
            <v>13</v>
          </cell>
          <cell r="B1079" t="str">
            <v>41</v>
          </cell>
          <cell r="C1079" t="str">
            <v>1</v>
          </cell>
          <cell r="D1079" t="str">
            <v>B</v>
          </cell>
          <cell r="E1079">
            <v>1</v>
          </cell>
          <cell r="F1079">
            <v>2</v>
          </cell>
          <cell r="G1079" t="str">
            <v>Központi ktsg-t érintö átvezetések összesen (10+11+12)</v>
          </cell>
        </row>
        <row r="1080">
          <cell r="A1080" t="str">
            <v>14</v>
          </cell>
          <cell r="B1080" t="str">
            <v>41</v>
          </cell>
          <cell r="C1080" t="str">
            <v>1</v>
          </cell>
          <cell r="D1080" t="str">
            <v>B</v>
          </cell>
          <cell r="E1080">
            <v>1</v>
          </cell>
          <cell r="F1080">
            <v>0</v>
          </cell>
          <cell r="G1080" t="str">
            <v>Fejezet felügy.alatti közp.szervet érintö elözö évi rendez.</v>
          </cell>
        </row>
        <row r="1081">
          <cell r="A1081" t="str">
            <v>15</v>
          </cell>
          <cell r="B1081" t="str">
            <v>41</v>
          </cell>
          <cell r="C1081" t="str">
            <v>1</v>
          </cell>
          <cell r="D1081" t="str">
            <v>B</v>
          </cell>
          <cell r="E1081">
            <v>1</v>
          </cell>
          <cell r="F1081">
            <v>0</v>
          </cell>
          <cell r="G1081" t="str">
            <v>Társ.önszervezödésnek kiutalt elözö évi normativ hoz.,támog.</v>
          </cell>
        </row>
        <row r="1082">
          <cell r="A1082" t="str">
            <v>16</v>
          </cell>
          <cell r="B1082" t="str">
            <v>41</v>
          </cell>
          <cell r="C1082" t="str">
            <v>1</v>
          </cell>
          <cell r="D1082" t="str">
            <v>B</v>
          </cell>
          <cell r="E1082">
            <v>1</v>
          </cell>
          <cell r="F1082">
            <v>0</v>
          </cell>
          <cell r="G1082" t="str">
            <v>Egyéb kiadás</v>
          </cell>
        </row>
        <row r="1083">
          <cell r="A1083" t="str">
            <v>17</v>
          </cell>
          <cell r="B1083" t="str">
            <v>41</v>
          </cell>
          <cell r="C1083" t="str">
            <v>1</v>
          </cell>
          <cell r="D1083" t="str">
            <v>B</v>
          </cell>
          <cell r="E1083">
            <v>2</v>
          </cell>
          <cell r="F1083">
            <v>2</v>
          </cell>
          <cell r="G1083" t="str">
            <v>Kiadások (átvezetések) öszesen (13+14+15+16)</v>
          </cell>
        </row>
        <row r="1084">
          <cell r="A1084" t="str">
            <v>18</v>
          </cell>
          <cell r="B1084" t="str">
            <v>41</v>
          </cell>
          <cell r="C1084" t="str">
            <v>1</v>
          </cell>
          <cell r="D1084" t="str">
            <v>B</v>
          </cell>
          <cell r="E1084">
            <v>2</v>
          </cell>
          <cell r="F1084">
            <v>3</v>
          </cell>
          <cell r="G1084" t="str">
            <v>Fejezeti maradványelsz.számla egyenl.XII.31-én (01+09-17)</v>
          </cell>
        </row>
        <row r="1085">
          <cell r="A1085" t="str">
            <v>1</v>
          </cell>
          <cell r="B1085" t="str">
            <v>42</v>
          </cell>
          <cell r="C1085" t="str">
            <v>1</v>
          </cell>
          <cell r="D1085" t="str">
            <v>B</v>
          </cell>
          <cell r="E1085">
            <v>1</v>
          </cell>
          <cell r="F1085">
            <v>0</v>
          </cell>
          <cell r="G1085" t="str">
            <v>Kiadási elöirányzat                                     (+)</v>
          </cell>
        </row>
        <row r="1086">
          <cell r="A1086" t="str">
            <v>2</v>
          </cell>
          <cell r="B1086" t="str">
            <v>42</v>
          </cell>
          <cell r="C1086" t="str">
            <v>1</v>
          </cell>
          <cell r="D1086" t="str">
            <v>B</v>
          </cell>
          <cell r="E1086">
            <v>1</v>
          </cell>
          <cell r="F1086">
            <v>0</v>
          </cell>
          <cell r="G1086" t="str">
            <v>Kiadási elöirányzat teljesitése                         (-)</v>
          </cell>
        </row>
        <row r="1087">
          <cell r="A1087" t="str">
            <v>3</v>
          </cell>
          <cell r="B1087" t="str">
            <v>42</v>
          </cell>
          <cell r="C1087" t="str">
            <v>1</v>
          </cell>
          <cell r="D1087" t="str">
            <v>B</v>
          </cell>
          <cell r="E1087">
            <v>1</v>
          </cell>
          <cell r="F1087">
            <v>2</v>
          </cell>
          <cell r="G1087" t="str">
            <v>Kiadási megtataritás (lemaradás) (01-02)            (+ -)</v>
          </cell>
        </row>
        <row r="1088">
          <cell r="A1088" t="str">
            <v>4</v>
          </cell>
          <cell r="B1088" t="str">
            <v>42</v>
          </cell>
          <cell r="C1088" t="str">
            <v>1</v>
          </cell>
          <cell r="D1088" t="str">
            <v>B</v>
          </cell>
          <cell r="E1088">
            <v>1</v>
          </cell>
          <cell r="F1088">
            <v>0</v>
          </cell>
          <cell r="G1088" t="str">
            <v>Bevételi elöirányzat                                    (-)</v>
          </cell>
        </row>
        <row r="1089">
          <cell r="A1089" t="str">
            <v>5</v>
          </cell>
          <cell r="B1089" t="str">
            <v>42</v>
          </cell>
          <cell r="C1089" t="str">
            <v>1</v>
          </cell>
          <cell r="D1089" t="str">
            <v>B</v>
          </cell>
          <cell r="E1089">
            <v>1</v>
          </cell>
          <cell r="F1089">
            <v>0</v>
          </cell>
          <cell r="G1089" t="str">
            <v>Bevételi elöirányzat teljesitése                        (+)</v>
          </cell>
        </row>
        <row r="1090">
          <cell r="A1090" t="str">
            <v>6</v>
          </cell>
          <cell r="B1090" t="str">
            <v>42</v>
          </cell>
          <cell r="C1090" t="str">
            <v>1</v>
          </cell>
          <cell r="D1090" t="str">
            <v>B</v>
          </cell>
          <cell r="E1090">
            <v>1</v>
          </cell>
          <cell r="F1090">
            <v>2</v>
          </cell>
          <cell r="G1090" t="str">
            <v>Bevételi lemaradás (tulteljesités) (05-04)          (+ -)</v>
          </cell>
        </row>
        <row r="1091">
          <cell r="A1091" t="str">
            <v>7</v>
          </cell>
          <cell r="B1091" t="str">
            <v>42</v>
          </cell>
          <cell r="C1091" t="str">
            <v>1</v>
          </cell>
          <cell r="D1091" t="str">
            <v>B</v>
          </cell>
          <cell r="E1091">
            <v>1</v>
          </cell>
          <cell r="F1091">
            <v>2</v>
          </cell>
          <cell r="G1091" t="str">
            <v>Kiadási megtak.,bevételi lemaradás különbség (03+06)(+ -)</v>
          </cell>
        </row>
        <row r="1092">
          <cell r="A1092" t="str">
            <v>8</v>
          </cell>
          <cell r="B1092" t="str">
            <v>42</v>
          </cell>
          <cell r="C1092" t="str">
            <v>1</v>
          </cell>
          <cell r="D1092" t="str">
            <v>B</v>
          </cell>
          <cell r="E1092">
            <v>1</v>
          </cell>
          <cell r="F1092">
            <v>0</v>
          </cell>
          <cell r="G1092" t="str">
            <v>Alaptev.elözö év(ek)böl származo,tárgyévi elöir.maradv. (+)</v>
          </cell>
        </row>
        <row r="1093">
          <cell r="A1093" t="str">
            <v>9</v>
          </cell>
          <cell r="B1093" t="str">
            <v>42</v>
          </cell>
          <cell r="C1093" t="str">
            <v>1</v>
          </cell>
          <cell r="D1093" t="str">
            <v>B</v>
          </cell>
          <cell r="E1093">
            <v>1</v>
          </cell>
          <cell r="F1093">
            <v>0</v>
          </cell>
          <cell r="G1093" t="str">
            <v>Váll.tev.eredményéböl alaptev.ellát.felhasznált összeg  (+)</v>
          </cell>
        </row>
        <row r="1094">
          <cell r="A1094" t="str">
            <v>10</v>
          </cell>
          <cell r="B1094" t="str">
            <v>42</v>
          </cell>
          <cell r="C1094" t="str">
            <v>1</v>
          </cell>
          <cell r="D1094" t="str">
            <v>B</v>
          </cell>
          <cell r="E1094">
            <v>1</v>
          </cell>
          <cell r="F1094">
            <v>3</v>
          </cell>
          <cell r="G1094" t="str">
            <v>Modositott kiadási megtakaritás (07+08+09)</v>
          </cell>
        </row>
        <row r="1095">
          <cell r="A1095" t="str">
            <v>11</v>
          </cell>
          <cell r="B1095" t="str">
            <v>42</v>
          </cell>
          <cell r="C1095" t="str">
            <v>1</v>
          </cell>
          <cell r="D1095" t="str">
            <v>B</v>
          </cell>
          <cell r="E1095">
            <v>2</v>
          </cell>
          <cell r="F1095">
            <v>0</v>
          </cell>
          <cell r="G1095" t="str">
            <v>Központi ktsg.központositott bevételét képezö összeg    (-)</v>
          </cell>
        </row>
        <row r="1096">
          <cell r="A1096" t="str">
            <v>12</v>
          </cell>
          <cell r="B1096" t="str">
            <v>42</v>
          </cell>
          <cell r="C1096" t="str">
            <v>1</v>
          </cell>
          <cell r="D1096" t="str">
            <v>B</v>
          </cell>
          <cell r="E1096">
            <v>1</v>
          </cell>
          <cell r="F1096">
            <v>0</v>
          </cell>
          <cell r="G1096" t="str">
            <v>Költségvetési szervet meg nem illetö összeg             (-)</v>
          </cell>
        </row>
        <row r="1097">
          <cell r="A1097" t="str">
            <v>13</v>
          </cell>
          <cell r="B1097" t="str">
            <v>42</v>
          </cell>
          <cell r="C1097" t="str">
            <v>1</v>
          </cell>
          <cell r="D1097" t="str">
            <v>B</v>
          </cell>
          <cell r="E1097">
            <v>1</v>
          </cell>
          <cell r="F1097">
            <v>4</v>
          </cell>
          <cell r="G1097" t="str">
            <v>Felhasználhato elöirányzat maradvány (10-11-12)</v>
          </cell>
        </row>
        <row r="1098">
          <cell r="A1098" t="str">
            <v>14</v>
          </cell>
          <cell r="B1098" t="str">
            <v>42</v>
          </cell>
          <cell r="C1098" t="str">
            <v>1</v>
          </cell>
          <cell r="D1098" t="str">
            <v>B</v>
          </cell>
          <cell r="E1098">
            <v>2</v>
          </cell>
          <cell r="F1098">
            <v>0</v>
          </cell>
          <cell r="G1098" t="str">
            <v>Kötelezettséggel terhelt elöirányzat-maradvány</v>
          </cell>
        </row>
        <row r="1099">
          <cell r="A1099" t="str">
            <v>15</v>
          </cell>
          <cell r="B1099" t="str">
            <v>42</v>
          </cell>
          <cell r="C1099" t="str">
            <v>1</v>
          </cell>
          <cell r="D1099" t="str">
            <v>B</v>
          </cell>
          <cell r="E1099">
            <v>1</v>
          </cell>
          <cell r="F1099">
            <v>0</v>
          </cell>
          <cell r="G1099" t="str">
            <v>Szabad elöirányzat-maradvány</v>
          </cell>
        </row>
        <row r="1100">
          <cell r="A1100" t="str">
            <v>0</v>
          </cell>
          <cell r="B1100" t="str">
            <v>42</v>
          </cell>
          <cell r="C1100" t="str">
            <v>0</v>
          </cell>
          <cell r="D1100" t="str">
            <v>B</v>
          </cell>
          <cell r="E1100">
            <v>2</v>
          </cell>
          <cell r="F1100">
            <v>0</v>
          </cell>
          <cell r="G1100" t="str">
            <v>Tájékoztató adat:</v>
          </cell>
        </row>
        <row r="1101">
          <cell r="A1101" t="str">
            <v>16</v>
          </cell>
          <cell r="B1101" t="str">
            <v>42</v>
          </cell>
          <cell r="C1101" t="str">
            <v>1</v>
          </cell>
          <cell r="D1101" t="str">
            <v>B</v>
          </cell>
          <cell r="E1101">
            <v>1</v>
          </cell>
          <cell r="F1101">
            <v>4</v>
          </cell>
          <cell r="G1101" t="str">
            <v>Zárolt elöirányzat</v>
          </cell>
        </row>
        <row r="1102">
          <cell r="A1102" t="str">
            <v>0</v>
          </cell>
          <cell r="B1102" t="str">
            <v>43</v>
          </cell>
          <cell r="C1102" t="str">
            <v>0</v>
          </cell>
          <cell r="D1102" t="str">
            <v>B</v>
          </cell>
          <cell r="E1102">
            <v>1</v>
          </cell>
          <cell r="F1102">
            <v>6</v>
          </cell>
          <cell r="G1102" t="str">
            <v>I.  MÜKÖDÉSI  B e v é t e l e k  és  K i a d á s o k</v>
          </cell>
        </row>
        <row r="1103">
          <cell r="A1103" t="str">
            <v>0</v>
          </cell>
          <cell r="B1103" t="str">
            <v>43</v>
          </cell>
          <cell r="C1103" t="str">
            <v>0</v>
          </cell>
          <cell r="D1103" t="str">
            <v>B</v>
          </cell>
          <cell r="E1103">
            <v>1</v>
          </cell>
          <cell r="F1103">
            <v>10</v>
          </cell>
          <cell r="G1103" t="str">
            <v>II.  FELHALMOZÁSI CÉLU  Bevételek  és  Kiadások</v>
          </cell>
        </row>
        <row r="1104">
          <cell r="A1104" t="str">
            <v>1</v>
          </cell>
          <cell r="B1104" t="str">
            <v>43</v>
          </cell>
          <cell r="C1104" t="str">
            <v>1</v>
          </cell>
          <cell r="D1104" t="str">
            <v>B</v>
          </cell>
          <cell r="E1104">
            <v>1</v>
          </cell>
          <cell r="F1104">
            <v>1</v>
          </cell>
          <cell r="G1104" t="str">
            <v>Int.mük.bev.(levonva felh.áfa v.,ért.tárgy.e.imm.jav.áfa)</v>
          </cell>
        </row>
        <row r="1105">
          <cell r="A1105" t="str">
            <v>2</v>
          </cell>
          <cell r="B1105" t="str">
            <v>43</v>
          </cell>
          <cell r="C1105" t="str">
            <v>1</v>
          </cell>
          <cell r="D1105" t="str">
            <v>B</v>
          </cell>
          <cell r="E1105">
            <v>1</v>
          </cell>
          <cell r="F1105">
            <v>1</v>
          </cell>
          <cell r="G1105" t="str">
            <v>Önkormányzatok sajátos müködési bevételei</v>
          </cell>
        </row>
        <row r="1106">
          <cell r="A1106" t="str">
            <v>3</v>
          </cell>
          <cell r="B1106" t="str">
            <v>43</v>
          </cell>
          <cell r="C1106" t="str">
            <v>1</v>
          </cell>
          <cell r="D1106" t="str">
            <v>B</v>
          </cell>
          <cell r="E1106">
            <v>1</v>
          </cell>
          <cell r="F1106">
            <v>1</v>
          </cell>
          <cell r="G1106" t="str">
            <v>Önk. költsv-i támogatása és átengedett szem.jöv.ado bevét.</v>
          </cell>
        </row>
        <row r="1107">
          <cell r="A1107" t="str">
            <v>4</v>
          </cell>
          <cell r="B1107" t="str">
            <v>43</v>
          </cell>
          <cell r="C1107" t="str">
            <v>1</v>
          </cell>
          <cell r="D1107" t="str">
            <v>B</v>
          </cell>
          <cell r="E1107">
            <v>1</v>
          </cell>
          <cell r="F1107">
            <v>1</v>
          </cell>
          <cell r="G1107" t="str">
            <v>Müködési célu pénzeszközátvétel</v>
          </cell>
        </row>
        <row r="1108">
          <cell r="A1108" t="str">
            <v>5</v>
          </cell>
          <cell r="B1108" t="str">
            <v>43</v>
          </cell>
          <cell r="C1108" t="str">
            <v>1</v>
          </cell>
          <cell r="D1108" t="str">
            <v>B</v>
          </cell>
          <cell r="E1108">
            <v>1</v>
          </cell>
          <cell r="F1108">
            <v>1</v>
          </cell>
          <cell r="G1108" t="str">
            <v>Müködési célu kölcsönök visszatétülése,igénybevétele</v>
          </cell>
        </row>
        <row r="1109">
          <cell r="A1109" t="str">
            <v>6</v>
          </cell>
          <cell r="B1109" t="str">
            <v>43</v>
          </cell>
          <cell r="C1109" t="str">
            <v>1</v>
          </cell>
          <cell r="D1109" t="str">
            <v>B</v>
          </cell>
          <cell r="E1109">
            <v>1</v>
          </cell>
          <cell r="F1109">
            <v>1</v>
          </cell>
          <cell r="G1109" t="str">
            <v>Rövid lejáratu hitel</v>
          </cell>
        </row>
        <row r="1110">
          <cell r="A1110" t="str">
            <v>7</v>
          </cell>
          <cell r="B1110" t="str">
            <v>43</v>
          </cell>
          <cell r="C1110" t="str">
            <v>1</v>
          </cell>
          <cell r="D1110" t="str">
            <v>B</v>
          </cell>
          <cell r="E1110">
            <v>1</v>
          </cell>
          <cell r="F1110">
            <v>1</v>
          </cell>
          <cell r="G1110" t="str">
            <v>Rövid lejáratu értékpapirok értékesitése,kibocsátása</v>
          </cell>
        </row>
        <row r="1111">
          <cell r="A1111" t="str">
            <v>8</v>
          </cell>
          <cell r="B1111" t="str">
            <v>43</v>
          </cell>
          <cell r="C1111" t="str">
            <v>1</v>
          </cell>
          <cell r="D1111" t="str">
            <v>B</v>
          </cell>
          <cell r="E1111">
            <v>1</v>
          </cell>
          <cell r="F1111">
            <v>1</v>
          </cell>
          <cell r="G1111" t="str">
            <v>Müködési célu elözö évi pénzmaradvány igénybevétele</v>
          </cell>
        </row>
        <row r="1112">
          <cell r="A1112" t="str">
            <v>9</v>
          </cell>
          <cell r="B1112" t="str">
            <v>43</v>
          </cell>
          <cell r="C1112" t="str">
            <v>1</v>
          </cell>
          <cell r="D1112" t="str">
            <v>B</v>
          </cell>
          <cell r="E1112">
            <v>1</v>
          </cell>
          <cell r="F1112">
            <v>4</v>
          </cell>
          <cell r="G1112" t="str">
            <v>Müködési célu bevételek összesen (01+...+08)</v>
          </cell>
        </row>
        <row r="1113">
          <cell r="A1113" t="str">
            <v>10</v>
          </cell>
          <cell r="B1113" t="str">
            <v>43</v>
          </cell>
          <cell r="C1113" t="str">
            <v>1</v>
          </cell>
          <cell r="D1113" t="str">
            <v>B</v>
          </cell>
          <cell r="E1113">
            <v>1</v>
          </cell>
          <cell r="F1113">
            <v>1</v>
          </cell>
          <cell r="G1113" t="str">
            <v>Személyi juttatások</v>
          </cell>
        </row>
        <row r="1114">
          <cell r="A1114" t="str">
            <v>11</v>
          </cell>
          <cell r="B1114" t="str">
            <v>43</v>
          </cell>
          <cell r="C1114" t="str">
            <v>1</v>
          </cell>
          <cell r="D1114" t="str">
            <v>B</v>
          </cell>
          <cell r="E1114">
            <v>1</v>
          </cell>
          <cell r="F1114">
            <v>1</v>
          </cell>
          <cell r="G1114" t="str">
            <v>Munkaadokat terhelö járulékok</v>
          </cell>
        </row>
        <row r="1115">
          <cell r="A1115" t="str">
            <v>12</v>
          </cell>
          <cell r="B1115" t="str">
            <v>43</v>
          </cell>
          <cell r="C1115" t="str">
            <v>1</v>
          </cell>
          <cell r="D1115" t="str">
            <v>B</v>
          </cell>
          <cell r="E1115">
            <v>1</v>
          </cell>
          <cell r="F1115">
            <v>1</v>
          </cell>
          <cell r="G1115" t="str">
            <v>Dologi,egyéb kiad.(lev ért.t.e.,imm.j.áfa bef.,kamatkif.)</v>
          </cell>
        </row>
        <row r="1116">
          <cell r="A1116" t="str">
            <v>13</v>
          </cell>
          <cell r="B1116" t="str">
            <v>43</v>
          </cell>
          <cell r="C1116" t="str">
            <v>1</v>
          </cell>
          <cell r="D1116" t="str">
            <v>B</v>
          </cell>
          <cell r="E1116">
            <v>1</v>
          </cell>
          <cell r="F1116">
            <v>1</v>
          </cell>
          <cell r="G1116" t="str">
            <v>Müködési célu pénzeszközátadás egyéb támogatás</v>
          </cell>
        </row>
        <row r="1117">
          <cell r="A1117" t="str">
            <v>14</v>
          </cell>
          <cell r="B1117" t="str">
            <v>43</v>
          </cell>
          <cell r="C1117" t="str">
            <v>1</v>
          </cell>
          <cell r="D1117" t="str">
            <v>B</v>
          </cell>
          <cell r="E1117">
            <v>1</v>
          </cell>
          <cell r="F1117">
            <v>1</v>
          </cell>
          <cell r="G1117" t="str">
            <v>Ellátottak pénzbeli juttatása</v>
          </cell>
        </row>
        <row r="1118">
          <cell r="A1118" t="str">
            <v>15</v>
          </cell>
          <cell r="B1118" t="str">
            <v>43</v>
          </cell>
          <cell r="C1118" t="str">
            <v>1</v>
          </cell>
          <cell r="D1118" t="str">
            <v>B</v>
          </cell>
          <cell r="E1118">
            <v>1</v>
          </cell>
          <cell r="F1118">
            <v>1</v>
          </cell>
          <cell r="G1118" t="str">
            <v>Müködési célu kölcsönök nyujtása és törlesztése</v>
          </cell>
        </row>
        <row r="1119">
          <cell r="A1119" t="str">
            <v>16</v>
          </cell>
          <cell r="B1119" t="str">
            <v>43</v>
          </cell>
          <cell r="C1119" t="str">
            <v>1</v>
          </cell>
          <cell r="D1119" t="str">
            <v>B</v>
          </cell>
          <cell r="E1119">
            <v>1</v>
          </cell>
          <cell r="F1119">
            <v>1</v>
          </cell>
          <cell r="G1119" t="str">
            <v>Rövid lejáratu hitel visszafizetése</v>
          </cell>
        </row>
        <row r="1120">
          <cell r="A1120" t="str">
            <v>17</v>
          </cell>
          <cell r="B1120" t="str">
            <v>43</v>
          </cell>
          <cell r="C1120" t="str">
            <v>1</v>
          </cell>
          <cell r="D1120" t="str">
            <v>B</v>
          </cell>
          <cell r="E1120">
            <v>1</v>
          </cell>
          <cell r="F1120">
            <v>1</v>
          </cell>
          <cell r="G1120" t="str">
            <v>Rövid lejáratu hitel kamata</v>
          </cell>
        </row>
        <row r="1121">
          <cell r="A1121" t="str">
            <v>18</v>
          </cell>
          <cell r="B1121" t="str">
            <v>43</v>
          </cell>
          <cell r="C1121" t="str">
            <v>1</v>
          </cell>
          <cell r="D1121" t="str">
            <v>B</v>
          </cell>
          <cell r="E1121">
            <v>1</v>
          </cell>
          <cell r="F1121">
            <v>1</v>
          </cell>
          <cell r="G1121" t="str">
            <v>Rövid lejáratu értékpapirok beváltása, vásárlása</v>
          </cell>
        </row>
        <row r="1122">
          <cell r="A1122" t="str">
            <v>19</v>
          </cell>
          <cell r="B1122" t="str">
            <v>43</v>
          </cell>
          <cell r="C1122" t="str">
            <v>1</v>
          </cell>
          <cell r="D1122" t="str">
            <v>B</v>
          </cell>
          <cell r="E1122">
            <v>1</v>
          </cell>
          <cell r="F1122">
            <v>1</v>
          </cell>
          <cell r="G1122" t="str">
            <v>Tartalékok</v>
          </cell>
        </row>
        <row r="1123">
          <cell r="A1123" t="str">
            <v>20</v>
          </cell>
          <cell r="B1123" t="str">
            <v>43</v>
          </cell>
          <cell r="C1123" t="str">
            <v>1</v>
          </cell>
          <cell r="D1123" t="str">
            <v>B</v>
          </cell>
          <cell r="E1123">
            <v>1</v>
          </cell>
          <cell r="F1123">
            <v>4</v>
          </cell>
          <cell r="G1123" t="str">
            <v>Müködési célu kiadások összesen (10+...+19)</v>
          </cell>
        </row>
        <row r="1124">
          <cell r="A1124" t="str">
            <v>21</v>
          </cell>
          <cell r="B1124" t="str">
            <v>43</v>
          </cell>
          <cell r="C1124" t="str">
            <v>1</v>
          </cell>
          <cell r="D1124" t="str">
            <v>B</v>
          </cell>
          <cell r="E1124">
            <v>1</v>
          </cell>
          <cell r="F1124">
            <v>1</v>
          </cell>
          <cell r="G1124" t="str">
            <v>Önkormányzatok felhalmozási és töke jellegü bevételei</v>
          </cell>
        </row>
        <row r="1125">
          <cell r="A1125" t="str">
            <v>22</v>
          </cell>
          <cell r="B1125" t="str">
            <v>43</v>
          </cell>
          <cell r="C1125" t="str">
            <v>1</v>
          </cell>
          <cell r="D1125" t="str">
            <v>B</v>
          </cell>
          <cell r="E1125">
            <v>1</v>
          </cell>
          <cell r="F1125">
            <v>1</v>
          </cell>
          <cell r="G1125" t="str">
            <v>Fejlesztési célu támogatások</v>
          </cell>
        </row>
        <row r="1126">
          <cell r="A1126" t="str">
            <v>23</v>
          </cell>
          <cell r="B1126" t="str">
            <v>43</v>
          </cell>
          <cell r="C1126" t="str">
            <v>1</v>
          </cell>
          <cell r="D1126" t="str">
            <v>B</v>
          </cell>
          <cell r="E1126">
            <v>1</v>
          </cell>
          <cell r="F1126">
            <v>1</v>
          </cell>
          <cell r="G1126" t="str">
            <v>Felhalmozási célu pénzeszközátvétel</v>
          </cell>
        </row>
        <row r="1127">
          <cell r="A1127" t="str">
            <v>24</v>
          </cell>
          <cell r="B1127" t="str">
            <v>43</v>
          </cell>
          <cell r="C1127" t="str">
            <v>1</v>
          </cell>
          <cell r="D1127" t="str">
            <v>B</v>
          </cell>
          <cell r="E1127">
            <v>1</v>
          </cell>
          <cell r="F1127">
            <v>1</v>
          </cell>
          <cell r="G1127" t="str">
            <v>Felhalmozási áfa visszatérülése</v>
          </cell>
        </row>
        <row r="1128">
          <cell r="A1128" t="str">
            <v>25</v>
          </cell>
          <cell r="B1128" t="str">
            <v>43</v>
          </cell>
          <cell r="C1128" t="str">
            <v>1</v>
          </cell>
          <cell r="D1128" t="str">
            <v>B</v>
          </cell>
          <cell r="E1128">
            <v>1</v>
          </cell>
          <cell r="F1128">
            <v>1</v>
          </cell>
          <cell r="G1128" t="str">
            <v>Értékesitett tárgyi eszközök és immateriális javak áfa-ja</v>
          </cell>
        </row>
        <row r="1129">
          <cell r="A1129" t="str">
            <v>26</v>
          </cell>
          <cell r="B1129" t="str">
            <v>43</v>
          </cell>
          <cell r="C1129" t="str">
            <v>1</v>
          </cell>
          <cell r="D1129" t="str">
            <v>B</v>
          </cell>
          <cell r="E1129">
            <v>1</v>
          </cell>
          <cell r="F1129">
            <v>1</v>
          </cell>
          <cell r="G1129" t="str">
            <v>Felhalmozási célu kölcsönök visszatérülése,igénybevétele</v>
          </cell>
        </row>
        <row r="1130">
          <cell r="A1130" t="str">
            <v>27</v>
          </cell>
          <cell r="B1130" t="str">
            <v>43</v>
          </cell>
          <cell r="C1130" t="str">
            <v>1</v>
          </cell>
          <cell r="D1130" t="str">
            <v>B</v>
          </cell>
          <cell r="E1130">
            <v>1</v>
          </cell>
          <cell r="F1130">
            <v>1</v>
          </cell>
          <cell r="G1130" t="str">
            <v>Hosszu lejáratu hitel</v>
          </cell>
        </row>
        <row r="1131">
          <cell r="A1131" t="str">
            <v>28</v>
          </cell>
          <cell r="B1131" t="str">
            <v>43</v>
          </cell>
          <cell r="C1131" t="str">
            <v>1</v>
          </cell>
          <cell r="D1131" t="str">
            <v>B</v>
          </cell>
          <cell r="E1131">
            <v>1</v>
          </cell>
          <cell r="F1131">
            <v>1</v>
          </cell>
          <cell r="G1131" t="str">
            <v>Hosszu lejáratu értékpapirok kibocsájtása</v>
          </cell>
        </row>
        <row r="1132">
          <cell r="A1132" t="str">
            <v>29</v>
          </cell>
          <cell r="B1132" t="str">
            <v>43</v>
          </cell>
          <cell r="C1132" t="str">
            <v>1</v>
          </cell>
          <cell r="D1132" t="str">
            <v>B</v>
          </cell>
          <cell r="E1132">
            <v>1</v>
          </cell>
          <cell r="F1132">
            <v>1</v>
          </cell>
          <cell r="G1132" t="str">
            <v>Felhalmozási célu elözö évi pénzmaradvány igénybevétele</v>
          </cell>
        </row>
        <row r="1133">
          <cell r="A1133" t="str">
            <v>30</v>
          </cell>
          <cell r="B1133" t="str">
            <v>43</v>
          </cell>
          <cell r="C1133" t="str">
            <v>1</v>
          </cell>
          <cell r="D1133" t="str">
            <v>B</v>
          </cell>
          <cell r="E1133">
            <v>1</v>
          </cell>
          <cell r="F1133">
            <v>4</v>
          </cell>
          <cell r="G1133" t="str">
            <v>Felhalmozási célu bevételek összesen (21+...+29)</v>
          </cell>
        </row>
        <row r="1134">
          <cell r="A1134" t="str">
            <v>31</v>
          </cell>
          <cell r="B1134" t="str">
            <v>43</v>
          </cell>
          <cell r="C1134" t="str">
            <v>1</v>
          </cell>
          <cell r="D1134" t="str">
            <v>B</v>
          </cell>
          <cell r="E1134">
            <v>1</v>
          </cell>
          <cell r="F1134">
            <v>1</v>
          </cell>
          <cell r="G1134" t="str">
            <v>Felhalmozási kiadások (áfa-val együtt)</v>
          </cell>
        </row>
        <row r="1135">
          <cell r="A1135" t="str">
            <v>32</v>
          </cell>
          <cell r="B1135" t="str">
            <v>43</v>
          </cell>
          <cell r="C1135" t="str">
            <v>1</v>
          </cell>
          <cell r="D1135" t="str">
            <v>B</v>
          </cell>
          <cell r="E1135">
            <v>1</v>
          </cell>
          <cell r="F1135">
            <v>1</v>
          </cell>
          <cell r="G1135" t="str">
            <v>Felujitási kiadások (áfa-val együtt)</v>
          </cell>
        </row>
        <row r="1136">
          <cell r="A1136" t="str">
            <v>33</v>
          </cell>
          <cell r="B1136" t="str">
            <v>43</v>
          </cell>
          <cell r="C1136" t="str">
            <v>1</v>
          </cell>
          <cell r="D1136" t="str">
            <v>B</v>
          </cell>
          <cell r="E1136">
            <v>1</v>
          </cell>
          <cell r="F1136">
            <v>1</v>
          </cell>
          <cell r="G1136" t="str">
            <v>Értékesitett tárgyi eszközök,immat.javak után áfa befiz.</v>
          </cell>
        </row>
        <row r="1137">
          <cell r="A1137" t="str">
            <v>34</v>
          </cell>
          <cell r="B1137" t="str">
            <v>43</v>
          </cell>
          <cell r="C1137" t="str">
            <v>1</v>
          </cell>
          <cell r="D1137" t="str">
            <v>B</v>
          </cell>
          <cell r="E1137">
            <v>1</v>
          </cell>
          <cell r="F1137">
            <v>1</v>
          </cell>
          <cell r="G1137" t="str">
            <v>Felhalmozási célu pénzeszközátadás</v>
          </cell>
        </row>
        <row r="1138">
          <cell r="A1138" t="str">
            <v>35</v>
          </cell>
          <cell r="B1138" t="str">
            <v>43</v>
          </cell>
          <cell r="C1138" t="str">
            <v>1</v>
          </cell>
          <cell r="D1138" t="str">
            <v>B</v>
          </cell>
          <cell r="E1138">
            <v>1</v>
          </cell>
          <cell r="F1138">
            <v>1</v>
          </cell>
          <cell r="G1138" t="str">
            <v>Felhalmozási célu kölcsönök nyujtása és törlesztése</v>
          </cell>
        </row>
        <row r="1139">
          <cell r="A1139" t="str">
            <v>36</v>
          </cell>
          <cell r="B1139" t="str">
            <v>43</v>
          </cell>
          <cell r="C1139" t="str">
            <v>1</v>
          </cell>
          <cell r="D1139" t="str">
            <v>B</v>
          </cell>
          <cell r="E1139">
            <v>1</v>
          </cell>
          <cell r="F1139">
            <v>1</v>
          </cell>
          <cell r="G1139" t="str">
            <v>Hosszu lejáratu hitel visszafizetése</v>
          </cell>
        </row>
        <row r="1140">
          <cell r="A1140" t="str">
            <v>37</v>
          </cell>
          <cell r="B1140" t="str">
            <v>43</v>
          </cell>
          <cell r="C1140" t="str">
            <v>1</v>
          </cell>
          <cell r="D1140" t="str">
            <v>B</v>
          </cell>
          <cell r="E1140">
            <v>1</v>
          </cell>
          <cell r="F1140">
            <v>1</v>
          </cell>
          <cell r="G1140" t="str">
            <v>Hosszu lejáratu hitel kamata</v>
          </cell>
        </row>
        <row r="1141">
          <cell r="A1141" t="str">
            <v>38</v>
          </cell>
          <cell r="B1141" t="str">
            <v>43</v>
          </cell>
          <cell r="C1141" t="str">
            <v>1</v>
          </cell>
          <cell r="D1141" t="str">
            <v>B</v>
          </cell>
          <cell r="E1141">
            <v>1</v>
          </cell>
          <cell r="F1141">
            <v>1</v>
          </cell>
          <cell r="G1141" t="str">
            <v>Hosszu lejáratu értékpapirok beváltása</v>
          </cell>
        </row>
        <row r="1142">
          <cell r="A1142" t="str">
            <v>39</v>
          </cell>
          <cell r="B1142" t="str">
            <v>43</v>
          </cell>
          <cell r="C1142" t="str">
            <v>1</v>
          </cell>
          <cell r="D1142" t="str">
            <v>B</v>
          </cell>
          <cell r="E1142">
            <v>1</v>
          </cell>
          <cell r="F1142">
            <v>1</v>
          </cell>
          <cell r="G1142" t="str">
            <v>Tartalékok</v>
          </cell>
        </row>
        <row r="1143">
          <cell r="A1143" t="str">
            <v>40</v>
          </cell>
          <cell r="B1143" t="str">
            <v>43</v>
          </cell>
          <cell r="C1143" t="str">
            <v>1</v>
          </cell>
          <cell r="D1143" t="str">
            <v>B</v>
          </cell>
          <cell r="E1143">
            <v>1</v>
          </cell>
          <cell r="F1143">
            <v>4</v>
          </cell>
          <cell r="G1143" t="str">
            <v>Felhalmozási célu kiadások összsen (31+...+39)</v>
          </cell>
        </row>
        <row r="1144">
          <cell r="A1144" t="str">
            <v>41</v>
          </cell>
          <cell r="B1144" t="str">
            <v>43</v>
          </cell>
          <cell r="C1144" t="str">
            <v>1</v>
          </cell>
          <cell r="D1144" t="str">
            <v>B</v>
          </cell>
          <cell r="E1144">
            <v>1</v>
          </cell>
          <cell r="F1144">
            <v>4</v>
          </cell>
          <cell r="G1144" t="str">
            <v>Önkormányzat bevételei  ö s s z e s e n  (09+30)</v>
          </cell>
        </row>
        <row r="1145">
          <cell r="A1145" t="str">
            <v>42</v>
          </cell>
          <cell r="B1145" t="str">
            <v>43</v>
          </cell>
          <cell r="C1145" t="str">
            <v>1</v>
          </cell>
          <cell r="D1145" t="str">
            <v>B</v>
          </cell>
          <cell r="E1145">
            <v>1</v>
          </cell>
          <cell r="F1145">
            <v>4</v>
          </cell>
          <cell r="G1145" t="str">
            <v>Önkormányzat kiadásai   ö s s z e s e n  (20+40)</v>
          </cell>
        </row>
        <row r="1146">
          <cell r="A1146" t="str">
            <v>1</v>
          </cell>
          <cell r="B1146" t="str">
            <v>44</v>
          </cell>
          <cell r="C1146" t="str">
            <v>1</v>
          </cell>
          <cell r="D1146" t="str">
            <v>B</v>
          </cell>
          <cell r="E1146">
            <v>1</v>
          </cell>
          <cell r="F1146">
            <v>0</v>
          </cell>
          <cell r="G1146" t="str">
            <v>Hosszú lejáratra kapott kölcsönök</v>
          </cell>
        </row>
        <row r="1147">
          <cell r="A1147" t="str">
            <v>2</v>
          </cell>
          <cell r="B1147" t="str">
            <v>44</v>
          </cell>
          <cell r="C1147" t="str">
            <v>1</v>
          </cell>
          <cell r="D1147" t="str">
            <v>B</v>
          </cell>
          <cell r="E1147">
            <v>1</v>
          </cell>
          <cell r="F1147">
            <v>0</v>
          </cell>
          <cell r="G1147" t="str">
            <v>Tartozások fejlesztési célú kötvénykibocsátásból</v>
          </cell>
        </row>
        <row r="1148">
          <cell r="A1148" t="str">
            <v>3</v>
          </cell>
          <cell r="B1148" t="str">
            <v>44</v>
          </cell>
          <cell r="C1148" t="str">
            <v>1</v>
          </cell>
          <cell r="D1148" t="str">
            <v>B</v>
          </cell>
          <cell r="E1148">
            <v>1</v>
          </cell>
          <cell r="F1148">
            <v>0</v>
          </cell>
          <cell r="G1148" t="str">
            <v>Tartozás működési célú kötvénykibocsátásból</v>
          </cell>
        </row>
        <row r="1149">
          <cell r="A1149" t="str">
            <v>4</v>
          </cell>
          <cell r="B1149" t="str">
            <v>44</v>
          </cell>
          <cell r="C1149" t="str">
            <v>1</v>
          </cell>
          <cell r="D1149" t="str">
            <v>B</v>
          </cell>
          <cell r="E1149">
            <v>1</v>
          </cell>
          <cell r="F1149">
            <v>0</v>
          </cell>
          <cell r="G1149" t="str">
            <v>Beruházási és fejlesztési hitelek</v>
          </cell>
        </row>
        <row r="1150">
          <cell r="A1150" t="str">
            <v>5</v>
          </cell>
          <cell r="B1150" t="str">
            <v>44</v>
          </cell>
          <cell r="C1150" t="str">
            <v>1</v>
          </cell>
          <cell r="D1150" t="str">
            <v>B</v>
          </cell>
          <cell r="E1150">
            <v>1</v>
          </cell>
          <cell r="F1150">
            <v>0</v>
          </cell>
          <cell r="G1150" t="str">
            <v>Működési célú hosszú lejáratú hitelek</v>
          </cell>
        </row>
        <row r="1151">
          <cell r="A1151" t="str">
            <v>6</v>
          </cell>
          <cell r="B1151" t="str">
            <v>44</v>
          </cell>
          <cell r="C1151" t="str">
            <v>1</v>
          </cell>
          <cell r="D1151" t="str">
            <v>B</v>
          </cell>
          <cell r="E1151">
            <v>1</v>
          </cell>
          <cell r="F1151">
            <v>0</v>
          </cell>
          <cell r="G1151" t="str">
            <v>Egyéb hosszú lejáratú kötelezettségek</v>
          </cell>
        </row>
        <row r="1152">
          <cell r="A1152" t="str">
            <v>7</v>
          </cell>
          <cell r="B1152" t="str">
            <v>44</v>
          </cell>
          <cell r="C1152" t="str">
            <v>1</v>
          </cell>
          <cell r="D1152" t="str">
            <v>B</v>
          </cell>
          <cell r="E1152">
            <v>2</v>
          </cell>
          <cell r="F1152">
            <v>2</v>
          </cell>
          <cell r="G1152" t="str">
            <v>Hosszú lejáratú kötelezettségek évi tör.részlete(01+..+06)</v>
          </cell>
        </row>
        <row r="1153">
          <cell r="A1153" t="str">
            <v>1</v>
          </cell>
          <cell r="B1153" t="str">
            <v>45</v>
          </cell>
          <cell r="C1153" t="str">
            <v>1</v>
          </cell>
          <cell r="D1153" t="str">
            <v>B</v>
          </cell>
          <cell r="E1153">
            <v>1</v>
          </cell>
          <cell r="F1153">
            <v>0</v>
          </cell>
          <cell r="G1153" t="str">
            <v>Közalkalmazottak rendszeres juttatásai</v>
          </cell>
        </row>
        <row r="1154">
          <cell r="A1154" t="str">
            <v>2</v>
          </cell>
          <cell r="B1154" t="str">
            <v>45</v>
          </cell>
          <cell r="C1154" t="str">
            <v>1</v>
          </cell>
          <cell r="D1154" t="str">
            <v>B</v>
          </cell>
          <cell r="E1154">
            <v>1</v>
          </cell>
          <cell r="F1154">
            <v>0</v>
          </cell>
          <cell r="G1154" t="str">
            <v>Közalkalmazottak munkavégzéshezkapcsolódó juttatásai</v>
          </cell>
        </row>
        <row r="1155">
          <cell r="A1155" t="str">
            <v>3</v>
          </cell>
          <cell r="B1155" t="str">
            <v>45</v>
          </cell>
          <cell r="C1155" t="str">
            <v>1</v>
          </cell>
          <cell r="D1155" t="str">
            <v>B</v>
          </cell>
          <cell r="E1155">
            <v>1</v>
          </cell>
          <cell r="F1155">
            <v>0</v>
          </cell>
          <cell r="G1155" t="str">
            <v>OEP körön kívüli közalkalmazottak 13. havi juttatása</v>
          </cell>
        </row>
        <row r="1156">
          <cell r="A1156" t="str">
            <v>4</v>
          </cell>
          <cell r="B1156" t="str">
            <v>45</v>
          </cell>
          <cell r="C1156" t="str">
            <v>1</v>
          </cell>
          <cell r="D1156" t="str">
            <v>B</v>
          </cell>
          <cell r="E1156">
            <v>1</v>
          </cell>
          <cell r="F1156">
            <v>0</v>
          </cell>
          <cell r="G1156" t="str">
            <v>OEP szakfel.-on lévő közalkalmazottak rend. szem. juttatásai</v>
          </cell>
        </row>
        <row r="1157">
          <cell r="A1157" t="str">
            <v>5</v>
          </cell>
          <cell r="B1157" t="str">
            <v>45</v>
          </cell>
          <cell r="C1157" t="str">
            <v>1</v>
          </cell>
          <cell r="D1157" t="str">
            <v>B</v>
          </cell>
          <cell r="E1157">
            <v>1</v>
          </cell>
          <cell r="F1157">
            <v>0</v>
          </cell>
          <cell r="G1157" t="str">
            <v>OEP szakfel.-on lévő közalkalmazottak munk.vég. juttatásai</v>
          </cell>
        </row>
        <row r="1158">
          <cell r="A1158" t="str">
            <v>6</v>
          </cell>
          <cell r="B1158" t="str">
            <v>45</v>
          </cell>
          <cell r="C1158" t="str">
            <v>1</v>
          </cell>
          <cell r="D1158" t="str">
            <v>B</v>
          </cell>
          <cell r="E1158">
            <v>2</v>
          </cell>
          <cell r="F1158">
            <v>0</v>
          </cell>
          <cell r="G1158" t="str">
            <v>Közalk. rendszeres juttatásai és munk vég.(01+02-03-04-05)</v>
          </cell>
        </row>
        <row r="1159">
          <cell r="A1159" t="str">
            <v>7</v>
          </cell>
          <cell r="B1159" t="str">
            <v>45</v>
          </cell>
          <cell r="C1159" t="str">
            <v>1</v>
          </cell>
          <cell r="D1159" t="str">
            <v>B</v>
          </cell>
          <cell r="E1159">
            <v>2</v>
          </cell>
          <cell r="F1159">
            <v>0</v>
          </cell>
          <cell r="G1159" t="str">
            <v>Közalk. rendsz. és munk.vég.kap.juttatásai járulékokkal</v>
          </cell>
        </row>
        <row r="1160">
          <cell r="A1160" t="str">
            <v>8</v>
          </cell>
          <cell r="B1160" t="str">
            <v>45</v>
          </cell>
          <cell r="C1160" t="str">
            <v>1</v>
          </cell>
          <cell r="D1160" t="str">
            <v>B</v>
          </cell>
          <cell r="E1160">
            <v>1</v>
          </cell>
          <cell r="F1160">
            <v>0</v>
          </cell>
          <cell r="G1160" t="str">
            <v>Közalk. rendsz. és munk.vég.kap.juttatásai 1%-a járulékokkal</v>
          </cell>
        </row>
        <row r="1161">
          <cell r="A1161" t="str">
            <v>9</v>
          </cell>
          <cell r="B1161" t="str">
            <v>45</v>
          </cell>
          <cell r="C1161" t="str">
            <v>1</v>
          </cell>
          <cell r="D1161" t="str">
            <v>B</v>
          </cell>
          <cell r="E1161">
            <v>1</v>
          </cell>
          <cell r="F1161">
            <v>0</v>
          </cell>
          <cell r="G1161" t="str">
            <v>Közalkalmazottak OEP kör nélküli létszáma (fő)</v>
          </cell>
        </row>
        <row r="1162">
          <cell r="A1162" t="str">
            <v>10</v>
          </cell>
          <cell r="B1162" t="str">
            <v>45</v>
          </cell>
          <cell r="C1162" t="str">
            <v>1</v>
          </cell>
          <cell r="D1162" t="str">
            <v>B</v>
          </cell>
          <cell r="E1162">
            <v>2</v>
          </cell>
          <cell r="F1162">
            <v>0</v>
          </cell>
          <cell r="G1162" t="str">
            <v>Közalk. 1 főre jutó rendszeres szem. és munk vég. juttatásai</v>
          </cell>
        </row>
        <row r="1163">
          <cell r="A1163" t="str">
            <v>11</v>
          </cell>
          <cell r="B1163" t="str">
            <v>45</v>
          </cell>
          <cell r="C1163" t="str">
            <v>1</v>
          </cell>
          <cell r="D1163" t="str">
            <v>B</v>
          </cell>
          <cell r="E1163">
            <v>1</v>
          </cell>
          <cell r="F1163">
            <v>0</v>
          </cell>
          <cell r="G1163" t="str">
            <v>Közalk. 1 főre jutó rendsz. szem. és munk vég. jutt. vált. %</v>
          </cell>
        </row>
        <row r="1164">
          <cell r="A1164" t="str">
            <v>12</v>
          </cell>
          <cell r="B1164" t="str">
            <v>45</v>
          </cell>
          <cell r="C1164" t="str">
            <v>1</v>
          </cell>
          <cell r="D1164" t="str">
            <v>B</v>
          </cell>
          <cell r="E1164">
            <v>2</v>
          </cell>
          <cell r="F1164">
            <v>0</v>
          </cell>
          <cell r="G1164" t="str">
            <v>A helyi önkormányzat által visszafizetendő összeg</v>
          </cell>
        </row>
        <row r="1165">
          <cell r="A1165" t="str">
            <v>1</v>
          </cell>
          <cell r="B1165" t="str">
            <v>47</v>
          </cell>
          <cell r="C1165" t="str">
            <v>1</v>
          </cell>
          <cell r="D1165" t="str">
            <v>B</v>
          </cell>
          <cell r="E1165">
            <v>1</v>
          </cell>
          <cell r="F1165">
            <v>0</v>
          </cell>
          <cell r="G1165" t="str">
            <v>Lakossági közműfejlesztés támogatása</v>
          </cell>
        </row>
        <row r="1166">
          <cell r="A1166" t="str">
            <v>2</v>
          </cell>
          <cell r="B1166" t="str">
            <v>47</v>
          </cell>
          <cell r="C1166" t="str">
            <v>1</v>
          </cell>
          <cell r="D1166" t="str">
            <v>B</v>
          </cell>
          <cell r="E1166">
            <v>1</v>
          </cell>
          <cell r="F1166">
            <v>0</v>
          </cell>
          <cell r="G1166" t="str">
            <v>Lakossági víz- és csatornaszolgáltatás támogatása</v>
          </cell>
        </row>
        <row r="1167">
          <cell r="A1167" t="str">
            <v>3</v>
          </cell>
          <cell r="B1167" t="str">
            <v>47</v>
          </cell>
          <cell r="C1167" t="str">
            <v>1</v>
          </cell>
          <cell r="D1167" t="str">
            <v>B</v>
          </cell>
          <cell r="E1167">
            <v>1</v>
          </cell>
          <cell r="F1167">
            <v>0</v>
          </cell>
          <cell r="G1167" t="str">
            <v>Kompok, révek fenntartásának támogatása</v>
          </cell>
        </row>
        <row r="1168">
          <cell r="A1168" t="str">
            <v>4</v>
          </cell>
          <cell r="B1168" t="str">
            <v>47</v>
          </cell>
          <cell r="C1168" t="str">
            <v>1</v>
          </cell>
          <cell r="D1168" t="str">
            <v>B</v>
          </cell>
          <cell r="E1168">
            <v>1</v>
          </cell>
          <cell r="F1168">
            <v>0</v>
          </cell>
          <cell r="G1168" t="str">
            <v>Határátkelőhelyek fenntartásának támogatása</v>
          </cell>
        </row>
        <row r="1169">
          <cell r="A1169" t="str">
            <v>5</v>
          </cell>
          <cell r="B1169" t="str">
            <v>47</v>
          </cell>
          <cell r="C1169" t="str">
            <v>1</v>
          </cell>
          <cell r="D1169" t="str">
            <v>B</v>
          </cell>
          <cell r="E1169">
            <v>1</v>
          </cell>
          <cell r="F1169">
            <v>0</v>
          </cell>
          <cell r="G1169" t="str">
            <v>Helyi kisebbségi önk.-k működésének ált. támogatása</v>
          </cell>
        </row>
        <row r="1170">
          <cell r="A1170" t="str">
            <v>6</v>
          </cell>
          <cell r="B1170" t="str">
            <v>47</v>
          </cell>
          <cell r="C1170" t="str">
            <v>1</v>
          </cell>
          <cell r="D1170" t="str">
            <v>B</v>
          </cell>
          <cell r="E1170">
            <v>1</v>
          </cell>
          <cell r="F1170">
            <v>0</v>
          </cell>
          <cell r="G1170" t="str">
            <v>Gyermek és ifjúsági feladatok</v>
          </cell>
        </row>
        <row r="1171">
          <cell r="A1171" t="str">
            <v>7</v>
          </cell>
          <cell r="B1171" t="str">
            <v>47</v>
          </cell>
          <cell r="C1171" t="str">
            <v>1</v>
          </cell>
          <cell r="D1171" t="str">
            <v>B</v>
          </cell>
          <cell r="E1171">
            <v>1</v>
          </cell>
          <cell r="F1171">
            <v>0</v>
          </cell>
          <cell r="G1171" t="str">
            <v>Kiegész. támogatás nemzetiségi óvodák,iskolák fenntartásához</v>
          </cell>
        </row>
        <row r="1172">
          <cell r="A1172" t="str">
            <v>8</v>
          </cell>
          <cell r="B1172" t="str">
            <v>47</v>
          </cell>
          <cell r="C1172" t="str">
            <v>1</v>
          </cell>
          <cell r="D1172" t="str">
            <v>B</v>
          </cell>
          <cell r="E1172">
            <v>1</v>
          </cell>
          <cell r="F1172">
            <v>0</v>
          </cell>
          <cell r="G1172" t="str">
            <v>Könyvtári és közművelődési érdekeltségnövelő támogatás</v>
          </cell>
        </row>
        <row r="1173">
          <cell r="A1173" t="str">
            <v>9</v>
          </cell>
          <cell r="B1173" t="str">
            <v>47</v>
          </cell>
          <cell r="C1173" t="str">
            <v>1</v>
          </cell>
          <cell r="D1173" t="str">
            <v>B</v>
          </cell>
          <cell r="E1173">
            <v>1</v>
          </cell>
          <cell r="F1173">
            <v>0</v>
          </cell>
          <cell r="G1173" t="str">
            <v>Helyi önkormányzatok hivatásos zenekari, énekkari támogatása</v>
          </cell>
        </row>
        <row r="1174">
          <cell r="A1174" t="str">
            <v>10</v>
          </cell>
          <cell r="B1174" t="str">
            <v>47</v>
          </cell>
          <cell r="C1174" t="str">
            <v>1</v>
          </cell>
          <cell r="D1174" t="str">
            <v>B</v>
          </cell>
          <cell r="E1174">
            <v>1</v>
          </cell>
          <cell r="F1174">
            <v>0</v>
          </cell>
          <cell r="G1174" t="str">
            <v>Hozzájárulás a létszámcsökkentéssel kapcsolatos kiadásokhoz</v>
          </cell>
        </row>
        <row r="1175">
          <cell r="A1175" t="str">
            <v>11</v>
          </cell>
          <cell r="B1175" t="str">
            <v>47</v>
          </cell>
          <cell r="C1175" t="str">
            <v>1</v>
          </cell>
          <cell r="D1175" t="str">
            <v>B</v>
          </cell>
          <cell r="E1175">
            <v>1</v>
          </cell>
          <cell r="F1175">
            <v>0</v>
          </cell>
          <cell r="G1175" t="str">
            <v>Hozzájárulás a könyvvizsgálatra kötelezett helyi önk.számára</v>
          </cell>
        </row>
        <row r="1176">
          <cell r="A1176" t="str">
            <v>12</v>
          </cell>
          <cell r="B1176" t="str">
            <v>47</v>
          </cell>
          <cell r="C1176" t="str">
            <v>1</v>
          </cell>
          <cell r="D1176" t="str">
            <v>B</v>
          </cell>
          <cell r="E1176">
            <v>1</v>
          </cell>
          <cell r="F1176">
            <v>0</v>
          </cell>
          <cell r="G1176" t="str">
            <v>Települési hulladék közszolgáltatás fejlesztéseinek tám.-a</v>
          </cell>
        </row>
        <row r="1177">
          <cell r="A1177" t="str">
            <v>13</v>
          </cell>
          <cell r="B1177" t="str">
            <v>47</v>
          </cell>
          <cell r="C1177" t="str">
            <v>1</v>
          </cell>
          <cell r="D1177" t="str">
            <v>B</v>
          </cell>
          <cell r="E1177">
            <v>1</v>
          </cell>
          <cell r="F1177">
            <v>0</v>
          </cell>
          <cell r="G1177" t="str">
            <v>Belső ellenőrzési társulások támogatása</v>
          </cell>
        </row>
        <row r="1178">
          <cell r="A1178" t="str">
            <v>14</v>
          </cell>
          <cell r="B1178" t="str">
            <v>47</v>
          </cell>
          <cell r="C1178" t="str">
            <v>1</v>
          </cell>
          <cell r="D1178" t="str">
            <v>B</v>
          </cell>
          <cell r="E1178">
            <v>1</v>
          </cell>
          <cell r="F1178">
            <v>0</v>
          </cell>
          <cell r="G1178" t="str">
            <v>ART mozihálozat fejlesztésének támogatása</v>
          </cell>
        </row>
        <row r="1179">
          <cell r="A1179" t="str">
            <v>15</v>
          </cell>
          <cell r="B1179" t="str">
            <v>47</v>
          </cell>
          <cell r="C1179" t="str">
            <v>1</v>
          </cell>
          <cell r="D1179" t="str">
            <v>B</v>
          </cell>
          <cell r="E1179">
            <v>1</v>
          </cell>
          <cell r="F1179">
            <v>0</v>
          </cell>
          <cell r="G1179" t="str">
            <v>Ózdi martinsalak felhaszn. miatt károsultak  kártalanítása</v>
          </cell>
        </row>
        <row r="1180">
          <cell r="A1180" t="str">
            <v>16</v>
          </cell>
          <cell r="B1180" t="str">
            <v>47</v>
          </cell>
          <cell r="C1180" t="str">
            <v>1</v>
          </cell>
          <cell r="D1180" t="str">
            <v>B</v>
          </cell>
          <cell r="E1180">
            <v>1</v>
          </cell>
          <cell r="F1180">
            <v>0</v>
          </cell>
          <cell r="G1180" t="str">
            <v>Helyi önk. állat és növénykerti, vadasparki támogatása</v>
          </cell>
        </row>
        <row r="1181">
          <cell r="A1181" t="str">
            <v>17</v>
          </cell>
          <cell r="B1181" t="str">
            <v>47</v>
          </cell>
          <cell r="C1181" t="str">
            <v>1</v>
          </cell>
          <cell r="D1181" t="str">
            <v>B</v>
          </cell>
          <cell r="E1181">
            <v>1</v>
          </cell>
          <cell r="F1181">
            <v>0</v>
          </cell>
          <cell r="G1181" t="str">
            <v>Fővárosi állat és növénykert rekonstrukciójának támogatása</v>
          </cell>
        </row>
        <row r="1182">
          <cell r="A1182" t="str">
            <v>18</v>
          </cell>
          <cell r="B1182" t="str">
            <v>47</v>
          </cell>
          <cell r="C1182" t="str">
            <v>1</v>
          </cell>
          <cell r="D1182" t="str">
            <v>B</v>
          </cell>
          <cell r="E1182">
            <v>1</v>
          </cell>
          <cell r="F1182">
            <v>0</v>
          </cell>
          <cell r="G1182" t="str">
            <v>Pincerendsz., partfalak és földcsusz. veszélyelh. munk.tám.</v>
          </cell>
        </row>
        <row r="1183">
          <cell r="A1183" t="str">
            <v>19</v>
          </cell>
          <cell r="B1183" t="str">
            <v>47</v>
          </cell>
          <cell r="C1183" t="str">
            <v>1</v>
          </cell>
          <cell r="D1183" t="str">
            <v>B</v>
          </cell>
          <cell r="E1183">
            <v>1</v>
          </cell>
          <cell r="F1183">
            <v>0</v>
          </cell>
          <cell r="G1183" t="str">
            <v>Önk.-nál fogl.közt.alapill.-nek minimálbérre történő emelése</v>
          </cell>
        </row>
        <row r="1184">
          <cell r="A1184" t="str">
            <v>20</v>
          </cell>
          <cell r="B1184" t="str">
            <v>47</v>
          </cell>
          <cell r="C1184" t="str">
            <v>1</v>
          </cell>
          <cell r="D1184" t="str">
            <v>B</v>
          </cell>
          <cell r="E1184">
            <v>1</v>
          </cell>
          <cell r="F1184">
            <v>0</v>
          </cell>
          <cell r="G1184" t="str">
            <v>Helyi önk.-nál fogl.közt.illetményrendszerével összefüg.tám.</v>
          </cell>
        </row>
        <row r="1185">
          <cell r="A1185" t="str">
            <v>21</v>
          </cell>
          <cell r="B1185" t="str">
            <v>47</v>
          </cell>
          <cell r="C1185" t="str">
            <v>1</v>
          </cell>
          <cell r="D1185" t="str">
            <v>B</v>
          </cell>
          <cell r="E1185">
            <v>1</v>
          </cell>
          <cell r="F1185">
            <v>0</v>
          </cell>
          <cell r="G1185" t="str">
            <v>Helyi önk-nál tűzoltóság  hiv.áll. illetmény.vel összefüg.t.</v>
          </cell>
        </row>
        <row r="1186">
          <cell r="A1186" t="str">
            <v>22</v>
          </cell>
          <cell r="B1186" t="str">
            <v>47</v>
          </cell>
          <cell r="C1186" t="str">
            <v>1</v>
          </cell>
          <cell r="D1186" t="str">
            <v>B</v>
          </cell>
          <cell r="E1186">
            <v>1</v>
          </cell>
          <cell r="F1186">
            <v>0</v>
          </cell>
          <cell r="G1186" t="str">
            <v>Egyéb</v>
          </cell>
        </row>
        <row r="1187">
          <cell r="A1187" t="str">
            <v>23</v>
          </cell>
          <cell r="B1187" t="str">
            <v>47</v>
          </cell>
          <cell r="C1187" t="str">
            <v>1</v>
          </cell>
          <cell r="D1187" t="str">
            <v>B</v>
          </cell>
          <cell r="E1187">
            <v>1</v>
          </cell>
          <cell r="F1187">
            <v>1</v>
          </cell>
          <cell r="G1187" t="str">
            <v>Központosított előirányzatok összesen (01+..+22)</v>
          </cell>
        </row>
        <row r="1188">
          <cell r="A1188" t="str">
            <v>24</v>
          </cell>
          <cell r="B1188" t="str">
            <v>47</v>
          </cell>
          <cell r="C1188" t="str">
            <v>1</v>
          </cell>
          <cell r="D1188" t="str">
            <v>B</v>
          </cell>
          <cell r="E1188">
            <v>1</v>
          </cell>
          <cell r="F1188">
            <v>0</v>
          </cell>
          <cell r="G1188" t="str">
            <v>Egyes jövedelempótló támogatások kiegészítése</v>
          </cell>
        </row>
        <row r="1189">
          <cell r="A1189" t="str">
            <v>25</v>
          </cell>
          <cell r="B1189" t="str">
            <v>47</v>
          </cell>
          <cell r="C1189" t="str">
            <v>1</v>
          </cell>
          <cell r="D1189" t="str">
            <v>B</v>
          </cell>
          <cell r="E1189">
            <v>1</v>
          </cell>
          <cell r="F1189">
            <v>0</v>
          </cell>
          <cell r="G1189" t="str">
            <v>Közcélú foglalkoztatás támogatása</v>
          </cell>
        </row>
        <row r="1190">
          <cell r="A1190" t="str">
            <v>26</v>
          </cell>
          <cell r="B1190" t="str">
            <v>47</v>
          </cell>
          <cell r="C1190" t="str">
            <v>1</v>
          </cell>
          <cell r="D1190" t="str">
            <v>B</v>
          </cell>
          <cell r="E1190">
            <v>1</v>
          </cell>
          <cell r="F1190">
            <v>0</v>
          </cell>
          <cell r="G1190" t="str">
            <v>Szociális továbbképzés és szakvizsga</v>
          </cell>
        </row>
        <row r="1191">
          <cell r="A1191" t="str">
            <v>27</v>
          </cell>
          <cell r="B1191" t="str">
            <v>47</v>
          </cell>
          <cell r="C1191" t="str">
            <v>1</v>
          </cell>
          <cell r="D1191" t="str">
            <v>B</v>
          </cell>
          <cell r="E1191">
            <v>1</v>
          </cell>
          <cell r="F1191">
            <v>1</v>
          </cell>
          <cell r="G1191" t="str">
            <v>Szoc. ellátásokkal kapcs.egyéb támogatások össz.(24+...+26)</v>
          </cell>
        </row>
        <row r="1192">
          <cell r="A1192" t="str">
            <v>28</v>
          </cell>
          <cell r="B1192" t="str">
            <v>47</v>
          </cell>
          <cell r="C1192" t="str">
            <v>1</v>
          </cell>
          <cell r="D1192" t="str">
            <v>B</v>
          </cell>
          <cell r="E1192">
            <v>1</v>
          </cell>
          <cell r="F1192">
            <v>0</v>
          </cell>
          <cell r="G1192" t="str">
            <v>Épületműködtetési hozzájárulás</v>
          </cell>
        </row>
        <row r="1193">
          <cell r="A1193" t="str">
            <v>29</v>
          </cell>
          <cell r="B1193" t="str">
            <v>47</v>
          </cell>
          <cell r="C1193" t="str">
            <v>1</v>
          </cell>
          <cell r="D1193" t="str">
            <v>B</v>
          </cell>
          <cell r="E1193">
            <v>1</v>
          </cell>
          <cell r="F1193">
            <v>0</v>
          </cell>
          <cell r="G1193" t="str">
            <v>Művészeti tevékenység kialakitásához való hozzájárulás</v>
          </cell>
        </row>
        <row r="1194">
          <cell r="A1194" t="str">
            <v>30</v>
          </cell>
          <cell r="B1194" t="str">
            <v>47</v>
          </cell>
          <cell r="C1194" t="str">
            <v>1</v>
          </cell>
          <cell r="D1194" t="str">
            <v>B</v>
          </cell>
          <cell r="E1194">
            <v>1</v>
          </cell>
          <cell r="F1194">
            <v>0</v>
          </cell>
          <cell r="G1194" t="str">
            <v>Bábszínházak művészeti munkájának támogatása</v>
          </cell>
        </row>
        <row r="1195">
          <cell r="A1195" t="str">
            <v>31</v>
          </cell>
          <cell r="B1195" t="str">
            <v>47</v>
          </cell>
          <cell r="C1195" t="str">
            <v>1</v>
          </cell>
          <cell r="D1195" t="str">
            <v>B</v>
          </cell>
          <cell r="E1195">
            <v>1</v>
          </cell>
          <cell r="F1195">
            <v>0</v>
          </cell>
          <cell r="G1195" t="str">
            <v>Színházak pályázati támogatása</v>
          </cell>
        </row>
        <row r="1196">
          <cell r="A1196" t="str">
            <v>32</v>
          </cell>
          <cell r="B1196" t="str">
            <v>47</v>
          </cell>
          <cell r="C1196" t="str">
            <v>1</v>
          </cell>
          <cell r="D1196" t="str">
            <v>B</v>
          </cell>
          <cell r="E1196">
            <v>1</v>
          </cell>
          <cell r="F1196">
            <v>1</v>
          </cell>
          <cell r="G1196" t="str">
            <v>Helyi önkormányzatok színházi támogatás összesen (28+..+31)</v>
          </cell>
        </row>
        <row r="1197">
          <cell r="A1197" t="str">
            <v>2</v>
          </cell>
          <cell r="B1197" t="str">
            <v>48</v>
          </cell>
          <cell r="C1197" t="str">
            <v>1</v>
          </cell>
          <cell r="D1197" t="str">
            <v>B</v>
          </cell>
          <cell r="E1197">
            <v>1</v>
          </cell>
          <cell r="F1197">
            <v>0</v>
          </cell>
          <cell r="G1197" t="str">
            <v>3/2004.I.31.PM-BM terv.- mutatószám</v>
          </cell>
        </row>
        <row r="1198">
          <cell r="A1198" t="str">
            <v>3</v>
          </cell>
          <cell r="B1198" t="str">
            <v>48</v>
          </cell>
          <cell r="C1198" t="str">
            <v>1</v>
          </cell>
          <cell r="D1198" t="str">
            <v>B</v>
          </cell>
          <cell r="E1198">
            <v>1</v>
          </cell>
          <cell r="F1198">
            <v>0</v>
          </cell>
          <cell r="G1198" t="str">
            <v>3/2004.I.31.PM-BM terv.- áll.hozzájárulás</v>
          </cell>
        </row>
        <row r="1199">
          <cell r="A1199" t="str">
            <v>4</v>
          </cell>
          <cell r="B1199" t="str">
            <v>48</v>
          </cell>
          <cell r="C1199" t="str">
            <v>1</v>
          </cell>
          <cell r="D1199" t="str">
            <v>B</v>
          </cell>
          <cell r="E1199">
            <v>2</v>
          </cell>
          <cell r="F1199">
            <v>0</v>
          </cell>
          <cell r="G1199" t="str">
            <v>36/2004.VII.21.PM-BM kieg.- mutatószám</v>
          </cell>
        </row>
        <row r="1200">
          <cell r="A1200" t="str">
            <v>5</v>
          </cell>
          <cell r="B1200" t="str">
            <v>48</v>
          </cell>
          <cell r="C1200" t="str">
            <v>1</v>
          </cell>
          <cell r="D1200" t="str">
            <v>B</v>
          </cell>
          <cell r="E1200">
            <v>1</v>
          </cell>
          <cell r="F1200">
            <v>0</v>
          </cell>
          <cell r="G1200" t="str">
            <v>36/2004.VII.21.PM-BM kieg.- áll.hozzájárulás</v>
          </cell>
        </row>
        <row r="1201">
          <cell r="A1201" t="str">
            <v>6</v>
          </cell>
          <cell r="B1201" t="str">
            <v>48</v>
          </cell>
          <cell r="C1201" t="str">
            <v>1</v>
          </cell>
          <cell r="D1201" t="str">
            <v>B</v>
          </cell>
          <cell r="E1201">
            <v>2</v>
          </cell>
          <cell r="F1201">
            <v>0</v>
          </cell>
          <cell r="G1201" t="str">
            <v>Évközi önk.közötti feladat- mutatószám</v>
          </cell>
        </row>
        <row r="1202">
          <cell r="A1202" t="str">
            <v>7</v>
          </cell>
          <cell r="B1202" t="str">
            <v>48</v>
          </cell>
          <cell r="C1202" t="str">
            <v>1</v>
          </cell>
          <cell r="D1202" t="str">
            <v>B</v>
          </cell>
          <cell r="E1202">
            <v>1</v>
          </cell>
          <cell r="F1202">
            <v>0</v>
          </cell>
          <cell r="G1202" t="str">
            <v>Évközi önk.közötti feladat- áll.hozzájárulás</v>
          </cell>
        </row>
        <row r="1203">
          <cell r="A1203" t="str">
            <v>8</v>
          </cell>
          <cell r="B1203" t="str">
            <v>48</v>
          </cell>
          <cell r="C1203" t="str">
            <v>1</v>
          </cell>
          <cell r="D1203" t="str">
            <v>B</v>
          </cell>
          <cell r="E1203">
            <v>2</v>
          </cell>
          <cell r="F1203">
            <v>0</v>
          </cell>
          <cell r="G1203" t="str">
            <v>Évközi önk.kívüli feladat- mutatószám</v>
          </cell>
        </row>
        <row r="1204">
          <cell r="A1204" t="str">
            <v>9</v>
          </cell>
          <cell r="B1204" t="str">
            <v>48</v>
          </cell>
          <cell r="C1204" t="str">
            <v>1</v>
          </cell>
          <cell r="D1204" t="str">
            <v>B</v>
          </cell>
          <cell r="E1204">
            <v>1</v>
          </cell>
          <cell r="F1204">
            <v>0</v>
          </cell>
          <cell r="G1204" t="str">
            <v>Évközi önk.kívüli feladat- áll.hozzájárulás</v>
          </cell>
        </row>
        <row r="1205">
          <cell r="A1205" t="str">
            <v>10</v>
          </cell>
          <cell r="B1205" t="str">
            <v>48</v>
          </cell>
          <cell r="C1205" t="str">
            <v>1</v>
          </cell>
          <cell r="D1205" t="str">
            <v>B</v>
          </cell>
          <cell r="E1205">
            <v>2</v>
          </cell>
          <cell r="F1205">
            <v>1</v>
          </cell>
          <cell r="G1205" t="str">
            <v>Ktv.feladat korr. - mutatószám(=2+4+6+8)</v>
          </cell>
        </row>
        <row r="1206">
          <cell r="A1206" t="str">
            <v>11</v>
          </cell>
          <cell r="B1206" t="str">
            <v>48</v>
          </cell>
          <cell r="C1206" t="str">
            <v>1</v>
          </cell>
          <cell r="D1206" t="str">
            <v>B</v>
          </cell>
          <cell r="E1206">
            <v>1</v>
          </cell>
          <cell r="F1206">
            <v>1</v>
          </cell>
          <cell r="G1206" t="str">
            <v>Ktv.feladat korr.-áll.hozzájár(=3+5+7+9)</v>
          </cell>
        </row>
        <row r="1207">
          <cell r="A1207" t="str">
            <v>2</v>
          </cell>
          <cell r="B1207" t="str">
            <v>49</v>
          </cell>
          <cell r="C1207" t="str">
            <v>1</v>
          </cell>
          <cell r="D1207" t="str">
            <v>B</v>
          </cell>
          <cell r="E1207">
            <v>1</v>
          </cell>
          <cell r="F1207">
            <v>0</v>
          </cell>
          <cell r="G1207" t="str">
            <v>3/2004.I.31.PM-BM terv.- mutatószám</v>
          </cell>
        </row>
        <row r="1208">
          <cell r="A1208" t="str">
            <v>3</v>
          </cell>
          <cell r="B1208" t="str">
            <v>49</v>
          </cell>
          <cell r="C1208" t="str">
            <v>1</v>
          </cell>
          <cell r="D1208" t="str">
            <v>B</v>
          </cell>
          <cell r="E1208">
            <v>1</v>
          </cell>
          <cell r="F1208">
            <v>0</v>
          </cell>
          <cell r="G1208" t="str">
            <v>3/2004.I.31.PM-BM terv.- áll.hozzájárulás</v>
          </cell>
        </row>
        <row r="1209">
          <cell r="A1209" t="str">
            <v>4</v>
          </cell>
          <cell r="B1209" t="str">
            <v>49</v>
          </cell>
          <cell r="C1209" t="str">
            <v>1</v>
          </cell>
          <cell r="D1209" t="str">
            <v>B</v>
          </cell>
          <cell r="E1209">
            <v>2</v>
          </cell>
          <cell r="F1209">
            <v>0</v>
          </cell>
          <cell r="G1209" t="str">
            <v>36/2004.VII.21.PM-BM kieg.- mutatószám</v>
          </cell>
        </row>
        <row r="1210">
          <cell r="A1210" t="str">
            <v>5</v>
          </cell>
          <cell r="B1210" t="str">
            <v>49</v>
          </cell>
          <cell r="C1210" t="str">
            <v>1</v>
          </cell>
          <cell r="D1210" t="str">
            <v>B</v>
          </cell>
          <cell r="E1210">
            <v>1</v>
          </cell>
          <cell r="F1210">
            <v>0</v>
          </cell>
          <cell r="G1210" t="str">
            <v>36/2004.VII.21.PM-BM kieg.- áll.hozzájárulás</v>
          </cell>
        </row>
        <row r="1211">
          <cell r="A1211" t="str">
            <v>6</v>
          </cell>
          <cell r="B1211" t="str">
            <v>49</v>
          </cell>
          <cell r="C1211" t="str">
            <v>1</v>
          </cell>
          <cell r="D1211" t="str">
            <v>B</v>
          </cell>
          <cell r="E1211">
            <v>2</v>
          </cell>
          <cell r="F1211">
            <v>0</v>
          </cell>
          <cell r="G1211" t="str">
            <v>Ktv.8.mell.I.1,2,4-8 előir. önk.közötti átad - mutatószám</v>
          </cell>
        </row>
        <row r="1212">
          <cell r="A1212" t="str">
            <v>7</v>
          </cell>
          <cell r="B1212" t="str">
            <v>49</v>
          </cell>
          <cell r="C1212" t="str">
            <v>1</v>
          </cell>
          <cell r="D1212" t="str">
            <v>B</v>
          </cell>
          <cell r="E1212">
            <v>1</v>
          </cell>
          <cell r="F1212">
            <v>0</v>
          </cell>
          <cell r="G1212" t="str">
            <v>Ktv.8.mell.I.1,2,4-8 előir. önk.közötti átad -áll.hozzájár.</v>
          </cell>
        </row>
        <row r="1213">
          <cell r="A1213" t="str">
            <v>8</v>
          </cell>
          <cell r="B1213" t="str">
            <v>49</v>
          </cell>
          <cell r="C1213" t="str">
            <v>1</v>
          </cell>
          <cell r="D1213" t="str">
            <v>B</v>
          </cell>
          <cell r="E1213">
            <v>2</v>
          </cell>
          <cell r="F1213">
            <v>0</v>
          </cell>
          <cell r="G1213" t="str">
            <v>Ktv.8.mell.I.1,2,4-8 előir. önk.körön kívül átad -mutatószám</v>
          </cell>
        </row>
        <row r="1214">
          <cell r="A1214" t="str">
            <v>9</v>
          </cell>
          <cell r="B1214" t="str">
            <v>49</v>
          </cell>
          <cell r="C1214" t="str">
            <v>1</v>
          </cell>
          <cell r="D1214" t="str">
            <v>B</v>
          </cell>
          <cell r="E1214">
            <v>1</v>
          </cell>
          <cell r="F1214">
            <v>0</v>
          </cell>
          <cell r="G1214" t="str">
            <v>Ktv.8.mell.I.1,2,4-8 előir. önk.körön kívül átad -áll.hozzáj</v>
          </cell>
        </row>
        <row r="1215">
          <cell r="A1215" t="str">
            <v>10</v>
          </cell>
          <cell r="B1215" t="str">
            <v>49</v>
          </cell>
          <cell r="C1215" t="str">
            <v>1</v>
          </cell>
          <cell r="D1215" t="str">
            <v>B</v>
          </cell>
          <cell r="E1215">
            <v>2</v>
          </cell>
          <cell r="F1215">
            <v>1</v>
          </cell>
          <cell r="G1215" t="str">
            <v>Ktv. alapján feladatátvétellel korr. - mutatoszám(=2+4+6+8)</v>
          </cell>
        </row>
        <row r="1216">
          <cell r="A1216" t="str">
            <v>11</v>
          </cell>
          <cell r="B1216" t="str">
            <v>49</v>
          </cell>
          <cell r="C1216" t="str">
            <v>1</v>
          </cell>
          <cell r="D1216" t="str">
            <v>B</v>
          </cell>
          <cell r="E1216">
            <v>1</v>
          </cell>
          <cell r="F1216">
            <v>1</v>
          </cell>
          <cell r="G1216" t="str">
            <v>Ktv. alapján feladatátvétellel korr.-áll.hozzájár(=3+5+7+9)</v>
          </cell>
        </row>
        <row r="1217">
          <cell r="A1217" t="str">
            <v>1</v>
          </cell>
          <cell r="B1217" t="str">
            <v>50</v>
          </cell>
          <cell r="C1217" t="str">
            <v>1</v>
          </cell>
          <cell r="D1217" t="str">
            <v>B</v>
          </cell>
          <cell r="E1217">
            <v>1</v>
          </cell>
          <cell r="F1217">
            <v>1</v>
          </cell>
          <cell r="G1217" t="str">
            <v>Lakhelyen marado SZJA (10%)                             3=4</v>
          </cell>
        </row>
        <row r="1218">
          <cell r="A1218" t="str">
            <v>2</v>
          </cell>
          <cell r="B1218" t="str">
            <v>50</v>
          </cell>
          <cell r="C1218" t="str">
            <v>1</v>
          </cell>
          <cell r="D1218" t="str">
            <v>B</v>
          </cell>
          <cell r="E1218">
            <v>1</v>
          </cell>
          <cell r="F1218">
            <v>1</v>
          </cell>
          <cell r="G1218" t="str">
            <v>Iparűzési adóalap (EZER FT!)</v>
          </cell>
        </row>
        <row r="1219">
          <cell r="A1219" t="str">
            <v>3</v>
          </cell>
          <cell r="B1219" t="str">
            <v>50</v>
          </cell>
          <cell r="C1219" t="str">
            <v>1</v>
          </cell>
          <cell r="D1219" t="str">
            <v>B</v>
          </cell>
          <cell r="E1219">
            <v>1</v>
          </cell>
          <cell r="F1219">
            <v>1</v>
          </cell>
          <cell r="G1219" t="str">
            <v>Iparűzési adóerőképesség</v>
          </cell>
        </row>
        <row r="1220">
          <cell r="A1220" t="str">
            <v>4</v>
          </cell>
          <cell r="B1220" t="str">
            <v>50</v>
          </cell>
          <cell r="C1220" t="str">
            <v>1</v>
          </cell>
          <cell r="D1220" t="str">
            <v>B</v>
          </cell>
          <cell r="E1220">
            <v>1</v>
          </cell>
          <cell r="F1220">
            <v>1</v>
          </cell>
          <cell r="G1220" t="str">
            <v>Lakosok száma (2003.január 1-jén)                       3=4</v>
          </cell>
        </row>
        <row r="1221">
          <cell r="A1221" t="str">
            <v>5</v>
          </cell>
          <cell r="B1221" t="str">
            <v>50</v>
          </cell>
          <cell r="C1221" t="str">
            <v>1</v>
          </cell>
          <cell r="D1221" t="str">
            <v>B</v>
          </cell>
          <cell r="E1221">
            <v>1</v>
          </cell>
          <cell r="F1221">
            <v>1</v>
          </cell>
          <cell r="G1221" t="str">
            <v>Jövedelemkülönbség mérséklés önkormány-i szintje (01+03)/04</v>
          </cell>
        </row>
        <row r="1222">
          <cell r="A1222" t="str">
            <v>6</v>
          </cell>
          <cell r="B1222" t="str">
            <v>50</v>
          </cell>
          <cell r="C1222" t="str">
            <v>1</v>
          </cell>
          <cell r="D1222" t="str">
            <v>B</v>
          </cell>
          <cell r="E1222">
            <v>1</v>
          </cell>
          <cell r="F1222">
            <v>1</v>
          </cell>
          <cell r="G1222" t="str">
            <v>Jövedelemkülönbség mérséklés értékhatára</v>
          </cell>
        </row>
        <row r="1223">
          <cell r="A1223" t="str">
            <v>7</v>
          </cell>
          <cell r="B1223" t="str">
            <v>50</v>
          </cell>
          <cell r="C1223" t="str">
            <v>1</v>
          </cell>
          <cell r="D1223" t="str">
            <v>B</v>
          </cell>
          <cell r="E1223">
            <v>1</v>
          </cell>
          <cell r="F1223">
            <v>1</v>
          </cell>
          <cell r="G1223" t="str">
            <v>Kiegészítés egy főre                      (=06-05 ha 05&lt;06)</v>
          </cell>
        </row>
        <row r="1224">
          <cell r="A1224" t="str">
            <v>8</v>
          </cell>
          <cell r="B1224" t="str">
            <v>50</v>
          </cell>
          <cell r="C1224" t="str">
            <v>1</v>
          </cell>
          <cell r="D1224" t="str">
            <v>B</v>
          </cell>
          <cell r="E1224">
            <v>1</v>
          </cell>
          <cell r="F1224">
            <v>1</v>
          </cell>
          <cell r="G1224" t="str">
            <v>Kiegészítés                                         (07x04)</v>
          </cell>
        </row>
        <row r="1225">
          <cell r="A1225" t="str">
            <v>9</v>
          </cell>
          <cell r="B1225" t="str">
            <v>50</v>
          </cell>
          <cell r="C1225" t="str">
            <v>1</v>
          </cell>
          <cell r="D1225" t="str">
            <v>B</v>
          </cell>
          <cell r="E1225">
            <v>1</v>
          </cell>
          <cell r="F1225">
            <v>1</v>
          </cell>
          <cell r="G1225" t="str">
            <v>Beszámítás egy főre                        (ha 057&gt;06x1,25)</v>
          </cell>
        </row>
        <row r="1226">
          <cell r="A1226" t="str">
            <v>10</v>
          </cell>
          <cell r="B1226" t="str">
            <v>50</v>
          </cell>
          <cell r="C1226" t="str">
            <v>1</v>
          </cell>
          <cell r="D1226" t="str">
            <v>B</v>
          </cell>
          <cell r="E1226">
            <v>1</v>
          </cell>
          <cell r="F1226">
            <v>1</v>
          </cell>
          <cell r="G1226" t="str">
            <v>Beszámítási korlát</v>
          </cell>
        </row>
        <row r="1227">
          <cell r="A1227" t="str">
            <v>11</v>
          </cell>
          <cell r="B1227" t="str">
            <v>50</v>
          </cell>
          <cell r="C1227" t="str">
            <v>1</v>
          </cell>
          <cell r="D1227" t="str">
            <v>B</v>
          </cell>
          <cell r="E1227">
            <v>1</v>
          </cell>
          <cell r="F1227">
            <v>1</v>
          </cell>
          <cell r="G1227" t="str">
            <v>Beszámítás</v>
          </cell>
        </row>
        <row r="1228">
          <cell r="A1228" t="str">
            <v>12</v>
          </cell>
          <cell r="B1228" t="str">
            <v>50</v>
          </cell>
          <cell r="C1228" t="str">
            <v>1</v>
          </cell>
          <cell r="D1228" t="str">
            <v>B</v>
          </cell>
          <cell r="E1228">
            <v>1</v>
          </cell>
          <cell r="F1228">
            <v>1</v>
          </cell>
          <cell r="G1228" t="str">
            <v>2004. évi szám.jöv.különbség mérséklés(08 v.11*(-1)v.0)(+-)</v>
          </cell>
        </row>
        <row r="1229">
          <cell r="A1229" t="str">
            <v>13</v>
          </cell>
          <cell r="B1229" t="str">
            <v>50</v>
          </cell>
          <cell r="C1229" t="str">
            <v>1</v>
          </cell>
          <cell r="D1229" t="str">
            <v>B</v>
          </cell>
          <cell r="E1229">
            <v>1</v>
          </cell>
          <cell r="F1229">
            <v>1</v>
          </cell>
          <cell r="G1229" t="str">
            <v>2003. évi jövedelemkülönbség mérséklés                 (+-)</v>
          </cell>
        </row>
        <row r="1230">
          <cell r="A1230" t="str">
            <v>14</v>
          </cell>
          <cell r="B1230" t="str">
            <v>50</v>
          </cell>
          <cell r="C1230" t="str">
            <v>1</v>
          </cell>
          <cell r="D1230" t="str">
            <v>B</v>
          </cell>
          <cell r="E1230">
            <v>2</v>
          </cell>
          <cell r="F1230">
            <v>1</v>
          </cell>
          <cell r="G1230" t="str">
            <v>Elsődleges pozicióromlás     (=13-12 ha 13&gt;12, egyébként 0)</v>
          </cell>
        </row>
        <row r="1231">
          <cell r="A1231" t="str">
            <v>15</v>
          </cell>
          <cell r="B1231" t="str">
            <v>50</v>
          </cell>
          <cell r="C1231" t="str">
            <v>1</v>
          </cell>
          <cell r="D1231" t="str">
            <v>B</v>
          </cell>
          <cell r="E1231">
            <v>1</v>
          </cell>
          <cell r="F1231">
            <v>1</v>
          </cell>
          <cell r="G1231" t="str">
            <v>Pozicióromlás korlátja                                (3=4)</v>
          </cell>
        </row>
        <row r="1232">
          <cell r="A1232" t="str">
            <v>16</v>
          </cell>
          <cell r="B1232" t="str">
            <v>50</v>
          </cell>
          <cell r="C1232" t="str">
            <v>1</v>
          </cell>
          <cell r="D1232" t="str">
            <v>B</v>
          </cell>
          <cell r="E1232">
            <v>1</v>
          </cell>
          <cell r="F1232">
            <v>1</v>
          </cell>
          <cell r="G1232" t="str">
            <v>Minimálisan érvényesülő pozicióromlás              (14*0,5)</v>
          </cell>
        </row>
        <row r="1233">
          <cell r="A1233" t="str">
            <v>17</v>
          </cell>
          <cell r="B1233" t="str">
            <v>50</v>
          </cell>
          <cell r="C1233" t="str">
            <v>1</v>
          </cell>
          <cell r="D1233" t="str">
            <v>B</v>
          </cell>
          <cell r="E1233">
            <v>1</v>
          </cell>
          <cell r="F1233">
            <v>1</v>
          </cell>
          <cell r="G1233" t="str">
            <v>Elfogadható pozicióromlás</v>
          </cell>
        </row>
        <row r="1234">
          <cell r="A1234" t="str">
            <v>18</v>
          </cell>
          <cell r="B1234" t="str">
            <v>50</v>
          </cell>
          <cell r="C1234" t="str">
            <v>1</v>
          </cell>
          <cell r="D1234" t="str">
            <v>B</v>
          </cell>
          <cell r="E1234">
            <v>1</v>
          </cell>
          <cell r="F1234">
            <v>1</v>
          </cell>
          <cell r="G1234" t="str">
            <v>2004.évi jövedelemkülönbség mérséklés                  (+-)</v>
          </cell>
        </row>
        <row r="1235">
          <cell r="A1235" t="str">
            <v>19</v>
          </cell>
          <cell r="B1235" t="str">
            <v>50</v>
          </cell>
          <cell r="C1235" t="str">
            <v>1</v>
          </cell>
          <cell r="D1235" t="str">
            <v>B</v>
          </cell>
          <cell r="E1235">
            <v>2</v>
          </cell>
          <cell r="F1235">
            <v>1</v>
          </cell>
          <cell r="G1235" t="str">
            <v>Önkormányzat által fizetendő összeg</v>
          </cell>
        </row>
        <row r="1236">
          <cell r="A1236" t="str">
            <v>20</v>
          </cell>
          <cell r="B1236" t="str">
            <v>50</v>
          </cell>
          <cell r="C1236" t="str">
            <v>1</v>
          </cell>
          <cell r="D1236" t="str">
            <v>B</v>
          </cell>
          <cell r="E1236">
            <v>1</v>
          </cell>
          <cell r="F1236">
            <v>0</v>
          </cell>
          <cell r="G1236" t="str">
            <v>Önkormányzat részére fizetendő összeg</v>
          </cell>
        </row>
        <row r="1237">
          <cell r="A1237" t="str">
            <v>21</v>
          </cell>
          <cell r="B1237" t="str">
            <v>50</v>
          </cell>
          <cell r="C1237" t="str">
            <v>1</v>
          </cell>
          <cell r="D1237" t="str">
            <v>B</v>
          </cell>
          <cell r="E1237">
            <v>2</v>
          </cell>
          <cell r="F1237">
            <v>0</v>
          </cell>
          <cell r="G1237" t="str">
            <v>Beruházási kiadások összesen</v>
          </cell>
        </row>
        <row r="1238">
          <cell r="A1238" t="str">
            <v>22</v>
          </cell>
          <cell r="B1238" t="str">
            <v>50</v>
          </cell>
          <cell r="C1238" t="str">
            <v>1</v>
          </cell>
          <cell r="D1238" t="str">
            <v>B</v>
          </cell>
          <cell r="E1238">
            <v>1</v>
          </cell>
          <cell r="F1238">
            <v>0</v>
          </cell>
          <cell r="G1238" t="str">
            <v>Fejlesztési célú támogatás és átvett pénzeszközök</v>
          </cell>
        </row>
        <row r="1239">
          <cell r="A1239" t="str">
            <v>23</v>
          </cell>
          <cell r="B1239" t="str">
            <v>50</v>
          </cell>
          <cell r="C1239" t="str">
            <v>1</v>
          </cell>
          <cell r="D1239" t="str">
            <v>B</v>
          </cell>
          <cell r="E1239">
            <v>1</v>
          </cell>
          <cell r="F1239">
            <v>0</v>
          </cell>
          <cell r="G1239" t="str">
            <v>Véglegezett beszámítási összegből az önk.-nak visszajár</v>
          </cell>
        </row>
        <row r="1240">
          <cell r="A1240" t="str">
            <v>2</v>
          </cell>
          <cell r="B1240" t="str">
            <v>51</v>
          </cell>
          <cell r="C1240" t="str">
            <v>1</v>
          </cell>
          <cell r="D1240" t="str">
            <v>B</v>
          </cell>
          <cell r="E1240">
            <v>1</v>
          </cell>
          <cell r="F1240">
            <v>0</v>
          </cell>
          <cell r="G1240" t="str">
            <v>Ktv.feladattal korr. - mutatoszám</v>
          </cell>
        </row>
        <row r="1241">
          <cell r="A1241" t="str">
            <v>3</v>
          </cell>
          <cell r="B1241" t="str">
            <v>51</v>
          </cell>
          <cell r="C1241" t="str">
            <v>1</v>
          </cell>
          <cell r="D1241" t="str">
            <v>B</v>
          </cell>
          <cell r="E1241">
            <v>1</v>
          </cell>
          <cell r="F1241">
            <v>0</v>
          </cell>
          <cell r="G1241" t="str">
            <v>Ktv.feladattal korr. - áll.hozzájárulás</v>
          </cell>
        </row>
        <row r="1242">
          <cell r="A1242" t="str">
            <v>4</v>
          </cell>
          <cell r="B1242" t="str">
            <v>51</v>
          </cell>
          <cell r="C1242" t="str">
            <v>1</v>
          </cell>
          <cell r="D1242" t="str">
            <v>B</v>
          </cell>
          <cell r="E1242">
            <v>2</v>
          </cell>
          <cell r="F1242">
            <v>0</v>
          </cell>
          <cell r="G1242" t="str">
            <v>Évközi változás- ápr.30.- mutatoszám</v>
          </cell>
        </row>
        <row r="1243">
          <cell r="A1243" t="str">
            <v>5</v>
          </cell>
          <cell r="B1243" t="str">
            <v>51</v>
          </cell>
          <cell r="C1243" t="str">
            <v>1</v>
          </cell>
          <cell r="D1243" t="str">
            <v>B</v>
          </cell>
          <cell r="E1243">
            <v>1</v>
          </cell>
          <cell r="F1243">
            <v>0</v>
          </cell>
          <cell r="G1243" t="str">
            <v>Évközi változás- ápr.30.- áll.hozzájárulás</v>
          </cell>
        </row>
        <row r="1244">
          <cell r="A1244" t="str">
            <v>6</v>
          </cell>
          <cell r="B1244" t="str">
            <v>51</v>
          </cell>
          <cell r="C1244" t="str">
            <v>1</v>
          </cell>
          <cell r="D1244" t="str">
            <v>B</v>
          </cell>
          <cell r="E1244">
            <v>1</v>
          </cell>
          <cell r="F1244">
            <v>0</v>
          </cell>
          <cell r="G1244" t="str">
            <v>Évközi változás- jul.31.- mutatoszám</v>
          </cell>
        </row>
        <row r="1245">
          <cell r="A1245" t="str">
            <v>7</v>
          </cell>
          <cell r="B1245" t="str">
            <v>51</v>
          </cell>
          <cell r="C1245" t="str">
            <v>1</v>
          </cell>
          <cell r="D1245" t="str">
            <v>B</v>
          </cell>
          <cell r="E1245">
            <v>1</v>
          </cell>
          <cell r="F1245">
            <v>0</v>
          </cell>
          <cell r="G1245" t="str">
            <v>Évközi változás- jul.31.- áll.hozzájárulás</v>
          </cell>
        </row>
        <row r="1246">
          <cell r="A1246" t="str">
            <v>8</v>
          </cell>
          <cell r="B1246" t="str">
            <v>51</v>
          </cell>
          <cell r="C1246" t="str">
            <v>1</v>
          </cell>
          <cell r="D1246" t="str">
            <v>B</v>
          </cell>
          <cell r="E1246">
            <v>1</v>
          </cell>
          <cell r="F1246">
            <v>0</v>
          </cell>
          <cell r="G1246" t="str">
            <v>Évközi változás- okt.15.- mutatoszám</v>
          </cell>
        </row>
        <row r="1247">
          <cell r="A1247" t="str">
            <v>9</v>
          </cell>
          <cell r="B1247" t="str">
            <v>51</v>
          </cell>
          <cell r="C1247" t="str">
            <v>1</v>
          </cell>
          <cell r="D1247" t="str">
            <v>B</v>
          </cell>
          <cell r="E1247">
            <v>1</v>
          </cell>
          <cell r="F1247">
            <v>0</v>
          </cell>
          <cell r="G1247" t="str">
            <v>Évközi változás- okt.15.- áll.hozzájárulás</v>
          </cell>
        </row>
        <row r="1248">
          <cell r="A1248" t="str">
            <v>10</v>
          </cell>
          <cell r="B1248" t="str">
            <v>51</v>
          </cell>
          <cell r="C1248" t="str">
            <v>1</v>
          </cell>
          <cell r="D1248" t="str">
            <v>B</v>
          </cell>
          <cell r="E1248">
            <v>2</v>
          </cell>
          <cell r="F1248">
            <v>0</v>
          </cell>
          <cell r="G1248" t="str">
            <v>Tényleges - mutatoszám</v>
          </cell>
        </row>
        <row r="1249">
          <cell r="A1249" t="str">
            <v>11</v>
          </cell>
          <cell r="B1249" t="str">
            <v>51</v>
          </cell>
          <cell r="C1249" t="str">
            <v>1</v>
          </cell>
          <cell r="D1249" t="str">
            <v>B</v>
          </cell>
          <cell r="E1249">
            <v>1</v>
          </cell>
          <cell r="F1249">
            <v>0</v>
          </cell>
          <cell r="G1249" t="str">
            <v>Tényleges - állami hozzájárulás</v>
          </cell>
        </row>
        <row r="1250">
          <cell r="A1250" t="str">
            <v>12</v>
          </cell>
          <cell r="B1250" t="str">
            <v>51</v>
          </cell>
          <cell r="C1250" t="str">
            <v>1</v>
          </cell>
          <cell r="D1250" t="str">
            <v>B</v>
          </cell>
          <cell r="E1250">
            <v>2</v>
          </cell>
          <cell r="F1250">
            <v>1</v>
          </cell>
          <cell r="G1250" t="str">
            <v>Eltérés-dec.31.-mutatoszám(12=10-2-4-6-8)</v>
          </cell>
        </row>
        <row r="1251">
          <cell r="A1251" t="str">
            <v>13</v>
          </cell>
          <cell r="B1251" t="str">
            <v>51</v>
          </cell>
          <cell r="C1251" t="str">
            <v>1</v>
          </cell>
          <cell r="D1251" t="str">
            <v>B</v>
          </cell>
          <cell r="E1251">
            <v>1</v>
          </cell>
          <cell r="F1251">
            <v>1</v>
          </cell>
          <cell r="G1251" t="str">
            <v>Eltérés-dec.31.-áll.hozzájár.(13=11-3-5-7-9)</v>
          </cell>
        </row>
        <row r="1252">
          <cell r="A1252" t="str">
            <v>14</v>
          </cell>
          <cell r="B1252" t="str">
            <v>51</v>
          </cell>
          <cell r="C1252" t="str">
            <v>1</v>
          </cell>
          <cell r="D1252" t="str">
            <v>B</v>
          </cell>
          <cell r="E1252">
            <v>2</v>
          </cell>
          <cell r="F1252">
            <v>0</v>
          </cell>
          <cell r="G1252" t="str">
            <v>Önkorm.- adott célra dec.31-ig felh.összeg</v>
          </cell>
        </row>
        <row r="1253">
          <cell r="A1253" t="str">
            <v>15</v>
          </cell>
          <cell r="B1253" t="str">
            <v>51</v>
          </cell>
          <cell r="C1253" t="str">
            <v>1</v>
          </cell>
          <cell r="D1253" t="str">
            <v>B</v>
          </cell>
          <cell r="E1253">
            <v>1</v>
          </cell>
          <cell r="F1253">
            <v>0</v>
          </cell>
          <cell r="G1253" t="str">
            <v>Önkorm.- felad.terhelt de fel nem haszn.össz.</v>
          </cell>
        </row>
        <row r="1254">
          <cell r="A1254" t="str">
            <v>16</v>
          </cell>
          <cell r="B1254" t="str">
            <v>51</v>
          </cell>
          <cell r="C1254" t="str">
            <v>1</v>
          </cell>
          <cell r="D1254" t="str">
            <v>B</v>
          </cell>
          <cell r="E1254">
            <v>2</v>
          </cell>
          <cell r="F1254">
            <v>1</v>
          </cell>
          <cell r="G1254" t="str">
            <v>Eltérés állami hozzájárulás(16=13-11+14+15)</v>
          </cell>
        </row>
        <row r="1255">
          <cell r="A1255" t="str">
            <v>1</v>
          </cell>
          <cell r="B1255" t="str">
            <v>52</v>
          </cell>
          <cell r="C1255" t="str">
            <v>1</v>
          </cell>
          <cell r="D1255" t="str">
            <v>B</v>
          </cell>
          <cell r="E1255">
            <v>1</v>
          </cell>
          <cell r="F1255">
            <v>0</v>
          </cell>
          <cell r="G1255" t="str">
            <v>Helyben marado SZJA (10%)                           (3=4)</v>
          </cell>
        </row>
        <row r="1256">
          <cell r="A1256" t="str">
            <v>2</v>
          </cell>
          <cell r="B1256" t="str">
            <v>52</v>
          </cell>
          <cell r="C1256" t="str">
            <v>1</v>
          </cell>
          <cell r="D1256" t="str">
            <v>B</v>
          </cell>
          <cell r="E1256">
            <v>1</v>
          </cell>
          <cell r="F1256">
            <v>0</v>
          </cell>
          <cell r="G1256" t="str">
            <v>Számitott iparüzési adoeröképesség                  (3=4)</v>
          </cell>
        </row>
        <row r="1257">
          <cell r="A1257" t="str">
            <v>3</v>
          </cell>
          <cell r="B1257" t="str">
            <v>52</v>
          </cell>
          <cell r="C1257" t="str">
            <v>1</v>
          </cell>
          <cell r="D1257" t="str">
            <v>B</v>
          </cell>
          <cell r="E1257">
            <v>1</v>
          </cell>
          <cell r="F1257">
            <v>0</v>
          </cell>
          <cell r="G1257" t="str">
            <v>Valorizált iparüzési adobevétel (100%)              (3=4)</v>
          </cell>
        </row>
        <row r="1258">
          <cell r="A1258" t="str">
            <v>4</v>
          </cell>
          <cell r="B1258" t="str">
            <v>52</v>
          </cell>
          <cell r="C1258" t="str">
            <v>1</v>
          </cell>
          <cell r="D1258" t="str">
            <v>B</v>
          </cell>
          <cell r="E1258">
            <v>1</v>
          </cell>
          <cell r="F1258">
            <v>0</v>
          </cell>
          <cell r="G1258" t="str">
            <v>Valorizált iparüzési adobevétel (60%)      (3=4)(03x0,60)</v>
          </cell>
        </row>
        <row r="1259">
          <cell r="A1259" t="str">
            <v>5</v>
          </cell>
          <cell r="B1259" t="str">
            <v>52</v>
          </cell>
          <cell r="C1259" t="str">
            <v>1</v>
          </cell>
          <cell r="D1259" t="str">
            <v>B</v>
          </cell>
          <cell r="E1259">
            <v>1</v>
          </cell>
          <cell r="F1259">
            <v>0</v>
          </cell>
          <cell r="G1259" t="str">
            <v>Iparüzési adoeröképesség                            (3=4)</v>
          </cell>
        </row>
        <row r="1260">
          <cell r="A1260" t="str">
            <v>6</v>
          </cell>
          <cell r="B1260" t="str">
            <v>52</v>
          </cell>
          <cell r="C1260" t="str">
            <v>1</v>
          </cell>
          <cell r="D1260" t="str">
            <v>B</v>
          </cell>
          <cell r="E1260">
            <v>1</v>
          </cell>
          <cell r="F1260">
            <v>0</v>
          </cell>
          <cell r="G1260" t="str">
            <v>Lakosok száma (fö)                                  (3=4)</v>
          </cell>
        </row>
        <row r="1261">
          <cell r="A1261" t="str">
            <v>7</v>
          </cell>
          <cell r="B1261" t="str">
            <v>52</v>
          </cell>
          <cell r="C1261" t="str">
            <v>1</v>
          </cell>
          <cell r="D1261" t="str">
            <v>B</v>
          </cell>
          <cell r="E1261">
            <v>1</v>
          </cell>
          <cell r="F1261">
            <v>0</v>
          </cell>
          <cell r="G1261" t="str">
            <v>Jövedelemkülönbségmérséklés önkorm.szintje    (01+05):06</v>
          </cell>
        </row>
        <row r="1262">
          <cell r="A1262" t="str">
            <v>8</v>
          </cell>
          <cell r="B1262" t="str">
            <v>52</v>
          </cell>
          <cell r="C1262" t="str">
            <v>1</v>
          </cell>
          <cell r="D1262" t="str">
            <v>B</v>
          </cell>
          <cell r="E1262">
            <v>1</v>
          </cell>
          <cell r="F1262">
            <v>0</v>
          </cell>
          <cell r="G1262" t="str">
            <v>Jövedelemkülönbség-mérséklés értékhatára</v>
          </cell>
        </row>
        <row r="1263">
          <cell r="A1263" t="str">
            <v>9</v>
          </cell>
          <cell r="B1263" t="str">
            <v>52</v>
          </cell>
          <cell r="C1263" t="str">
            <v>1</v>
          </cell>
          <cell r="D1263" t="str">
            <v>B</v>
          </cell>
          <cell r="E1263">
            <v>1</v>
          </cell>
          <cell r="F1263">
            <v>0</v>
          </cell>
          <cell r="G1263" t="str">
            <v>Kiegészités egy före                    (08-07, ha 07&lt;08)</v>
          </cell>
        </row>
        <row r="1264">
          <cell r="A1264" t="str">
            <v>10</v>
          </cell>
          <cell r="B1264" t="str">
            <v>52</v>
          </cell>
          <cell r="C1264" t="str">
            <v>1</v>
          </cell>
          <cell r="D1264" t="str">
            <v>B</v>
          </cell>
          <cell r="E1264">
            <v>1</v>
          </cell>
          <cell r="F1264">
            <v>0</v>
          </cell>
          <cell r="G1264" t="str">
            <v>Kiegészités                                       (09x06)</v>
          </cell>
        </row>
        <row r="1265">
          <cell r="A1265" t="str">
            <v>11</v>
          </cell>
          <cell r="B1265" t="str">
            <v>52</v>
          </cell>
          <cell r="C1265" t="str">
            <v>1</v>
          </cell>
          <cell r="D1265" t="str">
            <v>B</v>
          </cell>
          <cell r="E1265">
            <v>1</v>
          </cell>
          <cell r="F1265">
            <v>0</v>
          </cell>
          <cell r="G1265" t="str">
            <v>Levonás egy före                          (ha 07&gt;08x1,25)</v>
          </cell>
        </row>
        <row r="1266">
          <cell r="A1266" t="str">
            <v>12</v>
          </cell>
          <cell r="B1266" t="str">
            <v>52</v>
          </cell>
          <cell r="C1266" t="str">
            <v>1</v>
          </cell>
          <cell r="D1266" t="str">
            <v>B</v>
          </cell>
          <cell r="E1266">
            <v>1</v>
          </cell>
          <cell r="F1266">
            <v>0</v>
          </cell>
          <cell r="G1266" t="str">
            <v>Levonási korlát</v>
          </cell>
        </row>
        <row r="1267">
          <cell r="A1267" t="str">
            <v>13</v>
          </cell>
          <cell r="B1267" t="str">
            <v>52</v>
          </cell>
          <cell r="C1267" t="str">
            <v>1</v>
          </cell>
          <cell r="D1267" t="str">
            <v>B</v>
          </cell>
          <cell r="E1267">
            <v>1</v>
          </cell>
          <cell r="F1267">
            <v>0</v>
          </cell>
          <cell r="G1267" t="str">
            <v>Levonás</v>
          </cell>
        </row>
        <row r="1268">
          <cell r="A1268" t="str">
            <v>14</v>
          </cell>
          <cell r="B1268" t="str">
            <v>52</v>
          </cell>
          <cell r="C1268" t="str">
            <v>1</v>
          </cell>
          <cell r="D1268" t="str">
            <v>B</v>
          </cell>
          <cell r="E1268">
            <v>1</v>
          </cell>
          <cell r="F1268">
            <v>0</v>
          </cell>
          <cell r="G1268" t="str">
            <v>Önkormányzat által fizetendö összeg</v>
          </cell>
        </row>
        <row r="1269">
          <cell r="A1269" t="str">
            <v>15</v>
          </cell>
          <cell r="B1269" t="str">
            <v>52</v>
          </cell>
          <cell r="C1269" t="str">
            <v>1</v>
          </cell>
          <cell r="D1269" t="str">
            <v>B</v>
          </cell>
          <cell r="E1269">
            <v>1</v>
          </cell>
          <cell r="F1269">
            <v>0</v>
          </cell>
          <cell r="G1269" t="str">
            <v>Önkormányzat részére fizetendö összeg</v>
          </cell>
        </row>
        <row r="1270">
          <cell r="A1270" t="str">
            <v>16</v>
          </cell>
          <cell r="B1270" t="str">
            <v>52</v>
          </cell>
          <cell r="C1270" t="str">
            <v>1</v>
          </cell>
          <cell r="D1270" t="str">
            <v>B</v>
          </cell>
          <cell r="E1270">
            <v>1</v>
          </cell>
          <cell r="F1270">
            <v>0</v>
          </cell>
          <cell r="G1270" t="str">
            <v>Beruházási kiadások összesen</v>
          </cell>
        </row>
        <row r="1271">
          <cell r="A1271" t="str">
            <v>17</v>
          </cell>
          <cell r="B1271" t="str">
            <v>52</v>
          </cell>
          <cell r="C1271" t="str">
            <v>1</v>
          </cell>
          <cell r="D1271" t="str">
            <v>B</v>
          </cell>
          <cell r="E1271">
            <v>1</v>
          </cell>
          <cell r="F1271">
            <v>0</v>
          </cell>
          <cell r="G1271" t="str">
            <v>Fejlesztési célu támogatás és átvett pénzeszközök</v>
          </cell>
        </row>
        <row r="1272">
          <cell r="A1272" t="str">
            <v>18</v>
          </cell>
          <cell r="B1272" t="str">
            <v>52</v>
          </cell>
          <cell r="C1272" t="str">
            <v>1</v>
          </cell>
          <cell r="D1272" t="str">
            <v>B</v>
          </cell>
          <cell r="E1272">
            <v>1</v>
          </cell>
          <cell r="F1272">
            <v>0</v>
          </cell>
          <cell r="G1272" t="str">
            <v>Véglegezett beszámitási összegből az önk.-nak visszajár</v>
          </cell>
        </row>
        <row r="1273">
          <cell r="A1273" t="str">
            <v>1</v>
          </cell>
          <cell r="B1273" t="str">
            <v>53</v>
          </cell>
          <cell r="C1273" t="str">
            <v>1</v>
          </cell>
          <cell r="D1273" t="str">
            <v>B</v>
          </cell>
          <cell r="E1273">
            <v>1</v>
          </cell>
          <cell r="F1273">
            <v>0</v>
          </cell>
          <cell r="G1273" t="str">
            <v>Betegszabadsággal összefüggö:-munkáltatoi kifizetés</v>
          </cell>
        </row>
        <row r="1274">
          <cell r="A1274" t="str">
            <v>2</v>
          </cell>
          <cell r="B1274" t="str">
            <v>53</v>
          </cell>
          <cell r="C1274" t="str">
            <v>1</v>
          </cell>
          <cell r="D1274" t="str">
            <v>B</v>
          </cell>
          <cell r="E1274">
            <v>1</v>
          </cell>
          <cell r="F1274">
            <v>0</v>
          </cell>
          <cell r="G1274" t="str">
            <v>Betegszabadsággal összefüggö:-kifizetésben részesülök (fö)</v>
          </cell>
        </row>
        <row r="1275">
          <cell r="A1275" t="str">
            <v>3</v>
          </cell>
          <cell r="B1275" t="str">
            <v>53</v>
          </cell>
          <cell r="C1275" t="str">
            <v>1</v>
          </cell>
          <cell r="D1275" t="str">
            <v>B</v>
          </cell>
          <cell r="E1275">
            <v>1</v>
          </cell>
          <cell r="F1275">
            <v>0</v>
          </cell>
          <cell r="G1275" t="str">
            <v>Munkáltato ált.levont,átutalt:-személyi jövedelemado össz.</v>
          </cell>
        </row>
        <row r="1276">
          <cell r="A1276" t="str">
            <v>4</v>
          </cell>
          <cell r="B1276" t="str">
            <v>53</v>
          </cell>
          <cell r="C1276" t="str">
            <v>1</v>
          </cell>
          <cell r="D1276" t="str">
            <v>B</v>
          </cell>
          <cell r="E1276">
            <v>1</v>
          </cell>
          <cell r="F1276">
            <v>0</v>
          </cell>
          <cell r="G1276" t="str">
            <v>Munkáltato ált.levont,átutalt:-nyugdijjárulék összege</v>
          </cell>
        </row>
        <row r="1277">
          <cell r="A1277" t="str">
            <v>5</v>
          </cell>
          <cell r="B1277" t="str">
            <v>53</v>
          </cell>
          <cell r="C1277" t="str">
            <v>1</v>
          </cell>
          <cell r="D1277" t="str">
            <v>B</v>
          </cell>
          <cell r="E1277">
            <v>1</v>
          </cell>
          <cell r="F1277">
            <v>0</v>
          </cell>
          <cell r="G1277" t="str">
            <v>Munkáltato ált.levont,átutalt:-egészségbiztositási járulék</v>
          </cell>
        </row>
        <row r="1278">
          <cell r="A1278" t="str">
            <v>6</v>
          </cell>
          <cell r="B1278" t="str">
            <v>53</v>
          </cell>
          <cell r="C1278" t="str">
            <v>1</v>
          </cell>
          <cell r="D1278" t="str">
            <v>B</v>
          </cell>
          <cell r="E1278">
            <v>1</v>
          </cell>
          <cell r="F1278">
            <v>0</v>
          </cell>
          <cell r="G1278" t="str">
            <v>Munkáltato ált.levont,átutalt:-magánnyugdij-pénztári tagdij</v>
          </cell>
        </row>
        <row r="1279">
          <cell r="A1279" t="str">
            <v>7</v>
          </cell>
          <cell r="B1279" t="str">
            <v>53</v>
          </cell>
          <cell r="C1279" t="str">
            <v>1</v>
          </cell>
          <cell r="D1279" t="str">
            <v>B</v>
          </cell>
          <cell r="E1279">
            <v>1</v>
          </cell>
          <cell r="F1279">
            <v>0</v>
          </cell>
          <cell r="G1279" t="str">
            <v>TB/cstám. kifizetöhely által folyos.:-családi potlék összege</v>
          </cell>
        </row>
        <row r="1280">
          <cell r="A1280" t="str">
            <v>8</v>
          </cell>
          <cell r="B1280" t="str">
            <v>53</v>
          </cell>
          <cell r="C1280" t="str">
            <v>1</v>
          </cell>
          <cell r="D1280" t="str">
            <v>B</v>
          </cell>
          <cell r="E1280">
            <v>1</v>
          </cell>
          <cell r="F1280">
            <v>0</v>
          </cell>
          <cell r="G1280" t="str">
            <v>TB/cstám. kifizetöhely által folyos.:-táppénz összege</v>
          </cell>
        </row>
        <row r="1281">
          <cell r="A1281" t="str">
            <v>9</v>
          </cell>
          <cell r="B1281" t="str">
            <v>53</v>
          </cell>
          <cell r="C1281" t="str">
            <v>1</v>
          </cell>
          <cell r="D1281" t="str">
            <v>B</v>
          </cell>
          <cell r="E1281">
            <v>1</v>
          </cell>
          <cell r="F1281">
            <v>0</v>
          </cell>
          <cell r="G1281" t="str">
            <v>TB/cstám. kifizetöhely által folyos.-egyéb TB juttatás össz.</v>
          </cell>
        </row>
        <row r="1282">
          <cell r="A1282" t="str">
            <v>10</v>
          </cell>
          <cell r="B1282" t="str">
            <v>53</v>
          </cell>
          <cell r="C1282" t="str">
            <v>1</v>
          </cell>
          <cell r="D1282" t="str">
            <v>B</v>
          </cell>
          <cell r="E1282">
            <v>1</v>
          </cell>
          <cell r="F1282">
            <v>0</v>
          </cell>
          <cell r="G1282" t="str">
            <v>TB/cstám.kif.hely által az ellátás után kapott térités össz.</v>
          </cell>
        </row>
        <row r="1283">
          <cell r="A1283" t="str">
            <v>11</v>
          </cell>
          <cell r="B1283" t="str">
            <v>53</v>
          </cell>
          <cell r="C1283" t="str">
            <v>1</v>
          </cell>
          <cell r="D1283" t="str">
            <v>B</v>
          </cell>
          <cell r="E1283">
            <v>1</v>
          </cell>
          <cell r="F1283">
            <v>0</v>
          </cell>
          <cell r="G1283" t="str">
            <v>Biztositási kiadások: - életbiztositás</v>
          </cell>
        </row>
        <row r="1284">
          <cell r="A1284" t="str">
            <v>12</v>
          </cell>
          <cell r="B1284" t="str">
            <v>53</v>
          </cell>
          <cell r="C1284" t="str">
            <v>1</v>
          </cell>
          <cell r="D1284" t="str">
            <v>B</v>
          </cell>
          <cell r="E1284">
            <v>1</v>
          </cell>
          <cell r="F1284">
            <v>0</v>
          </cell>
          <cell r="G1284" t="str">
            <v>Biztositási kiadások: - vagyonbiztositás</v>
          </cell>
        </row>
        <row r="1285">
          <cell r="A1285" t="str">
            <v>13</v>
          </cell>
          <cell r="B1285" t="str">
            <v>53</v>
          </cell>
          <cell r="C1285" t="str">
            <v>1</v>
          </cell>
          <cell r="D1285" t="str">
            <v>B</v>
          </cell>
          <cell r="E1285">
            <v>1</v>
          </cell>
          <cell r="F1285">
            <v>0</v>
          </cell>
          <cell r="G1285" t="str">
            <v>Munkáltato által levont munkavállaloi járulék</v>
          </cell>
        </row>
        <row r="1286">
          <cell r="A1286" t="str">
            <v>14</v>
          </cell>
          <cell r="B1286" t="str">
            <v>53</v>
          </cell>
          <cell r="C1286" t="str">
            <v>1</v>
          </cell>
          <cell r="D1286" t="str">
            <v>B</v>
          </cell>
          <cell r="E1286">
            <v>1</v>
          </cell>
          <cell r="F1286">
            <v>0</v>
          </cell>
          <cell r="G1286" t="str">
            <v>Személyi juttatások:-2004.jan.telj.51-52.szla.brutto szem.j</v>
          </cell>
        </row>
        <row r="1287">
          <cell r="A1287" t="str">
            <v>15</v>
          </cell>
          <cell r="B1287" t="str">
            <v>53</v>
          </cell>
          <cell r="C1287" t="str">
            <v>1</v>
          </cell>
          <cell r="D1287" t="str">
            <v>B</v>
          </cell>
          <cell r="E1287">
            <v>1</v>
          </cell>
          <cell r="F1287">
            <v>0</v>
          </cell>
          <cell r="G1287" t="str">
            <v>Személyi juttatások:-2004-ben kifiz. 2003.évi 13.havi jutt.</v>
          </cell>
        </row>
        <row r="1288">
          <cell r="A1288" t="str">
            <v>16</v>
          </cell>
          <cell r="B1288" t="str">
            <v>53</v>
          </cell>
          <cell r="C1288" t="str">
            <v>1</v>
          </cell>
          <cell r="D1288" t="str">
            <v>B</v>
          </cell>
          <cell r="E1288">
            <v>1</v>
          </cell>
          <cell r="F1288">
            <v>0</v>
          </cell>
          <cell r="G1288" t="str">
            <v>Személyi juttatások:-2005.jan.telj.51-52.szla.brutto szem.j</v>
          </cell>
        </row>
        <row r="1289">
          <cell r="A1289" t="str">
            <v>17</v>
          </cell>
          <cell r="B1289" t="str">
            <v>53</v>
          </cell>
          <cell r="C1289" t="str">
            <v>1</v>
          </cell>
          <cell r="D1289" t="str">
            <v>B</v>
          </cell>
          <cell r="E1289">
            <v>1</v>
          </cell>
          <cell r="F1289">
            <v>0</v>
          </cell>
          <cell r="G1289" t="str">
            <v>Személyi juttatások:-2005-ben kifiz. egy havi külön juttatás</v>
          </cell>
        </row>
        <row r="1290">
          <cell r="A1290" t="str">
            <v>18</v>
          </cell>
          <cell r="B1290" t="str">
            <v>53</v>
          </cell>
          <cell r="C1290" t="str">
            <v>1</v>
          </cell>
          <cell r="D1290" t="str">
            <v>B</v>
          </cell>
          <cell r="E1290">
            <v>1</v>
          </cell>
          <cell r="F1290">
            <v>0</v>
          </cell>
          <cell r="G1290" t="str">
            <v>TB járulék:-2004.jan.telj.531.szla elsz.-járulék</v>
          </cell>
        </row>
        <row r="1291">
          <cell r="A1291" t="str">
            <v>19</v>
          </cell>
          <cell r="B1291" t="str">
            <v>53</v>
          </cell>
          <cell r="C1291" t="str">
            <v>1</v>
          </cell>
          <cell r="D1291" t="str">
            <v>B</v>
          </cell>
          <cell r="E1291">
            <v>1</v>
          </cell>
          <cell r="F1291">
            <v>0</v>
          </cell>
          <cell r="G1291" t="str">
            <v>TB járulék:-2004-ben kifiz. 2003.évi 13.havi jutt. járuléka</v>
          </cell>
        </row>
        <row r="1292">
          <cell r="A1292" t="str">
            <v>20</v>
          </cell>
          <cell r="B1292" t="str">
            <v>53</v>
          </cell>
          <cell r="C1292" t="str">
            <v>1</v>
          </cell>
          <cell r="D1292" t="str">
            <v>B</v>
          </cell>
          <cell r="E1292">
            <v>1</v>
          </cell>
          <cell r="F1292">
            <v>0</v>
          </cell>
          <cell r="G1292" t="str">
            <v>TB járulék:-2005.jan.telj.531.szla elsz.-járulék</v>
          </cell>
        </row>
        <row r="1293">
          <cell r="A1293" t="str">
            <v>21</v>
          </cell>
          <cell r="B1293" t="str">
            <v>53</v>
          </cell>
          <cell r="C1293" t="str">
            <v>1</v>
          </cell>
          <cell r="D1293" t="str">
            <v>B</v>
          </cell>
          <cell r="E1293">
            <v>1</v>
          </cell>
          <cell r="F1293">
            <v>0</v>
          </cell>
          <cell r="G1293" t="str">
            <v>TB járulék:-2005-ben kifiz. egy havi külön juttatás járuléka</v>
          </cell>
        </row>
        <row r="1294">
          <cell r="A1294" t="str">
            <v>22</v>
          </cell>
          <cell r="B1294" t="str">
            <v>53</v>
          </cell>
          <cell r="C1294" t="str">
            <v>1</v>
          </cell>
          <cell r="D1294" t="str">
            <v>B</v>
          </cell>
          <cell r="E1294">
            <v>1</v>
          </cell>
          <cell r="F1294">
            <v>0</v>
          </cell>
          <cell r="G1294" t="str">
            <v>Munkaadoi járulék:-2004.jan.telj.532.szla elsz.-járulék</v>
          </cell>
        </row>
        <row r="1295">
          <cell r="A1295" t="str">
            <v>23</v>
          </cell>
          <cell r="B1295" t="str">
            <v>53</v>
          </cell>
          <cell r="C1295" t="str">
            <v>1</v>
          </cell>
          <cell r="D1295" t="str">
            <v>B</v>
          </cell>
          <cell r="E1295">
            <v>1</v>
          </cell>
          <cell r="F1295">
            <v>0</v>
          </cell>
          <cell r="G1295" t="str">
            <v>Munkaadoi jár.:-2004-ben kifiz. 2003.évi 13.havi jutt. jár.</v>
          </cell>
        </row>
        <row r="1296">
          <cell r="A1296" t="str">
            <v>24</v>
          </cell>
          <cell r="B1296" t="str">
            <v>53</v>
          </cell>
          <cell r="C1296" t="str">
            <v>1</v>
          </cell>
          <cell r="D1296" t="str">
            <v>B</v>
          </cell>
          <cell r="E1296">
            <v>1</v>
          </cell>
          <cell r="F1296">
            <v>0</v>
          </cell>
          <cell r="G1296" t="str">
            <v>Munkaadoi járulék:-2005.jan.telj.532.szla elsz.-járulék</v>
          </cell>
        </row>
        <row r="1297">
          <cell r="A1297" t="str">
            <v>25</v>
          </cell>
          <cell r="B1297" t="str">
            <v>53</v>
          </cell>
          <cell r="C1297" t="str">
            <v>1</v>
          </cell>
          <cell r="D1297" t="str">
            <v>B</v>
          </cell>
          <cell r="E1297">
            <v>1</v>
          </cell>
          <cell r="F1297">
            <v>0</v>
          </cell>
          <cell r="G1297" t="str">
            <v>Munkaadoi jár.:-2005-ben kifiz. egy havi külön juttatás jár.</v>
          </cell>
        </row>
        <row r="1298">
          <cell r="A1298" t="str">
            <v>26</v>
          </cell>
          <cell r="B1298" t="str">
            <v>53</v>
          </cell>
          <cell r="C1298" t="str">
            <v>1</v>
          </cell>
          <cell r="D1298" t="str">
            <v>B</v>
          </cell>
          <cell r="E1298">
            <v>1</v>
          </cell>
          <cell r="F1298">
            <v>0</v>
          </cell>
          <cell r="G1298" t="str">
            <v>Eg.bizt.hozzájár:-2004.jan.az 533.szla elsz.2003.dec.hoz.jár</v>
          </cell>
        </row>
        <row r="1299">
          <cell r="A1299" t="str">
            <v>27</v>
          </cell>
          <cell r="B1299" t="str">
            <v>53</v>
          </cell>
          <cell r="C1299" t="str">
            <v>1</v>
          </cell>
          <cell r="D1299" t="str">
            <v>B</v>
          </cell>
          <cell r="E1299">
            <v>1</v>
          </cell>
          <cell r="F1299">
            <v>0</v>
          </cell>
          <cell r="G1299" t="str">
            <v>Eg.bizt.hozzájár:-2005.jan.telj.2004.dec.havi hoz.jár-össz.</v>
          </cell>
        </row>
        <row r="1300">
          <cell r="A1300" t="str">
            <v>28</v>
          </cell>
          <cell r="B1300" t="str">
            <v>53</v>
          </cell>
          <cell r="C1300" t="str">
            <v>1</v>
          </cell>
          <cell r="D1300" t="str">
            <v>B</v>
          </cell>
          <cell r="E1300">
            <v>1</v>
          </cell>
          <cell r="F1300">
            <v>0</v>
          </cell>
          <cell r="G1300" t="str">
            <v>Kamatkiadások:-2004.telj.573.szla elsz.-nem tárgyévre kamat</v>
          </cell>
        </row>
        <row r="1301">
          <cell r="A1301" t="str">
            <v>29</v>
          </cell>
          <cell r="B1301" t="str">
            <v>53</v>
          </cell>
          <cell r="C1301" t="str">
            <v>1</v>
          </cell>
          <cell r="D1301" t="str">
            <v>B</v>
          </cell>
          <cell r="E1301">
            <v>1</v>
          </cell>
          <cell r="F1301">
            <v>0</v>
          </cell>
          <cell r="G1301" t="str">
            <v>Kamatkiadások:-2004.terhelö,de tárgyévben meg nem fiz.kamat</v>
          </cell>
        </row>
        <row r="1302">
          <cell r="A1302" t="str">
            <v>30</v>
          </cell>
          <cell r="B1302" t="str">
            <v>53</v>
          </cell>
          <cell r="C1302" t="str">
            <v>1</v>
          </cell>
          <cell r="D1302" t="str">
            <v>B</v>
          </cell>
          <cell r="E1302">
            <v>1</v>
          </cell>
          <cell r="F1302">
            <v>0</v>
          </cell>
          <cell r="G1302" t="str">
            <v>Kamatbevételek:-2004.bef.916.szla elsz.-nem tárgyévre kamat</v>
          </cell>
        </row>
        <row r="1303">
          <cell r="A1303" t="str">
            <v>31</v>
          </cell>
          <cell r="B1303" t="str">
            <v>53</v>
          </cell>
          <cell r="C1303" t="str">
            <v>1</v>
          </cell>
          <cell r="D1303" t="str">
            <v>B</v>
          </cell>
          <cell r="E1303">
            <v>1</v>
          </cell>
          <cell r="F1303">
            <v>0</v>
          </cell>
          <cell r="G1303" t="str">
            <v>Kamatbevételek:-2004.évre járó,de be nem folyt kamat összege</v>
          </cell>
        </row>
        <row r="1304">
          <cell r="A1304" t="str">
            <v>32</v>
          </cell>
          <cell r="B1304" t="str">
            <v>53</v>
          </cell>
          <cell r="C1304" t="str">
            <v>1</v>
          </cell>
          <cell r="D1304" t="str">
            <v>B</v>
          </cell>
          <cell r="E1304">
            <v>1</v>
          </cell>
          <cell r="F1304">
            <v>0</v>
          </cell>
          <cell r="G1304" t="str">
            <v>Kamatbevételek:-étékpapír vételárában elszámolt kamatbevét.</v>
          </cell>
        </row>
        <row r="1305">
          <cell r="A1305" t="str">
            <v>33</v>
          </cell>
          <cell r="B1305" t="str">
            <v>53</v>
          </cell>
          <cell r="C1305" t="str">
            <v>1</v>
          </cell>
          <cell r="D1305" t="str">
            <v>B</v>
          </cell>
          <cell r="E1305">
            <v>1</v>
          </cell>
          <cell r="F1305">
            <v>0</v>
          </cell>
          <cell r="G1305" t="str">
            <v>Bevételként elszámolt árfolyamnyereség</v>
          </cell>
        </row>
        <row r="1306">
          <cell r="A1306" t="str">
            <v>34</v>
          </cell>
          <cell r="B1306" t="str">
            <v>53</v>
          </cell>
          <cell r="C1306" t="str">
            <v>1</v>
          </cell>
          <cell r="D1306" t="str">
            <v>B</v>
          </cell>
          <cell r="E1306">
            <v>1</v>
          </cell>
          <cell r="F1306">
            <v>0</v>
          </cell>
          <cell r="G1306" t="str">
            <v>Bevétel árf.nyereségéböl-valuta,deviza mérleg.árf.nyeresége</v>
          </cell>
        </row>
        <row r="1307">
          <cell r="A1307" t="str">
            <v>35</v>
          </cell>
          <cell r="B1307" t="str">
            <v>53</v>
          </cell>
          <cell r="C1307" t="str">
            <v>1</v>
          </cell>
          <cell r="D1307" t="str">
            <v>B</v>
          </cell>
          <cell r="E1307">
            <v>1</v>
          </cell>
          <cell r="F1307">
            <v>0</v>
          </cell>
          <cell r="G1307" t="str">
            <v>Kiadásként elszámolt árfolyamveszteség</v>
          </cell>
        </row>
        <row r="1308">
          <cell r="A1308" t="str">
            <v>36</v>
          </cell>
          <cell r="B1308" t="str">
            <v>53</v>
          </cell>
          <cell r="C1308" t="str">
            <v>1</v>
          </cell>
          <cell r="D1308" t="str">
            <v>B</v>
          </cell>
          <cell r="E1308">
            <v>1</v>
          </cell>
          <cell r="F1308">
            <v>0</v>
          </cell>
          <cell r="G1308" t="str">
            <v>Kiadás árf.veszteségéböl-valuta,deviza mérleg.árf.veszteség</v>
          </cell>
        </row>
        <row r="1309">
          <cell r="A1309" t="str">
            <v>37</v>
          </cell>
          <cell r="B1309" t="str">
            <v>53</v>
          </cell>
          <cell r="C1309" t="str">
            <v>1</v>
          </cell>
          <cell r="D1309" t="str">
            <v>B</v>
          </cell>
          <cell r="E1309">
            <v>1</v>
          </cell>
          <cell r="F1309">
            <v>0</v>
          </cell>
          <cell r="G1309" t="str">
            <v>Dologi kiadások ÁFA-adóalapja           (38+39+40)</v>
          </cell>
        </row>
        <row r="1310">
          <cell r="A1310" t="str">
            <v>38</v>
          </cell>
          <cell r="B1310" t="str">
            <v>53</v>
          </cell>
          <cell r="C1310" t="str">
            <v>1</v>
          </cell>
          <cell r="D1310" t="str">
            <v>B</v>
          </cell>
          <cell r="E1310">
            <v>1</v>
          </cell>
          <cell r="F1310">
            <v>0</v>
          </cell>
          <cell r="G1310" t="str">
            <v>Dologi kiadások ÁFA-adóalapjából- 5%-os ÁFA-adóalap összege</v>
          </cell>
        </row>
        <row r="1311">
          <cell r="A1311" t="str">
            <v>39</v>
          </cell>
          <cell r="B1311" t="str">
            <v>53</v>
          </cell>
          <cell r="C1311" t="str">
            <v>1</v>
          </cell>
          <cell r="D1311" t="str">
            <v>B</v>
          </cell>
          <cell r="E1311">
            <v>1</v>
          </cell>
          <cell r="F1311">
            <v>0</v>
          </cell>
          <cell r="G1311" t="str">
            <v>Dologi kiadások ÁFA-adóalapjából-15%-os ÁFA-adóalap összege</v>
          </cell>
        </row>
        <row r="1312">
          <cell r="A1312" t="str">
            <v>40</v>
          </cell>
          <cell r="B1312" t="str">
            <v>53</v>
          </cell>
          <cell r="C1312" t="str">
            <v>1</v>
          </cell>
          <cell r="D1312" t="str">
            <v>B</v>
          </cell>
          <cell r="E1312">
            <v>1</v>
          </cell>
          <cell r="F1312">
            <v>0</v>
          </cell>
          <cell r="G1312" t="str">
            <v>Dologi kiadások ÁFA-adóalapjából-25%-os ÁFA-adóalap összege</v>
          </cell>
        </row>
        <row r="1313">
          <cell r="A1313" t="str">
            <v>41</v>
          </cell>
          <cell r="B1313" t="str">
            <v>53</v>
          </cell>
          <cell r="C1313" t="str">
            <v>1</v>
          </cell>
          <cell r="D1313" t="str">
            <v>B</v>
          </cell>
          <cell r="E1313">
            <v>1</v>
          </cell>
          <cell r="F1313">
            <v>0</v>
          </cell>
          <cell r="G1313" t="str">
            <v>Tárgyévben behajthatatlan követelésként leirt összeg</v>
          </cell>
        </row>
        <row r="1314">
          <cell r="A1314" t="str">
            <v>42</v>
          </cell>
          <cell r="B1314" t="str">
            <v>53</v>
          </cell>
          <cell r="C1314" t="str">
            <v>1</v>
          </cell>
          <cell r="D1314" t="str">
            <v>B</v>
          </cell>
          <cell r="E1314">
            <v>1</v>
          </cell>
          <cell r="F1314">
            <v>0</v>
          </cell>
          <cell r="G1314" t="str">
            <v>T.évben behajt.köv.ből - előző é.köv.ből beh.köv.leírt össz.</v>
          </cell>
        </row>
        <row r="1315">
          <cell r="A1315" t="str">
            <v>43</v>
          </cell>
          <cell r="B1315" t="str">
            <v>53</v>
          </cell>
          <cell r="C1315" t="str">
            <v>1</v>
          </cell>
          <cell r="D1315" t="str">
            <v>B</v>
          </cell>
          <cell r="E1315">
            <v>1</v>
          </cell>
          <cell r="F1315">
            <v>0</v>
          </cell>
          <cell r="G1315" t="str">
            <v>Tárgyévben elengedett követelések értéke</v>
          </cell>
        </row>
        <row r="1316">
          <cell r="A1316" t="str">
            <v>44</v>
          </cell>
          <cell r="B1316" t="str">
            <v>53</v>
          </cell>
          <cell r="C1316" t="str">
            <v>1</v>
          </cell>
          <cell r="D1316" t="str">
            <v>B</v>
          </cell>
          <cell r="E1316">
            <v>1</v>
          </cell>
          <cell r="F1316">
            <v>0</v>
          </cell>
          <cell r="G1316" t="str">
            <v>T.évben eleng. köv.ből - előző évi köv.elengedett köv.értéke</v>
          </cell>
        </row>
        <row r="1317">
          <cell r="A1317" t="str">
            <v>45</v>
          </cell>
          <cell r="B1317" t="str">
            <v>53</v>
          </cell>
          <cell r="C1317" t="str">
            <v>1</v>
          </cell>
          <cell r="D1317" t="str">
            <v>B</v>
          </cell>
          <cell r="E1317">
            <v>1</v>
          </cell>
          <cell r="F1317">
            <v>0</v>
          </cell>
          <cell r="G1317" t="str">
            <v>Műk-i célú, tám.progr. előlegére pénzeszk.átadás áht-n belül</v>
          </cell>
        </row>
        <row r="1318">
          <cell r="A1318" t="str">
            <v>46</v>
          </cell>
          <cell r="B1318" t="str">
            <v>53</v>
          </cell>
          <cell r="C1318" t="str">
            <v>1</v>
          </cell>
          <cell r="D1318" t="str">
            <v>B</v>
          </cell>
          <cell r="E1318">
            <v>1</v>
          </cell>
          <cell r="F1318">
            <v>0</v>
          </cell>
          <cell r="G1318" t="str">
            <v>Felh-i célú,tám.progr. előlegére pénzeszk.átadás áht-n belül</v>
          </cell>
        </row>
        <row r="1319">
          <cell r="A1319" t="str">
            <v>47</v>
          </cell>
          <cell r="B1319" t="str">
            <v>53</v>
          </cell>
          <cell r="C1319" t="str">
            <v>1</v>
          </cell>
          <cell r="D1319" t="str">
            <v>B</v>
          </cell>
          <cell r="E1319">
            <v>1</v>
          </cell>
          <cell r="F1319">
            <v>0</v>
          </cell>
          <cell r="G1319" t="str">
            <v>Műk-i célú, tám.progr. előlegére pénzeszk.átadás áht-n kívül</v>
          </cell>
        </row>
        <row r="1320">
          <cell r="A1320" t="str">
            <v>48</v>
          </cell>
          <cell r="B1320" t="str">
            <v>53</v>
          </cell>
          <cell r="C1320" t="str">
            <v>1</v>
          </cell>
          <cell r="D1320" t="str">
            <v>B</v>
          </cell>
          <cell r="E1320">
            <v>1</v>
          </cell>
          <cell r="F1320">
            <v>0</v>
          </cell>
          <cell r="G1320" t="str">
            <v>Felh-i célú,tám.progr. előlegére pénzeszk.átadás áht-n kívül</v>
          </cell>
        </row>
        <row r="1321">
          <cell r="A1321" t="str">
            <v>49</v>
          </cell>
          <cell r="B1321" t="str">
            <v>53</v>
          </cell>
          <cell r="C1321" t="str">
            <v>1</v>
          </cell>
          <cell r="D1321" t="str">
            <v>B</v>
          </cell>
          <cell r="E1321">
            <v>1</v>
          </cell>
          <cell r="F1321">
            <v>0</v>
          </cell>
          <cell r="G1321" t="str">
            <v>Műk.célú,e.évi tám.prog.v.adott előlegének átvétele áht.bel.</v>
          </cell>
        </row>
        <row r="1322">
          <cell r="A1322" t="str">
            <v>50</v>
          </cell>
          <cell r="B1322" t="str">
            <v>53</v>
          </cell>
          <cell r="C1322" t="str">
            <v>1</v>
          </cell>
          <cell r="D1322" t="str">
            <v>B</v>
          </cell>
          <cell r="E1322">
            <v>1</v>
          </cell>
          <cell r="F1322">
            <v>0</v>
          </cell>
          <cell r="G1322" t="str">
            <v>Felh.célú,e.évi tám.prog.v.adott előlegének átvétele áht.bel</v>
          </cell>
        </row>
        <row r="1323">
          <cell r="A1323" t="str">
            <v>51</v>
          </cell>
          <cell r="B1323" t="str">
            <v>53</v>
          </cell>
          <cell r="C1323" t="str">
            <v>1</v>
          </cell>
          <cell r="D1323" t="str">
            <v>B</v>
          </cell>
          <cell r="E1323">
            <v>1</v>
          </cell>
          <cell r="F1323">
            <v>0</v>
          </cell>
          <cell r="G1323" t="str">
            <v>Műk.célú,e.évi tám.prog.v.adott előlegének átvétele áht.kív.</v>
          </cell>
        </row>
        <row r="1324">
          <cell r="A1324" t="str">
            <v>52</v>
          </cell>
          <cell r="B1324" t="str">
            <v>53</v>
          </cell>
          <cell r="C1324" t="str">
            <v>1</v>
          </cell>
          <cell r="D1324" t="str">
            <v>B</v>
          </cell>
          <cell r="E1324">
            <v>1</v>
          </cell>
          <cell r="F1324">
            <v>0</v>
          </cell>
          <cell r="G1324" t="str">
            <v>Felh.célú,e.évi tám.prog.v.adott előlegének átvétele áht.kív</v>
          </cell>
        </row>
        <row r="1325">
          <cell r="A1325" t="str">
            <v>53</v>
          </cell>
          <cell r="B1325" t="str">
            <v>53</v>
          </cell>
          <cell r="C1325" t="str">
            <v>1</v>
          </cell>
          <cell r="D1325" t="str">
            <v>B</v>
          </cell>
          <cell r="E1325">
            <v>1</v>
          </cell>
          <cell r="F1325">
            <v>0</v>
          </cell>
          <cell r="G1325" t="str">
            <v>Forgatási célú értékpapírok évközi vásárlása</v>
          </cell>
        </row>
        <row r="1326">
          <cell r="A1326" t="str">
            <v>54</v>
          </cell>
          <cell r="B1326" t="str">
            <v>53</v>
          </cell>
          <cell r="C1326" t="str">
            <v>1</v>
          </cell>
          <cell r="D1326" t="str">
            <v>B</v>
          </cell>
          <cell r="E1326">
            <v>1</v>
          </cell>
          <cell r="F1326">
            <v>0</v>
          </cell>
          <cell r="G1326" t="str">
            <v>Forgatási célú értékpapírok évközi értékesítése</v>
          </cell>
        </row>
        <row r="1327">
          <cell r="A1327" t="str">
            <v>55</v>
          </cell>
          <cell r="B1327" t="str">
            <v>53</v>
          </cell>
          <cell r="C1327" t="str">
            <v>1</v>
          </cell>
          <cell r="D1327" t="str">
            <v>B</v>
          </cell>
          <cell r="E1327">
            <v>1</v>
          </cell>
          <cell r="F1327">
            <v>0</v>
          </cell>
          <cell r="G1327" t="str">
            <v>Rövid lejáratú likvid hitelk évközi felvétele</v>
          </cell>
        </row>
        <row r="1328">
          <cell r="A1328" t="str">
            <v>56</v>
          </cell>
          <cell r="B1328" t="str">
            <v>53</v>
          </cell>
          <cell r="C1328" t="str">
            <v>1</v>
          </cell>
          <cell r="D1328" t="str">
            <v>B</v>
          </cell>
          <cell r="E1328">
            <v>1</v>
          </cell>
          <cell r="F1328">
            <v>0</v>
          </cell>
          <cell r="G1328" t="str">
            <v>Rövid lejáratú likvid hitelek évközi törlesztése, visszafiz.</v>
          </cell>
        </row>
        <row r="1329">
          <cell r="A1329" t="str">
            <v>57</v>
          </cell>
          <cell r="B1329" t="str">
            <v>53</v>
          </cell>
          <cell r="C1329" t="str">
            <v>1</v>
          </cell>
          <cell r="D1329" t="str">
            <v>B</v>
          </cell>
          <cell r="E1329">
            <v>1</v>
          </cell>
          <cell r="F1329">
            <v>0</v>
          </cell>
          <cell r="G1329" t="str">
            <v>Működési célú kötvénykibocsátás bevétele</v>
          </cell>
        </row>
        <row r="1330">
          <cell r="A1330" t="str">
            <v>58</v>
          </cell>
          <cell r="B1330" t="str">
            <v>53</v>
          </cell>
          <cell r="C1330" t="str">
            <v>1</v>
          </cell>
          <cell r="D1330" t="str">
            <v>B</v>
          </cell>
          <cell r="E1330">
            <v>1</v>
          </cell>
          <cell r="F1330">
            <v>0</v>
          </cell>
          <cell r="G1330" t="str">
            <v>Működési célra kibocsátott kötvények beváltása</v>
          </cell>
        </row>
        <row r="1331">
          <cell r="A1331" t="str">
            <v>59</v>
          </cell>
          <cell r="B1331" t="str">
            <v>53</v>
          </cell>
          <cell r="C1331" t="str">
            <v>1</v>
          </cell>
          <cell r="D1331" t="str">
            <v>B</v>
          </cell>
          <cell r="E1331">
            <v>1</v>
          </cell>
          <cell r="F1331">
            <v>0</v>
          </cell>
          <cell r="G1331" t="str">
            <v>Tartós h.ért.köv.évben lejáró ért.pap.könyv szerinti értéke</v>
          </cell>
        </row>
        <row r="1332">
          <cell r="A1332" t="str">
            <v>1</v>
          </cell>
          <cell r="B1332" t="str">
            <v>54</v>
          </cell>
          <cell r="C1332" t="str">
            <v>1</v>
          </cell>
          <cell r="D1332" t="str">
            <v>B</v>
          </cell>
          <cell r="E1332">
            <v>1</v>
          </cell>
          <cell r="F1332">
            <v>0</v>
          </cell>
          <cell r="G1332" t="str">
            <v>Községek általános feladatai</v>
          </cell>
          <cell r="H1332" t="str">
            <v>0</v>
          </cell>
          <cell r="I1332" t="str">
            <v>100</v>
          </cell>
        </row>
        <row r="1333">
          <cell r="A1333" t="str">
            <v>2</v>
          </cell>
          <cell r="B1333" t="str">
            <v>54</v>
          </cell>
          <cell r="C1333" t="str">
            <v>1</v>
          </cell>
          <cell r="D1333" t="str">
            <v>B</v>
          </cell>
          <cell r="E1333">
            <v>1</v>
          </cell>
          <cell r="F1333">
            <v>0</v>
          </cell>
          <cell r="G1333" t="str">
            <v>Települési igazgatási, kommunális és sportfeladatok</v>
          </cell>
          <cell r="H1333" t="str">
            <v>0</v>
          </cell>
          <cell r="I1333" t="str">
            <v>100</v>
          </cell>
        </row>
        <row r="1334">
          <cell r="A1334" t="str">
            <v>3</v>
          </cell>
          <cell r="B1334" t="str">
            <v>54</v>
          </cell>
          <cell r="C1334" t="str">
            <v>1</v>
          </cell>
          <cell r="D1334" t="str">
            <v>B</v>
          </cell>
          <cell r="E1334">
            <v>1</v>
          </cell>
          <cell r="F1334">
            <v>0</v>
          </cell>
          <cell r="G1334" t="str">
            <v>Körjegyzöség müködésével kapcsolatos feladatok</v>
          </cell>
          <cell r="H1334" t="str">
            <v>0</v>
          </cell>
          <cell r="I1334" t="str">
            <v>100</v>
          </cell>
        </row>
        <row r="1335">
          <cell r="A1335" t="str">
            <v>4</v>
          </cell>
          <cell r="B1335" t="str">
            <v>54</v>
          </cell>
          <cell r="C1335" t="str">
            <v>1</v>
          </cell>
          <cell r="D1335" t="str">
            <v>B</v>
          </cell>
          <cell r="E1335">
            <v>1</v>
          </cell>
          <cell r="F1335">
            <v>0</v>
          </cell>
          <cell r="G1335" t="str">
            <v>Lakott külterületekkel kapcsolatos feladatok</v>
          </cell>
          <cell r="H1335" t="str">
            <v>0</v>
          </cell>
          <cell r="I1335" t="str">
            <v>100</v>
          </cell>
        </row>
        <row r="1336">
          <cell r="A1336" t="str">
            <v>5</v>
          </cell>
          <cell r="B1336" t="str">
            <v>54</v>
          </cell>
          <cell r="C1336" t="str">
            <v>1</v>
          </cell>
          <cell r="D1336" t="str">
            <v>B</v>
          </cell>
          <cell r="E1336">
            <v>1</v>
          </cell>
          <cell r="F1336">
            <v>0</v>
          </cell>
          <cell r="G1336" t="str">
            <v>Körzeti igazgatási feladatok</v>
          </cell>
          <cell r="H1336" t="str">
            <v>0</v>
          </cell>
          <cell r="I1336" t="str">
            <v>100</v>
          </cell>
        </row>
        <row r="1337">
          <cell r="A1337" t="str">
            <v>6</v>
          </cell>
          <cell r="B1337" t="str">
            <v>54</v>
          </cell>
          <cell r="C1337" t="str">
            <v>1</v>
          </cell>
          <cell r="D1337" t="str">
            <v>B</v>
          </cell>
          <cell r="E1337">
            <v>1</v>
          </cell>
          <cell r="F1337">
            <v>0</v>
          </cell>
          <cell r="G1337" t="str">
            <v>Megyei, fövárosi igazgatási és sportfeladatok</v>
          </cell>
          <cell r="H1337" t="str">
            <v>0</v>
          </cell>
          <cell r="I1337" t="str">
            <v>100</v>
          </cell>
        </row>
        <row r="1338">
          <cell r="A1338" t="str">
            <v>7</v>
          </cell>
          <cell r="B1338" t="str">
            <v>54</v>
          </cell>
          <cell r="C1338" t="str">
            <v>1</v>
          </cell>
          <cell r="D1338" t="str">
            <v>B</v>
          </cell>
          <cell r="E1338">
            <v>1</v>
          </cell>
          <cell r="F1338">
            <v>0</v>
          </cell>
          <cell r="G1338" t="str">
            <v>Üdülöhelyi feladatok</v>
          </cell>
          <cell r="H1338" t="str">
            <v>0</v>
          </cell>
          <cell r="I1338" t="str">
            <v>100</v>
          </cell>
        </row>
        <row r="1339">
          <cell r="A1339" t="str">
            <v>8</v>
          </cell>
          <cell r="B1339" t="str">
            <v>54</v>
          </cell>
          <cell r="C1339" t="str">
            <v>1</v>
          </cell>
          <cell r="D1339" t="str">
            <v>B</v>
          </cell>
          <cell r="E1339">
            <v>1</v>
          </cell>
          <cell r="F1339">
            <v>0</v>
          </cell>
          <cell r="G1339" t="str">
            <v>A társadalmi-gazdasági, infrastrukt.elmaradott.önk.támog.</v>
          </cell>
          <cell r="H1339" t="str">
            <v>0</v>
          </cell>
          <cell r="I1339" t="str">
            <v>100</v>
          </cell>
        </row>
        <row r="1340">
          <cell r="A1340" t="str">
            <v>9</v>
          </cell>
          <cell r="B1340" t="str">
            <v>54</v>
          </cell>
          <cell r="C1340" t="str">
            <v>1</v>
          </cell>
          <cell r="D1340" t="str">
            <v>B</v>
          </cell>
          <cell r="E1340">
            <v>1</v>
          </cell>
          <cell r="F1340">
            <v>0</v>
          </cell>
          <cell r="G1340" t="str">
            <v>Pénzbeli, természetbeli szociális és gyermekjoléti támogatás</v>
          </cell>
          <cell r="H1340" t="str">
            <v>0</v>
          </cell>
          <cell r="I1340" t="str">
            <v>100</v>
          </cell>
        </row>
        <row r="1341">
          <cell r="A1341" t="str">
            <v>10</v>
          </cell>
          <cell r="B1341" t="str">
            <v>54</v>
          </cell>
          <cell r="C1341" t="str">
            <v>1</v>
          </cell>
          <cell r="D1341" t="str">
            <v>B</v>
          </cell>
          <cell r="E1341">
            <v>1</v>
          </cell>
          <cell r="F1341">
            <v>0</v>
          </cell>
          <cell r="G1341" t="str">
            <v>A lakáshoz jutás feladatai</v>
          </cell>
          <cell r="H1341" t="str">
            <v>0</v>
          </cell>
          <cell r="I1341" t="str">
            <v>100</v>
          </cell>
        </row>
        <row r="1342">
          <cell r="A1342" t="str">
            <v>11</v>
          </cell>
          <cell r="B1342" t="str">
            <v>54</v>
          </cell>
          <cell r="C1342" t="str">
            <v>1</v>
          </cell>
          <cell r="D1342" t="str">
            <v>B</v>
          </cell>
          <cell r="E1342">
            <v>1</v>
          </cell>
          <cell r="F1342">
            <v>0</v>
          </cell>
          <cell r="G1342" t="str">
            <v>Szociális és gyermekjoléti alapszolgáltatási feledatok</v>
          </cell>
          <cell r="H1342" t="str">
            <v>51.869</v>
          </cell>
          <cell r="I1342" t="str">
            <v>48.131</v>
          </cell>
        </row>
        <row r="1343">
          <cell r="A1343" t="str">
            <v>12</v>
          </cell>
          <cell r="B1343" t="str">
            <v>54</v>
          </cell>
          <cell r="C1343" t="str">
            <v>1</v>
          </cell>
          <cell r="D1343" t="str">
            <v>B</v>
          </cell>
          <cell r="E1343">
            <v>1</v>
          </cell>
          <cell r="F1343">
            <v>0</v>
          </cell>
          <cell r="G1343" t="str">
            <v>Gyermekvédelmi szakellátás</v>
          </cell>
          <cell r="H1343" t="str">
            <v>51.905</v>
          </cell>
          <cell r="I1343" t="str">
            <v>48.095</v>
          </cell>
        </row>
        <row r="1344">
          <cell r="A1344" t="str">
            <v>13</v>
          </cell>
          <cell r="B1344" t="str">
            <v>54</v>
          </cell>
          <cell r="C1344" t="str">
            <v>1</v>
          </cell>
          <cell r="D1344" t="str">
            <v>B</v>
          </cell>
          <cell r="E1344">
            <v>1</v>
          </cell>
          <cell r="F1344">
            <v>0</v>
          </cell>
          <cell r="G1344" t="str">
            <v>Bentlakásos és átmeneti elhelyezést nyujto intézményi ellát.</v>
          </cell>
          <cell r="H1344" t="str">
            <v>51.905</v>
          </cell>
          <cell r="I1344" t="str">
            <v>48.095</v>
          </cell>
        </row>
        <row r="1345">
          <cell r="A1345" t="str">
            <v>14</v>
          </cell>
          <cell r="B1345" t="str">
            <v>54</v>
          </cell>
          <cell r="C1345" t="str">
            <v>1</v>
          </cell>
          <cell r="D1345" t="str">
            <v>B</v>
          </cell>
          <cell r="E1345">
            <v>1</v>
          </cell>
          <cell r="F1345">
            <v>0</v>
          </cell>
          <cell r="G1345" t="str">
            <v>Nappali szociális intézményi ellátás</v>
          </cell>
          <cell r="H1345" t="str">
            <v>51.905</v>
          </cell>
          <cell r="I1345" t="str">
            <v>48.095</v>
          </cell>
        </row>
        <row r="1346">
          <cell r="A1346" t="str">
            <v>15</v>
          </cell>
          <cell r="B1346" t="str">
            <v>54</v>
          </cell>
          <cell r="C1346" t="str">
            <v>1</v>
          </cell>
          <cell r="D1346" t="str">
            <v>B</v>
          </cell>
          <cell r="E1346">
            <v>1</v>
          </cell>
          <cell r="F1346">
            <v>0</v>
          </cell>
          <cell r="G1346" t="str">
            <v>Hajléktalanok átmeneti intézményei</v>
          </cell>
          <cell r="H1346" t="str">
            <v>51.905</v>
          </cell>
          <cell r="I1346" t="str">
            <v>48.095</v>
          </cell>
        </row>
        <row r="1347">
          <cell r="A1347" t="str">
            <v>16</v>
          </cell>
          <cell r="B1347" t="str">
            <v>54</v>
          </cell>
          <cell r="C1347" t="str">
            <v>1</v>
          </cell>
          <cell r="D1347" t="str">
            <v>B</v>
          </cell>
          <cell r="E1347">
            <v>1</v>
          </cell>
          <cell r="F1347">
            <v>0</v>
          </cell>
          <cell r="G1347" t="str">
            <v>Fogy.személyek pszich.és szenvedélybetegek bentlak.int.ellát</v>
          </cell>
          <cell r="H1347" t="str">
            <v>51.905</v>
          </cell>
          <cell r="I1347" t="str">
            <v>48.095</v>
          </cell>
        </row>
        <row r="1348">
          <cell r="A1348" t="str">
            <v>17</v>
          </cell>
          <cell r="B1348" t="str">
            <v>54</v>
          </cell>
          <cell r="C1348" t="str">
            <v>1</v>
          </cell>
          <cell r="D1348" t="str">
            <v>B</v>
          </cell>
          <cell r="E1348">
            <v>1</v>
          </cell>
          <cell r="F1348">
            <v>0</v>
          </cell>
          <cell r="G1348" t="str">
            <v>Gyermekek napközbeni ellátása</v>
          </cell>
          <cell r="H1348" t="str">
            <v>51.905</v>
          </cell>
          <cell r="I1348" t="str">
            <v>48.095</v>
          </cell>
        </row>
        <row r="1349">
          <cell r="A1349" t="str">
            <v>18</v>
          </cell>
          <cell r="B1349" t="str">
            <v>54</v>
          </cell>
          <cell r="C1349" t="str">
            <v>1</v>
          </cell>
          <cell r="D1349" t="str">
            <v>B</v>
          </cell>
          <cell r="E1349">
            <v>1</v>
          </cell>
          <cell r="F1349">
            <v>0</v>
          </cell>
          <cell r="G1349" t="str">
            <v>Szociális intézményi és gyermekjoléti modszertani feladatok</v>
          </cell>
          <cell r="H1349" t="str">
            <v>51.905</v>
          </cell>
          <cell r="I1349" t="str">
            <v>48.095</v>
          </cell>
        </row>
        <row r="1350">
          <cell r="A1350" t="str">
            <v>19</v>
          </cell>
          <cell r="B1350" t="str">
            <v>54</v>
          </cell>
          <cell r="C1350" t="str">
            <v>1</v>
          </cell>
          <cell r="D1350" t="str">
            <v>B</v>
          </cell>
          <cell r="E1350">
            <v>1</v>
          </cell>
          <cell r="F1350">
            <v>0</v>
          </cell>
          <cell r="G1350" t="str">
            <v>Ovodai nevelés</v>
          </cell>
          <cell r="H1350" t="str">
            <v>100</v>
          </cell>
          <cell r="I1350" t="str">
            <v>0</v>
          </cell>
        </row>
        <row r="1351">
          <cell r="A1351" t="str">
            <v>20</v>
          </cell>
          <cell r="B1351" t="str">
            <v>54</v>
          </cell>
          <cell r="C1351" t="str">
            <v>1</v>
          </cell>
          <cell r="D1351" t="str">
            <v>B</v>
          </cell>
          <cell r="E1351">
            <v>1</v>
          </cell>
          <cell r="F1351">
            <v>0</v>
          </cell>
          <cell r="G1351" t="str">
            <v>Iskolai oktatás</v>
          </cell>
          <cell r="H1351" t="str">
            <v>100</v>
          </cell>
          <cell r="I1351" t="str">
            <v>0</v>
          </cell>
        </row>
        <row r="1352">
          <cell r="A1352" t="str">
            <v>21</v>
          </cell>
          <cell r="B1352" t="str">
            <v>54</v>
          </cell>
          <cell r="C1352" t="str">
            <v>1</v>
          </cell>
          <cell r="D1352" t="str">
            <v>B</v>
          </cell>
          <cell r="E1352">
            <v>1</v>
          </cell>
          <cell r="F1352">
            <v>0</v>
          </cell>
          <cell r="G1352" t="str">
            <v>Különleges gondozás keretében nyujtott ellátás</v>
          </cell>
          <cell r="H1352" t="str">
            <v>100</v>
          </cell>
          <cell r="I1352" t="str">
            <v>0</v>
          </cell>
        </row>
        <row r="1353">
          <cell r="A1353" t="str">
            <v>22</v>
          </cell>
          <cell r="B1353" t="str">
            <v>54</v>
          </cell>
          <cell r="C1353" t="str">
            <v>1</v>
          </cell>
          <cell r="D1353" t="str">
            <v>B</v>
          </cell>
          <cell r="E1353">
            <v>1</v>
          </cell>
          <cell r="F1353">
            <v>0</v>
          </cell>
          <cell r="G1353" t="str">
            <v>Alapfoku müvészetoktatás</v>
          </cell>
          <cell r="H1353" t="str">
            <v>100</v>
          </cell>
          <cell r="I1353" t="str">
            <v>0</v>
          </cell>
        </row>
        <row r="1354">
          <cell r="A1354" t="str">
            <v>23</v>
          </cell>
          <cell r="B1354" t="str">
            <v>54</v>
          </cell>
          <cell r="C1354" t="str">
            <v>1</v>
          </cell>
          <cell r="D1354" t="str">
            <v>B</v>
          </cell>
          <cell r="E1354">
            <v>1</v>
          </cell>
          <cell r="F1354">
            <v>0</v>
          </cell>
          <cell r="G1354" t="str">
            <v>Bentlakásos közoktatási intézményi ellátás</v>
          </cell>
          <cell r="H1354" t="str">
            <v>100</v>
          </cell>
          <cell r="I1354" t="str">
            <v>0</v>
          </cell>
        </row>
        <row r="1355">
          <cell r="A1355" t="str">
            <v>24</v>
          </cell>
          <cell r="B1355" t="str">
            <v>54</v>
          </cell>
          <cell r="C1355" t="str">
            <v>1</v>
          </cell>
          <cell r="D1355" t="str">
            <v>B</v>
          </cell>
          <cell r="E1355">
            <v>1</v>
          </cell>
          <cell r="F1355">
            <v>0</v>
          </cell>
          <cell r="G1355" t="str">
            <v>Hozzájárulások egyéb közoktatási szakmai feladatokhoz</v>
          </cell>
          <cell r="H1355" t="str">
            <v>100</v>
          </cell>
          <cell r="I1355" t="str">
            <v>0</v>
          </cell>
        </row>
        <row r="1356">
          <cell r="A1356" t="str">
            <v>25</v>
          </cell>
          <cell r="B1356" t="str">
            <v>54</v>
          </cell>
          <cell r="C1356" t="str">
            <v>1</v>
          </cell>
          <cell r="D1356" t="str">
            <v>B</v>
          </cell>
          <cell r="E1356">
            <v>1</v>
          </cell>
          <cell r="F1356">
            <v>0</v>
          </cell>
          <cell r="G1356" t="str">
            <v>Hozzájárulások szoc.jellegü ellátotti juttatásokhoz</v>
          </cell>
          <cell r="H1356" t="str">
            <v>100</v>
          </cell>
          <cell r="I1356" t="str">
            <v>0</v>
          </cell>
        </row>
        <row r="1357">
          <cell r="A1357" t="str">
            <v>26</v>
          </cell>
          <cell r="B1357" t="str">
            <v>54</v>
          </cell>
          <cell r="C1357" t="str">
            <v>1</v>
          </cell>
          <cell r="D1357" t="str">
            <v>B</v>
          </cell>
          <cell r="E1357">
            <v>1</v>
          </cell>
          <cell r="F1357">
            <v>0</v>
          </cell>
          <cell r="G1357" t="str">
            <v>Dif.hozzáj.int.fenntartó telep.önk.feladatellátásához</v>
          </cell>
          <cell r="H1357" t="str">
            <v>100</v>
          </cell>
          <cell r="I1357" t="str">
            <v>0</v>
          </cell>
        </row>
        <row r="1358">
          <cell r="A1358" t="str">
            <v>27</v>
          </cell>
          <cell r="B1358" t="str">
            <v>54</v>
          </cell>
          <cell r="C1358" t="str">
            <v>1</v>
          </cell>
          <cell r="D1358" t="str">
            <v>B</v>
          </cell>
          <cell r="E1358">
            <v>1</v>
          </cell>
          <cell r="F1358">
            <v>0</v>
          </cell>
          <cell r="G1358" t="str">
            <v>Helyi közmüvelödési és közgyüjteményi feladatok</v>
          </cell>
          <cell r="H1358" t="str">
            <v>0</v>
          </cell>
          <cell r="I1358" t="str">
            <v>100</v>
          </cell>
        </row>
        <row r="1359">
          <cell r="A1359" t="str">
            <v>28</v>
          </cell>
          <cell r="B1359" t="str">
            <v>54</v>
          </cell>
          <cell r="C1359" t="str">
            <v>1</v>
          </cell>
          <cell r="D1359" t="str">
            <v>B</v>
          </cell>
          <cell r="E1359">
            <v>1</v>
          </cell>
          <cell r="F1359">
            <v>0</v>
          </cell>
          <cell r="G1359" t="str">
            <v>Megyei/fövárosi közmüvelödési,közgyüjteményi feladatok</v>
          </cell>
          <cell r="H1359" t="str">
            <v>0</v>
          </cell>
          <cell r="I1359" t="str">
            <v>100</v>
          </cell>
        </row>
        <row r="1360">
          <cell r="A1360" t="str">
            <v>29</v>
          </cell>
          <cell r="B1360" t="str">
            <v>54</v>
          </cell>
          <cell r="C1360" t="str">
            <v>1</v>
          </cell>
          <cell r="D1360" t="str">
            <v>B</v>
          </cell>
          <cell r="E1360">
            <v>1</v>
          </cell>
          <cell r="F1360">
            <v>0</v>
          </cell>
          <cell r="G1360" t="str">
            <v>Települési sportfeladatok</v>
          </cell>
          <cell r="H1360" t="str">
            <v>0</v>
          </cell>
          <cell r="I1360" t="str">
            <v>100</v>
          </cell>
        </row>
        <row r="1361">
          <cell r="A1361" t="str">
            <v>30</v>
          </cell>
          <cell r="B1361" t="str">
            <v>54</v>
          </cell>
          <cell r="C1361" t="str">
            <v>1</v>
          </cell>
          <cell r="D1361" t="str">
            <v>B</v>
          </cell>
          <cell r="E1361">
            <v>1</v>
          </cell>
          <cell r="F1361">
            <v>3</v>
          </cell>
          <cell r="G1361" t="str">
            <v>Normativ hozzájárulások összesen (01+...+29)</v>
          </cell>
        </row>
        <row r="1362">
          <cell r="A1362" t="str">
            <v>31</v>
          </cell>
          <cell r="B1362" t="str">
            <v>54</v>
          </cell>
          <cell r="C1362" t="str">
            <v>1</v>
          </cell>
          <cell r="D1362" t="str">
            <v>B</v>
          </cell>
          <cell r="E1362">
            <v>1</v>
          </cell>
          <cell r="F1362">
            <v>0</v>
          </cell>
          <cell r="G1362" t="str">
            <v>Pedagogus szakvizsga, továbbképzés, felkészülés támogatása</v>
          </cell>
          <cell r="H1362" t="str">
            <v>100</v>
          </cell>
          <cell r="I1362" t="str">
            <v>0</v>
          </cell>
        </row>
        <row r="1363">
          <cell r="A1363" t="str">
            <v>32</v>
          </cell>
          <cell r="B1363" t="str">
            <v>54</v>
          </cell>
          <cell r="C1363" t="str">
            <v>1</v>
          </cell>
          <cell r="D1363" t="str">
            <v>B</v>
          </cell>
          <cell r="E1363">
            <v>1</v>
          </cell>
          <cell r="F1363">
            <v>0</v>
          </cell>
          <cell r="G1363" t="str">
            <v>Pedagogus szakkönyvvásárlása</v>
          </cell>
          <cell r="H1363" t="str">
            <v>100</v>
          </cell>
          <cell r="I1363" t="str">
            <v>0</v>
          </cell>
        </row>
        <row r="1364">
          <cell r="A1364" t="str">
            <v>33</v>
          </cell>
          <cell r="B1364" t="str">
            <v>54</v>
          </cell>
          <cell r="C1364" t="str">
            <v>1</v>
          </cell>
          <cell r="D1364" t="str">
            <v>B</v>
          </cell>
          <cell r="E1364">
            <v>1</v>
          </cell>
          <cell r="F1364">
            <v>0</v>
          </cell>
          <cell r="G1364" t="str">
            <v>A fövárosi és megyei közalapitv.szakmai tevékenysége</v>
          </cell>
          <cell r="H1364" t="str">
            <v>100</v>
          </cell>
          <cell r="I1364" t="str">
            <v>0</v>
          </cell>
        </row>
        <row r="1365">
          <cell r="A1365" t="str">
            <v>34</v>
          </cell>
          <cell r="B1365" t="str">
            <v>54</v>
          </cell>
          <cell r="C1365" t="str">
            <v>1</v>
          </cell>
          <cell r="D1365" t="str">
            <v>B</v>
          </cell>
          <cell r="E1365">
            <v>1</v>
          </cell>
          <cell r="F1365">
            <v>0</v>
          </cell>
          <cell r="G1365" t="str">
            <v>Szakmai fejlesztési feladatok</v>
          </cell>
          <cell r="H1365" t="str">
            <v>100</v>
          </cell>
          <cell r="I1365" t="str">
            <v>0</v>
          </cell>
        </row>
        <row r="1366">
          <cell r="A1366" t="str">
            <v>35</v>
          </cell>
          <cell r="B1366" t="str">
            <v>54</v>
          </cell>
          <cell r="C1366" t="str">
            <v>1</v>
          </cell>
          <cell r="D1366" t="str">
            <v>B</v>
          </cell>
          <cell r="E1366">
            <v>1</v>
          </cell>
          <cell r="F1366">
            <v>0</v>
          </cell>
          <cell r="G1366" t="str">
            <v>Pedagogiai szakmai szolgáltatás</v>
          </cell>
          <cell r="H1366" t="str">
            <v>100</v>
          </cell>
          <cell r="I1366" t="str">
            <v>0</v>
          </cell>
        </row>
        <row r="1367">
          <cell r="A1367" t="str">
            <v>36</v>
          </cell>
          <cell r="B1367" t="str">
            <v>54</v>
          </cell>
          <cell r="C1367" t="str">
            <v>1</v>
          </cell>
          <cell r="D1367" t="str">
            <v>B</v>
          </cell>
          <cell r="E1367">
            <v>1</v>
          </cell>
          <cell r="F1367">
            <v>0</v>
          </cell>
          <cell r="G1367" t="str">
            <v>Minöségfejlesztési feladatok</v>
          </cell>
          <cell r="H1367" t="str">
            <v>100</v>
          </cell>
          <cell r="I1367" t="str">
            <v>0</v>
          </cell>
        </row>
        <row r="1368">
          <cell r="A1368" t="str">
            <v>37</v>
          </cell>
          <cell r="B1368" t="str">
            <v>54</v>
          </cell>
          <cell r="C1368" t="str">
            <v>1</v>
          </cell>
          <cell r="D1368" t="str">
            <v>B</v>
          </cell>
          <cell r="E1368">
            <v>1</v>
          </cell>
          <cell r="F1368">
            <v>0</v>
          </cell>
          <cell r="G1368" t="str">
            <v>Pedagogiai szakszolgálat</v>
          </cell>
          <cell r="H1368" t="str">
            <v>100</v>
          </cell>
          <cell r="I1368" t="str">
            <v>0</v>
          </cell>
        </row>
        <row r="1369">
          <cell r="A1369" t="str">
            <v>38</v>
          </cell>
          <cell r="B1369" t="str">
            <v>54</v>
          </cell>
          <cell r="C1369" t="str">
            <v>1</v>
          </cell>
          <cell r="D1369" t="str">
            <v>B</v>
          </cell>
          <cell r="E1369">
            <v>1</v>
          </cell>
          <cell r="F1369">
            <v>0</v>
          </cell>
          <cell r="G1369" t="str">
            <v>Diáksporttal kapcsolatos feladatok támogatása</v>
          </cell>
          <cell r="H1369" t="str">
            <v>100</v>
          </cell>
          <cell r="I1369" t="str">
            <v>0</v>
          </cell>
        </row>
        <row r="1370">
          <cell r="A1370" t="str">
            <v>39</v>
          </cell>
          <cell r="B1370" t="str">
            <v>54</v>
          </cell>
          <cell r="C1370" t="str">
            <v>1</v>
          </cell>
          <cell r="D1370" t="str">
            <v>B</v>
          </cell>
          <cell r="E1370">
            <v>1</v>
          </cell>
          <cell r="F1370">
            <v>3</v>
          </cell>
          <cell r="G1370" t="str">
            <v>Kieg.támog.egyes közokt.feladatok ellát.össz.(31+...+38)</v>
          </cell>
          <cell r="H1370" t="str">
            <v>100</v>
          </cell>
          <cell r="I1370" t="str">
            <v>0</v>
          </cell>
        </row>
        <row r="1371">
          <cell r="A1371" t="str">
            <v>40</v>
          </cell>
          <cell r="B1371" t="str">
            <v>54</v>
          </cell>
          <cell r="C1371" t="str">
            <v>1</v>
          </cell>
          <cell r="D1371" t="str">
            <v>B</v>
          </cell>
          <cell r="E1371">
            <v>1</v>
          </cell>
          <cell r="F1371">
            <v>0</v>
          </cell>
          <cell r="G1371" t="str">
            <v>Egyes jövedelempotlo támogatások kiegészitése</v>
          </cell>
          <cell r="H1371" t="str">
            <v>100</v>
          </cell>
          <cell r="I1371" t="str">
            <v>0</v>
          </cell>
        </row>
        <row r="1372">
          <cell r="A1372" t="str">
            <v>41</v>
          </cell>
          <cell r="B1372" t="str">
            <v>54</v>
          </cell>
          <cell r="C1372" t="str">
            <v>1</v>
          </cell>
          <cell r="D1372" t="str">
            <v>B</v>
          </cell>
          <cell r="E1372">
            <v>1</v>
          </cell>
          <cell r="F1372">
            <v>0</v>
          </cell>
          <cell r="G1372" t="str">
            <v>Önkorm.által szervezett közcélu foglalkoztatás támog.</v>
          </cell>
          <cell r="H1372" t="str">
            <v>100</v>
          </cell>
          <cell r="I1372" t="str">
            <v>0</v>
          </cell>
        </row>
        <row r="1373">
          <cell r="A1373" t="str">
            <v>42</v>
          </cell>
          <cell r="B1373" t="str">
            <v>54</v>
          </cell>
          <cell r="C1373" t="str">
            <v>1</v>
          </cell>
          <cell r="D1373" t="str">
            <v>B</v>
          </cell>
          <cell r="E1373">
            <v>1</v>
          </cell>
          <cell r="F1373">
            <v>0</v>
          </cell>
          <cell r="G1373" t="str">
            <v>Szociális továbbképzés és szakvizsga támogatása</v>
          </cell>
          <cell r="H1373" t="str">
            <v>100</v>
          </cell>
          <cell r="I1373" t="str">
            <v>0</v>
          </cell>
        </row>
        <row r="1374">
          <cell r="A1374" t="str">
            <v>43</v>
          </cell>
          <cell r="B1374" t="str">
            <v>54</v>
          </cell>
          <cell r="C1374" t="str">
            <v>1</v>
          </cell>
          <cell r="D1374" t="str">
            <v>B</v>
          </cell>
          <cell r="E1374">
            <v>1</v>
          </cell>
          <cell r="F1374">
            <v>3</v>
          </cell>
          <cell r="G1374" t="str">
            <v>Egyes szociális feladatok kieg.támog.össz.(40+...+42)</v>
          </cell>
          <cell r="H1374" t="str">
            <v>100</v>
          </cell>
          <cell r="I1374" t="str">
            <v>0</v>
          </cell>
        </row>
        <row r="1375">
          <cell r="A1375" t="str">
            <v>44</v>
          </cell>
          <cell r="B1375" t="str">
            <v>54</v>
          </cell>
          <cell r="C1375" t="str">
            <v>1</v>
          </cell>
          <cell r="D1375" t="str">
            <v>B</v>
          </cell>
          <cell r="E1375">
            <v>1</v>
          </cell>
          <cell r="F1375">
            <v>0</v>
          </cell>
          <cell r="G1375" t="str">
            <v>Helyi önkormányzati hivatásos tüzoltoságok támogatása</v>
          </cell>
          <cell r="H1375" t="str">
            <v>0</v>
          </cell>
          <cell r="I1375" t="str">
            <v>100</v>
          </cell>
        </row>
        <row r="1376">
          <cell r="A1376" t="str">
            <v>45</v>
          </cell>
          <cell r="B1376" t="str">
            <v>54</v>
          </cell>
          <cell r="C1376" t="str">
            <v>1</v>
          </cell>
          <cell r="D1376" t="str">
            <v>B</v>
          </cell>
          <cell r="E1376">
            <v>1</v>
          </cell>
          <cell r="F1376">
            <v>0</v>
          </cell>
          <cell r="G1376" t="str">
            <v>Lakossági települési folyékony hull.ártalmatlanit.tám.</v>
          </cell>
          <cell r="H1376" t="str">
            <v>0</v>
          </cell>
          <cell r="I1376" t="str">
            <v>100</v>
          </cell>
        </row>
        <row r="1377">
          <cell r="A1377" t="str">
            <v>46</v>
          </cell>
          <cell r="B1377" t="str">
            <v>54</v>
          </cell>
          <cell r="C1377" t="str">
            <v>1</v>
          </cell>
          <cell r="D1377" t="str">
            <v>B</v>
          </cell>
          <cell r="E1377">
            <v>1</v>
          </cell>
          <cell r="F1377">
            <v>0</v>
          </cell>
          <cell r="G1377" t="str">
            <v>Fövárosi ker.belter.utjainak szilárd burk.való ellátása</v>
          </cell>
          <cell r="H1377" t="str">
            <v>100</v>
          </cell>
          <cell r="I1377" t="str">
            <v>0</v>
          </cell>
        </row>
        <row r="1378">
          <cell r="A1378" t="str">
            <v>47</v>
          </cell>
          <cell r="B1378" t="str">
            <v>54</v>
          </cell>
          <cell r="C1378" t="str">
            <v>1</v>
          </cell>
          <cell r="D1378" t="str">
            <v>B</v>
          </cell>
          <cell r="E1378">
            <v>1</v>
          </cell>
          <cell r="F1378">
            <v>3</v>
          </cell>
          <cell r="G1378" t="str">
            <v>Normativ hozzájár.,kötött felh.támog.össz(30+39+43+..+46)</v>
          </cell>
        </row>
        <row r="1379">
          <cell r="A1379" t="str">
            <v>48</v>
          </cell>
          <cell r="B1379" t="str">
            <v>54</v>
          </cell>
          <cell r="C1379" t="str">
            <v>1</v>
          </cell>
          <cell r="D1379" t="str">
            <v>B</v>
          </cell>
          <cell r="E1379">
            <v>1</v>
          </cell>
          <cell r="F1379">
            <v>0</v>
          </cell>
          <cell r="G1379" t="str">
            <v>Megyei önkormányzatok SZJA bevétele</v>
          </cell>
          <cell r="H1379" t="str">
            <v>0</v>
          </cell>
          <cell r="I1379" t="str">
            <v>100</v>
          </cell>
        </row>
        <row r="1380">
          <cell r="A1380" t="str">
            <v>1</v>
          </cell>
          <cell r="B1380" t="str">
            <v>55</v>
          </cell>
          <cell r="C1380" t="str">
            <v>1</v>
          </cell>
          <cell r="D1380" t="str">
            <v>B</v>
          </cell>
          <cell r="E1380">
            <v>1</v>
          </cell>
          <cell r="F1380">
            <v>0</v>
          </cell>
          <cell r="G1380" t="str">
            <v>ÖNHIKI támogatás</v>
          </cell>
        </row>
        <row r="1381">
          <cell r="A1381" t="str">
            <v>2</v>
          </cell>
          <cell r="B1381" t="str">
            <v>55</v>
          </cell>
          <cell r="C1381" t="str">
            <v>0</v>
          </cell>
          <cell r="D1381" t="str">
            <v>B</v>
          </cell>
          <cell r="E1381">
            <v>1</v>
          </cell>
          <cell r="F1381">
            <v>0</v>
          </cell>
          <cell r="G1381" t="str">
            <v>MK.2004.évi költségvetésről és ÁHT 3 éves kereteiről szóló</v>
          </cell>
        </row>
        <row r="1382">
          <cell r="A1382" t="str">
            <v>2</v>
          </cell>
          <cell r="B1382" t="str">
            <v>55</v>
          </cell>
          <cell r="C1382" t="str">
            <v>0</v>
          </cell>
          <cell r="D1382" t="str">
            <v>B</v>
          </cell>
          <cell r="E1382">
            <v>1</v>
          </cell>
          <cell r="F1382">
            <v>0</v>
          </cell>
          <cell r="G1382" t="str">
            <v>2003.évi CXVI.tv.6.sz.felt.-nek az önk.nem felel meg, ezért</v>
          </cell>
        </row>
        <row r="1383">
          <cell r="A1383" t="str">
            <v>2</v>
          </cell>
          <cell r="B1383" t="str">
            <v>55</v>
          </cell>
          <cell r="C1383" t="str">
            <v>1</v>
          </cell>
          <cell r="D1383" t="str">
            <v>B</v>
          </cell>
          <cell r="E1383">
            <v>1</v>
          </cell>
          <cell r="F1383">
            <v>0</v>
          </cell>
          <cell r="G1383" t="str">
            <v>visszafizetendő a teljes támogatás</v>
          </cell>
        </row>
        <row r="1384">
          <cell r="A1384" t="str">
            <v>3</v>
          </cell>
          <cell r="B1384" t="str">
            <v>55</v>
          </cell>
          <cell r="C1384" t="str">
            <v>0</v>
          </cell>
          <cell r="D1384" t="str">
            <v>B</v>
          </cell>
          <cell r="E1384">
            <v>1</v>
          </cell>
          <cell r="F1384">
            <v>0</v>
          </cell>
          <cell r="G1384" t="str">
            <v>MK.2004.évi költségvetésről és ÁHT 3 éveskereteiről szóló</v>
          </cell>
        </row>
        <row r="1385">
          <cell r="A1385" t="str">
            <v>3</v>
          </cell>
          <cell r="B1385" t="str">
            <v>55</v>
          </cell>
          <cell r="C1385" t="str">
            <v>0</v>
          </cell>
          <cell r="D1385" t="str">
            <v>B</v>
          </cell>
          <cell r="E1385">
            <v>1</v>
          </cell>
          <cell r="F1385">
            <v>0</v>
          </cell>
          <cell r="G1385" t="str">
            <v>2003.évi CXVI.tv.6.sz.közok.int.re vonatkozó felt.-nek az</v>
          </cell>
        </row>
        <row r="1386">
          <cell r="A1386" t="str">
            <v>3</v>
          </cell>
          <cell r="B1386" t="str">
            <v>55</v>
          </cell>
          <cell r="C1386" t="str">
            <v>1</v>
          </cell>
          <cell r="D1386" t="str">
            <v>B</v>
          </cell>
          <cell r="E1386">
            <v>1</v>
          </cell>
          <cell r="F1386">
            <v>0</v>
          </cell>
          <cell r="G1386" t="str">
            <v>önk.nem felel meg, ezért visszafizetendő a teljes támogatás</v>
          </cell>
        </row>
        <row r="1387">
          <cell r="A1387" t="str">
            <v>4</v>
          </cell>
          <cell r="B1387" t="str">
            <v>55</v>
          </cell>
          <cell r="C1387" t="str">
            <v>1</v>
          </cell>
          <cell r="D1387" t="str">
            <v>B</v>
          </cell>
          <cell r="E1387">
            <v>1</v>
          </cell>
          <cell r="F1387">
            <v>0</v>
          </cell>
          <cell r="G1387" t="str">
            <v>Felhalmozási és tőkejellegű bevételek</v>
          </cell>
        </row>
        <row r="1388">
          <cell r="A1388" t="str">
            <v>5</v>
          </cell>
          <cell r="B1388" t="str">
            <v>55</v>
          </cell>
          <cell r="C1388" t="str">
            <v>1</v>
          </cell>
          <cell r="D1388" t="str">
            <v>B</v>
          </cell>
          <cell r="E1388">
            <v>1</v>
          </cell>
          <cell r="F1388">
            <v>0</v>
          </cell>
          <cell r="G1388" t="str">
            <v>Felhalmozási és tőkejellegű kiadások</v>
          </cell>
        </row>
        <row r="1389">
          <cell r="A1389" t="str">
            <v>6</v>
          </cell>
          <cell r="B1389" t="str">
            <v>55</v>
          </cell>
          <cell r="C1389" t="str">
            <v>1</v>
          </cell>
          <cell r="D1389" t="str">
            <v>B</v>
          </cell>
          <cell r="E1389">
            <v>1</v>
          </cell>
          <cell r="F1389">
            <v>0</v>
          </cell>
          <cell r="G1389" t="str">
            <v>Felhalmozási forráshiány</v>
          </cell>
        </row>
        <row r="1390">
          <cell r="A1390" t="str">
            <v>7</v>
          </cell>
          <cell r="B1390" t="str">
            <v>55</v>
          </cell>
          <cell r="C1390" t="str">
            <v>1</v>
          </cell>
          <cell r="D1390" t="str">
            <v>B</v>
          </cell>
          <cell r="E1390">
            <v>1</v>
          </cell>
          <cell r="F1390">
            <v>0</v>
          </cell>
          <cell r="G1390" t="str">
            <v>ÖNHIKI I.+II.ütemű támogatás műk.célú intézményi bevételek</v>
          </cell>
        </row>
        <row r="1391">
          <cell r="A1391" t="str">
            <v>8</v>
          </cell>
          <cell r="B1391" t="str">
            <v>55</v>
          </cell>
          <cell r="C1391" t="str">
            <v>1</v>
          </cell>
          <cell r="D1391" t="str">
            <v>B</v>
          </cell>
          <cell r="E1391">
            <v>1</v>
          </cell>
          <cell r="F1391">
            <v>0</v>
          </cell>
          <cell r="G1391" t="str">
            <v>ÖNHIKI I.+II.ütemű támogatás önk. sajátos (SZJA nélk) bevét.</v>
          </cell>
        </row>
        <row r="1392">
          <cell r="A1392" t="str">
            <v>9</v>
          </cell>
          <cell r="B1392" t="str">
            <v>55</v>
          </cell>
          <cell r="C1392" t="str">
            <v>1</v>
          </cell>
          <cell r="D1392" t="str">
            <v>B</v>
          </cell>
          <cell r="E1392">
            <v>1</v>
          </cell>
          <cell r="F1392">
            <v>0</v>
          </cell>
          <cell r="G1392" t="str">
            <v>ÖNHIKI I.+II.ütemű támogatás.. működési bevételek (07+08)</v>
          </cell>
        </row>
        <row r="1393">
          <cell r="A1393" t="str">
            <v>10</v>
          </cell>
          <cell r="B1393" t="str">
            <v>55</v>
          </cell>
          <cell r="C1393" t="str">
            <v>1</v>
          </cell>
          <cell r="D1393" t="str">
            <v>B</v>
          </cell>
          <cell r="E1393">
            <v>1</v>
          </cell>
          <cell r="F1393">
            <v>0</v>
          </cell>
          <cell r="G1393" t="str">
            <v>Teljesített működési célú intézményi bevételek</v>
          </cell>
        </row>
        <row r="1394">
          <cell r="A1394" t="str">
            <v>11</v>
          </cell>
          <cell r="B1394" t="str">
            <v>55</v>
          </cell>
          <cell r="C1394" t="str">
            <v>1</v>
          </cell>
          <cell r="D1394" t="str">
            <v>B</v>
          </cell>
          <cell r="E1394">
            <v>1</v>
          </cell>
          <cell r="F1394">
            <v>0</v>
          </cell>
          <cell r="G1394" t="str">
            <v>Teljesített önk. sajátos (SZJA nélküli) működési bevételek</v>
          </cell>
        </row>
        <row r="1395">
          <cell r="A1395" t="str">
            <v>12</v>
          </cell>
          <cell r="B1395" t="str">
            <v>55</v>
          </cell>
          <cell r="C1395" t="str">
            <v>1</v>
          </cell>
          <cell r="D1395" t="str">
            <v>B</v>
          </cell>
          <cell r="E1395">
            <v>1</v>
          </cell>
          <cell r="F1395">
            <v>0</v>
          </cell>
          <cell r="G1395" t="str">
            <v>Teljesített működési bevételek (10+11)</v>
          </cell>
        </row>
        <row r="1396">
          <cell r="A1396" t="str">
            <v>13</v>
          </cell>
          <cell r="B1396" t="str">
            <v>55</v>
          </cell>
          <cell r="C1396" t="str">
            <v>1</v>
          </cell>
          <cell r="D1396" t="str">
            <v>B</v>
          </cell>
          <cell r="E1396">
            <v>1</v>
          </cell>
          <cell r="F1396">
            <v>0</v>
          </cell>
          <cell r="G1396" t="str">
            <v>Elfogadható működési bevételi növekmény</v>
          </cell>
        </row>
        <row r="1397">
          <cell r="A1397" t="str">
            <v>14</v>
          </cell>
          <cell r="B1397" t="str">
            <v>55</v>
          </cell>
          <cell r="C1397" t="str">
            <v>1</v>
          </cell>
          <cell r="D1397" t="str">
            <v>B</v>
          </cell>
          <cell r="E1397">
            <v>1</v>
          </cell>
          <cell r="F1397">
            <v>0</v>
          </cell>
          <cell r="G1397" t="str">
            <v>Iparűzési adóerőképesség miatti korrekció</v>
          </cell>
        </row>
        <row r="1398">
          <cell r="A1398" t="str">
            <v>15</v>
          </cell>
          <cell r="B1398" t="str">
            <v>55</v>
          </cell>
          <cell r="C1398" t="str">
            <v>1</v>
          </cell>
          <cell r="D1398" t="str">
            <v>B</v>
          </cell>
          <cell r="E1398">
            <v>1</v>
          </cell>
          <cell r="F1398">
            <v>0</v>
          </cell>
          <cell r="G1398" t="str">
            <v>Működési bevételek elszámolása miatt visszafizetendő támog.</v>
          </cell>
        </row>
        <row r="1399">
          <cell r="A1399" t="str">
            <v>16</v>
          </cell>
          <cell r="B1399" t="str">
            <v>55</v>
          </cell>
          <cell r="C1399" t="str">
            <v>1</v>
          </cell>
          <cell r="D1399" t="str">
            <v>B</v>
          </cell>
          <cell r="E1399">
            <v>1</v>
          </cell>
          <cell r="F1399">
            <v>0</v>
          </cell>
          <cell r="G1399" t="str">
            <v>ÖNHIKI I.+II.ütemű támogatás sz.f.normatív hozzájárulások</v>
          </cell>
        </row>
        <row r="1400">
          <cell r="A1400" t="str">
            <v>17</v>
          </cell>
          <cell r="B1400" t="str">
            <v>55</v>
          </cell>
          <cell r="C1400" t="str">
            <v>1</v>
          </cell>
          <cell r="D1400" t="str">
            <v>B</v>
          </cell>
          <cell r="E1400">
            <v>1</v>
          </cell>
          <cell r="F1400">
            <v>0</v>
          </cell>
          <cell r="G1400" t="str">
            <v>Önkormányzatoknak ténylegesen járó normatív hozzájárulások</v>
          </cell>
        </row>
        <row r="1401">
          <cell r="A1401" t="str">
            <v>18</v>
          </cell>
          <cell r="B1401" t="str">
            <v>55</v>
          </cell>
          <cell r="C1401" t="str">
            <v>1</v>
          </cell>
          <cell r="D1401" t="str">
            <v>B</v>
          </cell>
          <cell r="E1401">
            <v>1</v>
          </cell>
          <cell r="F1401">
            <v>0</v>
          </cell>
          <cell r="G1401" t="str">
            <v>Köt.fel.tart. és ber. kapcsolodó normatív hozzájárulások</v>
          </cell>
        </row>
        <row r="1402">
          <cell r="A1402" t="str">
            <v>19</v>
          </cell>
          <cell r="B1402" t="str">
            <v>55</v>
          </cell>
          <cell r="C1402" t="str">
            <v>1</v>
          </cell>
          <cell r="D1402" t="str">
            <v>B</v>
          </cell>
          <cell r="E1402">
            <v>1</v>
          </cell>
          <cell r="F1402">
            <v>0</v>
          </cell>
          <cell r="G1402" t="str">
            <v>Figyelembe vehető tényleges normatív hozzájárulások (17-18)</v>
          </cell>
        </row>
        <row r="1403">
          <cell r="A1403" t="str">
            <v>20</v>
          </cell>
          <cell r="B1403" t="str">
            <v>55</v>
          </cell>
          <cell r="C1403" t="str">
            <v>1</v>
          </cell>
          <cell r="D1403" t="str">
            <v>B</v>
          </cell>
          <cell r="E1403">
            <v>2</v>
          </cell>
          <cell r="F1403">
            <v>0</v>
          </cell>
          <cell r="G1403" t="str">
            <v>Normatív hozzájárulások elszámolása miatt visszafiz. támog.</v>
          </cell>
        </row>
        <row r="1404">
          <cell r="A1404" t="str">
            <v>21</v>
          </cell>
          <cell r="B1404" t="str">
            <v>55</v>
          </cell>
          <cell r="C1404" t="str">
            <v>1</v>
          </cell>
          <cell r="D1404" t="str">
            <v>B</v>
          </cell>
          <cell r="E1404">
            <v>1</v>
          </cell>
          <cell r="F1404">
            <v>0</v>
          </cell>
          <cell r="G1404" t="str">
            <v>Hitelkorlát miatti korrekció</v>
          </cell>
        </row>
        <row r="1405">
          <cell r="A1405" t="str">
            <v>22</v>
          </cell>
          <cell r="B1405" t="str">
            <v>55</v>
          </cell>
          <cell r="C1405" t="str">
            <v>1</v>
          </cell>
          <cell r="D1405" t="str">
            <v>B</v>
          </cell>
          <cell r="E1405">
            <v>2</v>
          </cell>
          <cell r="F1405">
            <v>0</v>
          </cell>
          <cell r="G1405" t="str">
            <v>Visszafizetendő támogatás összesen</v>
          </cell>
        </row>
        <row r="1406">
          <cell r="A1406" t="str">
            <v>1</v>
          </cell>
          <cell r="B1406" t="str">
            <v>56</v>
          </cell>
          <cell r="C1406" t="str">
            <v>1</v>
          </cell>
          <cell r="D1406" t="str">
            <v>B</v>
          </cell>
          <cell r="E1406">
            <v>1</v>
          </cell>
          <cell r="F1406">
            <v>0</v>
          </cell>
          <cell r="G1406" t="str">
            <v>Tárgyévi nyitóból eszköz.érték- oktatási intézményekben</v>
          </cell>
        </row>
        <row r="1407">
          <cell r="A1407" t="str">
            <v>2</v>
          </cell>
          <cell r="B1407" t="str">
            <v>56</v>
          </cell>
          <cell r="C1407" t="str">
            <v>1</v>
          </cell>
          <cell r="D1407" t="str">
            <v>B</v>
          </cell>
          <cell r="E1407">
            <v>1</v>
          </cell>
          <cell r="F1407">
            <v>0</v>
          </cell>
          <cell r="G1407" t="str">
            <v>Tárgyévi nyitóból eszköz.érték- művelődési intézményekben</v>
          </cell>
        </row>
        <row r="1408">
          <cell r="A1408" t="str">
            <v>3</v>
          </cell>
          <cell r="B1408" t="str">
            <v>56</v>
          </cell>
          <cell r="C1408" t="str">
            <v>1</v>
          </cell>
          <cell r="D1408" t="str">
            <v>B</v>
          </cell>
          <cell r="E1408">
            <v>1</v>
          </cell>
          <cell r="F1408">
            <v>0</v>
          </cell>
          <cell r="G1408" t="str">
            <v>Tárgyévi nyitóból eszköz.érték-sport-,szabadidő-intézményben</v>
          </cell>
        </row>
        <row r="1409">
          <cell r="A1409" t="str">
            <v>4</v>
          </cell>
          <cell r="B1409" t="str">
            <v>56</v>
          </cell>
          <cell r="C1409" t="str">
            <v>1</v>
          </cell>
          <cell r="D1409" t="str">
            <v>B</v>
          </cell>
          <cell r="E1409">
            <v>1</v>
          </cell>
          <cell r="F1409">
            <v>0</v>
          </cell>
          <cell r="G1409" t="str">
            <v>Tárgyévi nyitóból eszköz.érték- szoc.,egészségügyi int.-ben</v>
          </cell>
        </row>
        <row r="1410">
          <cell r="A1410" t="str">
            <v>5</v>
          </cell>
          <cell r="B1410" t="str">
            <v>56</v>
          </cell>
          <cell r="C1410" t="str">
            <v>1</v>
          </cell>
          <cell r="D1410" t="str">
            <v>B</v>
          </cell>
          <cell r="E1410">
            <v>1</v>
          </cell>
          <cell r="F1410">
            <v>0</v>
          </cell>
          <cell r="G1410" t="str">
            <v>Tárgyévi nyitóból eszköz.érték- igazgatási fel.ellátó int.</v>
          </cell>
        </row>
        <row r="1411">
          <cell r="A1411" t="str">
            <v>6</v>
          </cell>
          <cell r="B1411" t="str">
            <v>56</v>
          </cell>
          <cell r="C1411" t="str">
            <v>1</v>
          </cell>
          <cell r="D1411" t="str">
            <v>B</v>
          </cell>
          <cell r="E1411">
            <v>1</v>
          </cell>
          <cell r="F1411">
            <v>0</v>
          </cell>
          <cell r="G1411" t="str">
            <v>Tárgyévi nyitóból eszköz.érték- viziközművekben</v>
          </cell>
        </row>
        <row r="1412">
          <cell r="A1412" t="str">
            <v>7</v>
          </cell>
          <cell r="B1412" t="str">
            <v>56</v>
          </cell>
          <cell r="C1412" t="str">
            <v>1</v>
          </cell>
          <cell r="D1412" t="str">
            <v>B</v>
          </cell>
          <cell r="E1412">
            <v>1</v>
          </cell>
          <cell r="F1412">
            <v>0</v>
          </cell>
          <cell r="G1412" t="str">
            <v>Tárgyévi nyitóból eszköz.érték- távfűtő művekben</v>
          </cell>
        </row>
        <row r="1413">
          <cell r="A1413" t="str">
            <v>8</v>
          </cell>
          <cell r="B1413" t="str">
            <v>56</v>
          </cell>
          <cell r="C1413" t="str">
            <v>1</v>
          </cell>
          <cell r="D1413" t="str">
            <v>B</v>
          </cell>
          <cell r="E1413">
            <v>1</v>
          </cell>
          <cell r="F1413">
            <v>0</v>
          </cell>
          <cell r="G1413" t="str">
            <v>Tárgyévi nyitóból eszköz.érték- egyéb intézményekben</v>
          </cell>
        </row>
        <row r="1414">
          <cell r="A1414" t="str">
            <v>9</v>
          </cell>
          <cell r="B1414" t="str">
            <v>56</v>
          </cell>
          <cell r="C1414" t="str">
            <v>1</v>
          </cell>
          <cell r="D1414" t="str">
            <v>B</v>
          </cell>
          <cell r="E1414">
            <v>2</v>
          </cell>
          <cell r="F1414">
            <v>3</v>
          </cell>
          <cell r="G1414" t="str">
            <v>Eszközök összesen (=38.űrlap megfelelő oszlopának adata)</v>
          </cell>
        </row>
        <row r="1415">
          <cell r="A1415" t="str">
            <v>1</v>
          </cell>
          <cell r="B1415" t="str">
            <v>57</v>
          </cell>
          <cell r="C1415" t="str">
            <v>1</v>
          </cell>
          <cell r="D1415" t="str">
            <v>B</v>
          </cell>
          <cell r="E1415">
            <v>1</v>
          </cell>
          <cell r="F1415">
            <v>0</v>
          </cell>
          <cell r="G1415" t="str">
            <v>Immateriális javakra adott elölegek</v>
          </cell>
        </row>
        <row r="1416">
          <cell r="A1416" t="str">
            <v>2</v>
          </cell>
          <cell r="B1416" t="str">
            <v>57</v>
          </cell>
          <cell r="C1416" t="str">
            <v>1</v>
          </cell>
          <cell r="D1416" t="str">
            <v>B</v>
          </cell>
          <cell r="E1416">
            <v>1</v>
          </cell>
          <cell r="F1416">
            <v>0</v>
          </cell>
          <cell r="G1416" t="str">
            <v>Beruházásra adott elölegek</v>
          </cell>
        </row>
        <row r="1417">
          <cell r="A1417" t="str">
            <v>3</v>
          </cell>
          <cell r="B1417" t="str">
            <v>57</v>
          </cell>
          <cell r="C1417" t="str">
            <v>1</v>
          </cell>
          <cell r="D1417" t="str">
            <v>B</v>
          </cell>
          <cell r="E1417">
            <v>1</v>
          </cell>
          <cell r="F1417">
            <v>0</v>
          </cell>
          <cell r="G1417" t="str">
            <v>Egyéb tartos részesedések</v>
          </cell>
        </row>
        <row r="1418">
          <cell r="A1418" t="str">
            <v>4</v>
          </cell>
          <cell r="B1418" t="str">
            <v>57</v>
          </cell>
          <cell r="C1418" t="str">
            <v>1</v>
          </cell>
          <cell r="D1418" t="str">
            <v>B</v>
          </cell>
          <cell r="E1418">
            <v>1</v>
          </cell>
          <cell r="F1418">
            <v>0</v>
          </cell>
          <cell r="G1418" t="str">
            <v>Tartos hitelviszonyt megtestesitö értékpapirok</v>
          </cell>
        </row>
        <row r="1419">
          <cell r="A1419" t="str">
            <v>5</v>
          </cell>
          <cell r="B1419" t="str">
            <v>57</v>
          </cell>
          <cell r="C1419" t="str">
            <v>1</v>
          </cell>
          <cell r="D1419" t="str">
            <v>B</v>
          </cell>
          <cell r="E1419">
            <v>1</v>
          </cell>
          <cell r="F1419">
            <v>0</v>
          </cell>
          <cell r="G1419" t="str">
            <v>Tartosan adott kölcsönök</v>
          </cell>
        </row>
        <row r="1420">
          <cell r="A1420" t="str">
            <v>6</v>
          </cell>
          <cell r="B1420" t="str">
            <v>57</v>
          </cell>
          <cell r="C1420" t="str">
            <v>1</v>
          </cell>
          <cell r="D1420" t="str">
            <v>B</v>
          </cell>
          <cell r="E1420">
            <v>1</v>
          </cell>
          <cell r="F1420">
            <v>0</v>
          </cell>
          <cell r="G1420" t="str">
            <v>Egyéb hosszu lejáratu követelések</v>
          </cell>
        </row>
        <row r="1421">
          <cell r="A1421" t="str">
            <v>7</v>
          </cell>
          <cell r="B1421" t="str">
            <v>57</v>
          </cell>
          <cell r="C1421" t="str">
            <v>1</v>
          </cell>
          <cell r="D1421" t="str">
            <v>B</v>
          </cell>
          <cell r="E1421">
            <v>1</v>
          </cell>
          <cell r="F1421">
            <v>2</v>
          </cell>
          <cell r="G1421" t="str">
            <v>Befektetett eszközök összesen (01+...+06)</v>
          </cell>
        </row>
        <row r="1422">
          <cell r="A1422" t="str">
            <v>8</v>
          </cell>
          <cell r="B1422" t="str">
            <v>57</v>
          </cell>
          <cell r="C1422" t="str">
            <v>1</v>
          </cell>
          <cell r="D1422" t="str">
            <v>B</v>
          </cell>
          <cell r="E1422">
            <v>1</v>
          </cell>
          <cell r="F1422">
            <v>0</v>
          </cell>
          <cell r="G1422" t="str">
            <v>Készletek</v>
          </cell>
        </row>
        <row r="1423">
          <cell r="A1423" t="str">
            <v>9</v>
          </cell>
          <cell r="B1423" t="str">
            <v>57</v>
          </cell>
          <cell r="C1423" t="str">
            <v>1</v>
          </cell>
          <cell r="D1423" t="str">
            <v>B</v>
          </cell>
          <cell r="E1423">
            <v>1</v>
          </cell>
          <cell r="F1423">
            <v>0</v>
          </cell>
          <cell r="G1423" t="str">
            <v>Követelések áruszállitásbol,szolgáltatásbol (vevök)</v>
          </cell>
        </row>
        <row r="1424">
          <cell r="A1424" t="str">
            <v>10</v>
          </cell>
          <cell r="B1424" t="str">
            <v>57</v>
          </cell>
          <cell r="C1424" t="str">
            <v>1</v>
          </cell>
          <cell r="D1424" t="str">
            <v>B</v>
          </cell>
          <cell r="E1424">
            <v>1</v>
          </cell>
          <cell r="F1424">
            <v>0</v>
          </cell>
          <cell r="G1424" t="str">
            <v>Adosok</v>
          </cell>
        </row>
        <row r="1425">
          <cell r="A1425" t="str">
            <v>11</v>
          </cell>
          <cell r="B1425" t="str">
            <v>57</v>
          </cell>
          <cell r="C1425" t="str">
            <v>1</v>
          </cell>
          <cell r="D1425" t="str">
            <v>B</v>
          </cell>
          <cell r="E1425">
            <v>1</v>
          </cell>
          <cell r="F1425">
            <v>0</v>
          </cell>
          <cell r="G1425" t="str">
            <v>Rövid lejáratu kölcsönök</v>
          </cell>
        </row>
        <row r="1426">
          <cell r="A1426" t="str">
            <v>12</v>
          </cell>
          <cell r="B1426" t="str">
            <v>57</v>
          </cell>
          <cell r="C1426" t="str">
            <v>1</v>
          </cell>
          <cell r="D1426" t="str">
            <v>B</v>
          </cell>
          <cell r="E1426">
            <v>1</v>
          </cell>
          <cell r="F1426">
            <v>0</v>
          </cell>
          <cell r="G1426" t="str">
            <v>Egyéb követelések</v>
          </cell>
        </row>
        <row r="1427">
          <cell r="A1427" t="str">
            <v>13</v>
          </cell>
          <cell r="B1427" t="str">
            <v>57</v>
          </cell>
          <cell r="C1427" t="str">
            <v>1</v>
          </cell>
          <cell r="D1427" t="str">
            <v>B</v>
          </cell>
          <cell r="E1427">
            <v>1</v>
          </cell>
          <cell r="F1427">
            <v>0</v>
          </cell>
          <cell r="G1427" t="str">
            <v>Egyéb részesedések</v>
          </cell>
        </row>
        <row r="1428">
          <cell r="A1428" t="str">
            <v>14</v>
          </cell>
          <cell r="B1428" t="str">
            <v>57</v>
          </cell>
          <cell r="C1428" t="str">
            <v>1</v>
          </cell>
          <cell r="D1428" t="str">
            <v>B</v>
          </cell>
          <cell r="E1428">
            <v>1</v>
          </cell>
          <cell r="F1428">
            <v>0</v>
          </cell>
          <cell r="G1428" t="str">
            <v>Forgatási célu hitelviszonyt megtestesitö értékpapirok</v>
          </cell>
        </row>
        <row r="1429">
          <cell r="A1429" t="str">
            <v>15</v>
          </cell>
          <cell r="B1429" t="str">
            <v>57</v>
          </cell>
          <cell r="C1429" t="str">
            <v>1</v>
          </cell>
          <cell r="D1429" t="str">
            <v>B</v>
          </cell>
          <cell r="E1429">
            <v>1</v>
          </cell>
          <cell r="F1429">
            <v>2</v>
          </cell>
          <cell r="G1429" t="str">
            <v>Forgoeszközök összesen (08+...+14)</v>
          </cell>
        </row>
        <row r="1430">
          <cell r="A1430" t="str">
            <v>16</v>
          </cell>
          <cell r="B1430" t="str">
            <v>57</v>
          </cell>
          <cell r="C1430" t="str">
            <v>1</v>
          </cell>
          <cell r="D1430" t="str">
            <v>B</v>
          </cell>
          <cell r="E1430">
            <v>1</v>
          </cell>
          <cell r="F1430">
            <v>4</v>
          </cell>
          <cell r="G1430" t="str">
            <v>Eszközök összesen (07+15)</v>
          </cell>
        </row>
        <row r="1431">
          <cell r="A1431" t="str">
            <v>1</v>
          </cell>
          <cell r="B1431" t="str">
            <v>58</v>
          </cell>
          <cell r="C1431" t="str">
            <v>1</v>
          </cell>
          <cell r="D1431" t="str">
            <v>B</v>
          </cell>
          <cell r="E1431">
            <v>1</v>
          </cell>
          <cell r="F1431">
            <v>0</v>
          </cell>
          <cell r="G1431" t="str">
            <v>Tartósan adott kölcsönök</v>
          </cell>
        </row>
        <row r="1432">
          <cell r="A1432" t="str">
            <v>2</v>
          </cell>
          <cell r="B1432" t="str">
            <v>58</v>
          </cell>
          <cell r="C1432" t="str">
            <v>1</v>
          </cell>
          <cell r="D1432" t="str">
            <v>B</v>
          </cell>
          <cell r="E1432">
            <v>1</v>
          </cell>
          <cell r="F1432">
            <v>0</v>
          </cell>
          <cell r="G1432" t="str">
            <v>Egyéb hosszu lejáratu követelések</v>
          </cell>
        </row>
        <row r="1433">
          <cell r="A1433" t="str">
            <v>3</v>
          </cell>
          <cell r="B1433" t="str">
            <v>58</v>
          </cell>
          <cell r="C1433" t="str">
            <v>1</v>
          </cell>
          <cell r="D1433" t="str">
            <v>B</v>
          </cell>
          <cell r="E1433">
            <v>1</v>
          </cell>
          <cell r="F1433">
            <v>0</v>
          </cell>
          <cell r="G1433" t="str">
            <v>Intézményi müködési bevételek</v>
          </cell>
        </row>
        <row r="1434">
          <cell r="A1434" t="str">
            <v>4</v>
          </cell>
          <cell r="B1434" t="str">
            <v>58</v>
          </cell>
          <cell r="C1434" t="str">
            <v>1</v>
          </cell>
          <cell r="D1434" t="str">
            <v>B</v>
          </cell>
          <cell r="E1434">
            <v>1</v>
          </cell>
          <cell r="F1434">
            <v>0</v>
          </cell>
          <cell r="G1434" t="str">
            <v>Önkormányzatok sajátos müködési bevételei</v>
          </cell>
        </row>
        <row r="1435">
          <cell r="A1435" t="str">
            <v>5</v>
          </cell>
          <cell r="B1435" t="str">
            <v>58</v>
          </cell>
          <cell r="C1435" t="str">
            <v>1</v>
          </cell>
          <cell r="D1435" t="str">
            <v>B</v>
          </cell>
          <cell r="E1435">
            <v>1</v>
          </cell>
          <cell r="F1435">
            <v>0</v>
          </cell>
          <cell r="G1435" t="str">
            <v>Önk.sajátos mük.bevételéböl- illetékek</v>
          </cell>
        </row>
        <row r="1436">
          <cell r="A1436" t="str">
            <v>6</v>
          </cell>
          <cell r="B1436" t="str">
            <v>58</v>
          </cell>
          <cell r="C1436" t="str">
            <v>1</v>
          </cell>
          <cell r="D1436" t="str">
            <v>B</v>
          </cell>
          <cell r="E1436">
            <v>1</v>
          </cell>
          <cell r="F1436">
            <v>0</v>
          </cell>
          <cell r="G1436" t="str">
            <v>Önk.sajátos mük.bevételéböl- gépjármüado</v>
          </cell>
        </row>
        <row r="1437">
          <cell r="A1437" t="str">
            <v>7</v>
          </cell>
          <cell r="B1437" t="str">
            <v>58</v>
          </cell>
          <cell r="C1437" t="str">
            <v>1</v>
          </cell>
          <cell r="D1437" t="str">
            <v>B</v>
          </cell>
          <cell r="E1437">
            <v>1</v>
          </cell>
          <cell r="F1437">
            <v>0</v>
          </cell>
          <cell r="G1437" t="str">
            <v>Önk.sajátos mük.bevételéböl- helyi adok</v>
          </cell>
        </row>
        <row r="1438">
          <cell r="A1438" t="str">
            <v>8</v>
          </cell>
          <cell r="B1438" t="str">
            <v>58</v>
          </cell>
          <cell r="C1438" t="str">
            <v>1</v>
          </cell>
          <cell r="D1438" t="str">
            <v>B</v>
          </cell>
          <cell r="E1438">
            <v>1</v>
          </cell>
          <cell r="F1438">
            <v>0</v>
          </cell>
          <cell r="G1438" t="str">
            <v>Befektetett eszközökkel kapcs.követelések</v>
          </cell>
        </row>
        <row r="1439">
          <cell r="A1439" t="str">
            <v>9</v>
          </cell>
          <cell r="B1439" t="str">
            <v>58</v>
          </cell>
          <cell r="C1439" t="str">
            <v>1</v>
          </cell>
          <cell r="D1439" t="str">
            <v>B</v>
          </cell>
          <cell r="E1439">
            <v>1</v>
          </cell>
          <cell r="F1439">
            <v>0</v>
          </cell>
          <cell r="G1439" t="str">
            <v>Rövid lejáratu kölcsönök</v>
          </cell>
        </row>
        <row r="1440">
          <cell r="A1440" t="str">
            <v>10</v>
          </cell>
          <cell r="B1440" t="str">
            <v>58</v>
          </cell>
          <cell r="C1440" t="str">
            <v>1</v>
          </cell>
          <cell r="D1440" t="str">
            <v>B</v>
          </cell>
          <cell r="E1440">
            <v>1</v>
          </cell>
          <cell r="F1440">
            <v>0</v>
          </cell>
          <cell r="G1440" t="str">
            <v>Egyéb rövid lejáratu követelések</v>
          </cell>
        </row>
        <row r="1441">
          <cell r="A1441" t="str">
            <v>11</v>
          </cell>
          <cell r="B1441" t="str">
            <v>58</v>
          </cell>
          <cell r="C1441" t="str">
            <v>1</v>
          </cell>
          <cell r="D1441" t="str">
            <v>B</v>
          </cell>
          <cell r="E1441">
            <v>1</v>
          </cell>
          <cell r="F1441">
            <v>2</v>
          </cell>
          <cell r="G1441" t="str">
            <v>Követelések összesen(01+..+04+08+09+10)</v>
          </cell>
        </row>
        <row r="1442">
          <cell r="A1442" t="str">
            <v>1</v>
          </cell>
          <cell r="B1442" t="str">
            <v>59</v>
          </cell>
          <cell r="C1442" t="str">
            <v>1</v>
          </cell>
          <cell r="D1442" t="str">
            <v>B</v>
          </cell>
          <cell r="E1442">
            <v>1</v>
          </cell>
          <cell r="F1442">
            <v>0</v>
          </cell>
          <cell r="G1442" t="str">
            <v>Hosszú lejáratú kötelezettségek(02+03+04)</v>
          </cell>
        </row>
        <row r="1443">
          <cell r="A1443" t="str">
            <v>2</v>
          </cell>
          <cell r="B1443" t="str">
            <v>59</v>
          </cell>
          <cell r="C1443" t="str">
            <v>1</v>
          </cell>
          <cell r="D1443" t="str">
            <v>B</v>
          </cell>
          <cell r="E1443">
            <v>1</v>
          </cell>
          <cell r="F1443">
            <v>2</v>
          </cell>
          <cell r="G1443" t="str">
            <v>-hosszú lejáratra kapott kölcsönök, hitelek</v>
          </cell>
        </row>
        <row r="1444">
          <cell r="A1444" t="str">
            <v>3</v>
          </cell>
          <cell r="B1444" t="str">
            <v>59</v>
          </cell>
          <cell r="C1444" t="str">
            <v>1</v>
          </cell>
          <cell r="D1444" t="str">
            <v>B</v>
          </cell>
          <cell r="E1444">
            <v>1</v>
          </cell>
          <cell r="F1444">
            <v>2</v>
          </cell>
          <cell r="G1444" t="str">
            <v>-tartozás értékpapír kibocsátásból</v>
          </cell>
        </row>
        <row r="1445">
          <cell r="A1445" t="str">
            <v>4</v>
          </cell>
          <cell r="B1445" t="str">
            <v>59</v>
          </cell>
          <cell r="C1445" t="str">
            <v>1</v>
          </cell>
          <cell r="D1445" t="str">
            <v>B</v>
          </cell>
          <cell r="E1445">
            <v>1</v>
          </cell>
          <cell r="F1445">
            <v>2</v>
          </cell>
          <cell r="G1445" t="str">
            <v>-egyéb hosszú lejáratú kötelezettségek</v>
          </cell>
        </row>
        <row r="1446">
          <cell r="A1446" t="str">
            <v>5</v>
          </cell>
          <cell r="B1446" t="str">
            <v>59</v>
          </cell>
          <cell r="C1446" t="str">
            <v>1</v>
          </cell>
          <cell r="D1446" t="str">
            <v>B</v>
          </cell>
          <cell r="E1446">
            <v>1</v>
          </cell>
          <cell r="F1446">
            <v>0</v>
          </cell>
          <cell r="G1446" t="str">
            <v>Rövid lejáratú kötelezettségek (06+07+12)</v>
          </cell>
        </row>
        <row r="1447">
          <cell r="A1447" t="str">
            <v>6</v>
          </cell>
          <cell r="B1447" t="str">
            <v>59</v>
          </cell>
          <cell r="C1447" t="str">
            <v>1</v>
          </cell>
          <cell r="D1447" t="str">
            <v>B</v>
          </cell>
          <cell r="E1447">
            <v>1</v>
          </cell>
          <cell r="F1447">
            <v>0</v>
          </cell>
          <cell r="G1447" t="str">
            <v>-Rövid lejáratú hitelek, kölcsönök</v>
          </cell>
        </row>
        <row r="1448">
          <cell r="A1448" t="str">
            <v>7</v>
          </cell>
          <cell r="B1448" t="str">
            <v>59</v>
          </cell>
          <cell r="C1448" t="str">
            <v>1</v>
          </cell>
          <cell r="D1448" t="str">
            <v>B</v>
          </cell>
          <cell r="E1448">
            <v>1</v>
          </cell>
          <cell r="F1448">
            <v>0</v>
          </cell>
          <cell r="G1448" t="str">
            <v>-Kötelezettségek áruszállításból és szolgál.  (08+...+11)</v>
          </cell>
        </row>
        <row r="1449">
          <cell r="A1449" t="str">
            <v>8</v>
          </cell>
          <cell r="B1449" t="str">
            <v>59</v>
          </cell>
          <cell r="C1449" t="str">
            <v>1</v>
          </cell>
          <cell r="D1449" t="str">
            <v>B</v>
          </cell>
          <cell r="E1449">
            <v>1</v>
          </cell>
          <cell r="F1449">
            <v>2</v>
          </cell>
          <cell r="G1449" t="str">
            <v>-beruházással kapcsolatos szállítók</v>
          </cell>
        </row>
        <row r="1450">
          <cell r="A1450" t="str">
            <v>9</v>
          </cell>
          <cell r="B1450" t="str">
            <v>59</v>
          </cell>
          <cell r="C1450" t="str">
            <v>1</v>
          </cell>
          <cell r="D1450" t="str">
            <v>B</v>
          </cell>
          <cell r="E1450">
            <v>1</v>
          </cell>
          <cell r="F1450">
            <v>2</v>
          </cell>
          <cell r="G1450" t="str">
            <v>-felújítással kapcsolatos szállitók</v>
          </cell>
        </row>
        <row r="1451">
          <cell r="A1451" t="str">
            <v>10</v>
          </cell>
          <cell r="B1451" t="str">
            <v>59</v>
          </cell>
          <cell r="C1451" t="str">
            <v>1</v>
          </cell>
          <cell r="D1451" t="str">
            <v>B</v>
          </cell>
          <cell r="E1451">
            <v>1</v>
          </cell>
          <cell r="F1451">
            <v>2</v>
          </cell>
          <cell r="G1451" t="str">
            <v>-termékvásárlással kapcsolatos szállitók</v>
          </cell>
        </row>
        <row r="1452">
          <cell r="A1452" t="str">
            <v>11</v>
          </cell>
          <cell r="B1452" t="str">
            <v>59</v>
          </cell>
          <cell r="C1452" t="str">
            <v>1</v>
          </cell>
          <cell r="D1452" t="str">
            <v>B</v>
          </cell>
          <cell r="E1452">
            <v>1</v>
          </cell>
          <cell r="F1452">
            <v>2</v>
          </cell>
          <cell r="G1452" t="str">
            <v>-szolgáltatás-vásárlással kapcsolatos szállitók</v>
          </cell>
        </row>
        <row r="1453">
          <cell r="A1453" t="str">
            <v>12</v>
          </cell>
          <cell r="B1453" t="str">
            <v>59</v>
          </cell>
          <cell r="C1453" t="str">
            <v>1</v>
          </cell>
          <cell r="D1453" t="str">
            <v>B</v>
          </cell>
          <cell r="E1453">
            <v>1</v>
          </cell>
          <cell r="F1453">
            <v>0</v>
          </cell>
          <cell r="G1453" t="str">
            <v>-Egyéb rövid lejáratú kötelezettségek (13+14+15+18+19)</v>
          </cell>
        </row>
        <row r="1454">
          <cell r="A1454" t="str">
            <v>13</v>
          </cell>
          <cell r="B1454" t="str">
            <v>59</v>
          </cell>
          <cell r="C1454" t="str">
            <v>1</v>
          </cell>
          <cell r="D1454" t="str">
            <v>B</v>
          </cell>
          <cell r="E1454">
            <v>1</v>
          </cell>
          <cell r="F1454">
            <v>2</v>
          </cell>
          <cell r="G1454" t="str">
            <v>-váltótartozások miatt</v>
          </cell>
        </row>
        <row r="1455">
          <cell r="A1455" t="str">
            <v>14</v>
          </cell>
          <cell r="B1455" t="str">
            <v>59</v>
          </cell>
          <cell r="C1455" t="str">
            <v>1</v>
          </cell>
          <cell r="D1455" t="str">
            <v>B</v>
          </cell>
          <cell r="E1455">
            <v>1</v>
          </cell>
          <cell r="F1455">
            <v>2</v>
          </cell>
          <cell r="G1455" t="str">
            <v>-munkavállalókkal szembeni kötelezettségek miatt</v>
          </cell>
        </row>
        <row r="1456">
          <cell r="A1456" t="str">
            <v>15</v>
          </cell>
          <cell r="B1456" t="str">
            <v>59</v>
          </cell>
          <cell r="C1456" t="str">
            <v>1</v>
          </cell>
          <cell r="D1456" t="str">
            <v>B</v>
          </cell>
          <cell r="E1456">
            <v>1</v>
          </cell>
          <cell r="F1456">
            <v>2</v>
          </cell>
          <cell r="G1456" t="str">
            <v>-köztartozások miatt</v>
          </cell>
        </row>
        <row r="1457">
          <cell r="A1457" t="str">
            <v>16</v>
          </cell>
          <cell r="B1457" t="str">
            <v>59</v>
          </cell>
          <cell r="C1457" t="str">
            <v>1</v>
          </cell>
          <cell r="D1457" t="str">
            <v>B</v>
          </cell>
          <cell r="E1457">
            <v>1</v>
          </cell>
          <cell r="F1457">
            <v>4</v>
          </cell>
          <cell r="G1457" t="str">
            <v>-iparűzési adó feltöltési köt-ből eredő túlfizetés miatt</v>
          </cell>
        </row>
        <row r="1458">
          <cell r="A1458" t="str">
            <v>17</v>
          </cell>
          <cell r="B1458" t="str">
            <v>59</v>
          </cell>
          <cell r="C1458" t="str">
            <v>1</v>
          </cell>
          <cell r="D1458" t="str">
            <v>B</v>
          </cell>
          <cell r="E1458">
            <v>1</v>
          </cell>
          <cell r="F1458">
            <v>4</v>
          </cell>
          <cell r="G1458" t="str">
            <v>-helyi adó túlfizetés miatt</v>
          </cell>
        </row>
        <row r="1459">
          <cell r="A1459" t="str">
            <v>18</v>
          </cell>
          <cell r="B1459" t="str">
            <v>59</v>
          </cell>
          <cell r="C1459" t="str">
            <v>1</v>
          </cell>
          <cell r="D1459" t="str">
            <v>B</v>
          </cell>
          <cell r="E1459">
            <v>1</v>
          </cell>
          <cell r="F1459">
            <v>2</v>
          </cell>
          <cell r="G1459" t="str">
            <v>-hosszú lejáratú kötelezettség köv. évi törlesztő részlete</v>
          </cell>
        </row>
        <row r="1460">
          <cell r="A1460" t="str">
            <v>19</v>
          </cell>
          <cell r="B1460" t="str">
            <v>59</v>
          </cell>
          <cell r="C1460" t="str">
            <v>1</v>
          </cell>
          <cell r="D1460" t="str">
            <v>B</v>
          </cell>
          <cell r="E1460">
            <v>1</v>
          </cell>
          <cell r="F1460">
            <v>2</v>
          </cell>
          <cell r="G1460" t="str">
            <v>-különféle egyéb kötelezettségek miatti tartozás</v>
          </cell>
        </row>
        <row r="1461">
          <cell r="A1461" t="str">
            <v>20</v>
          </cell>
          <cell r="B1461" t="str">
            <v>59</v>
          </cell>
          <cell r="C1461" t="str">
            <v>1</v>
          </cell>
          <cell r="D1461" t="str">
            <v>B</v>
          </cell>
          <cell r="E1461">
            <v>1</v>
          </cell>
          <cell r="F1461">
            <v>0</v>
          </cell>
          <cell r="G1461" t="str">
            <v>Kötelezettségek összesen          (01+05)</v>
          </cell>
        </row>
        <row r="1462">
          <cell r="A1462" t="str">
            <v>1</v>
          </cell>
          <cell r="B1462" t="str">
            <v>60</v>
          </cell>
          <cell r="C1462" t="str">
            <v>1</v>
          </cell>
          <cell r="D1462" t="str">
            <v>B</v>
          </cell>
          <cell r="E1462">
            <v>1</v>
          </cell>
          <cell r="F1462">
            <v>0</v>
          </cell>
          <cell r="G1462" t="str">
            <v>Vagyoni értékű jogok</v>
          </cell>
        </row>
        <row r="1463">
          <cell r="A1463" t="str">
            <v>2</v>
          </cell>
          <cell r="B1463" t="str">
            <v>60</v>
          </cell>
          <cell r="C1463" t="str">
            <v>1</v>
          </cell>
          <cell r="D1463" t="str">
            <v>B</v>
          </cell>
          <cell r="E1463">
            <v>1</v>
          </cell>
          <cell r="F1463">
            <v>0</v>
          </cell>
          <cell r="G1463" t="str">
            <v>Szellemi termékek</v>
          </cell>
        </row>
        <row r="1464">
          <cell r="A1464" t="str">
            <v>3</v>
          </cell>
          <cell r="B1464" t="str">
            <v>60</v>
          </cell>
          <cell r="C1464" t="str">
            <v>1</v>
          </cell>
          <cell r="D1464" t="str">
            <v>B</v>
          </cell>
          <cell r="E1464">
            <v>1</v>
          </cell>
          <cell r="F1464">
            <v>2</v>
          </cell>
          <cell r="G1464" t="str">
            <v>Immateriális javak összesen (01+02)</v>
          </cell>
        </row>
        <row r="1465">
          <cell r="A1465" t="str">
            <v>4</v>
          </cell>
          <cell r="B1465" t="str">
            <v>60</v>
          </cell>
          <cell r="C1465" t="str">
            <v>1</v>
          </cell>
          <cell r="D1465" t="str">
            <v>B</v>
          </cell>
          <cell r="E1465">
            <v>1</v>
          </cell>
          <cell r="F1465">
            <v>0</v>
          </cell>
          <cell r="G1465" t="str">
            <v>Ingatlanok (ingatlanok vagyonért.joga is)</v>
          </cell>
        </row>
        <row r="1466">
          <cell r="A1466" t="str">
            <v>5</v>
          </cell>
          <cell r="B1466" t="str">
            <v>60</v>
          </cell>
          <cell r="C1466" t="str">
            <v>1</v>
          </cell>
          <cell r="D1466" t="str">
            <v>B</v>
          </cell>
          <cell r="E1466">
            <v>1</v>
          </cell>
          <cell r="F1466">
            <v>0</v>
          </cell>
          <cell r="G1466" t="str">
            <v>Gépek,berendezések,felszerelések</v>
          </cell>
        </row>
        <row r="1467">
          <cell r="A1467" t="str">
            <v>6</v>
          </cell>
          <cell r="B1467" t="str">
            <v>60</v>
          </cell>
          <cell r="C1467" t="str">
            <v>1</v>
          </cell>
          <cell r="D1467" t="str">
            <v>B</v>
          </cell>
          <cell r="E1467">
            <v>1</v>
          </cell>
          <cell r="F1467">
            <v>0</v>
          </cell>
          <cell r="G1467" t="str">
            <v>Járművek</v>
          </cell>
        </row>
        <row r="1468">
          <cell r="A1468" t="str">
            <v>7</v>
          </cell>
          <cell r="B1468" t="str">
            <v>60</v>
          </cell>
          <cell r="C1468" t="str">
            <v>1</v>
          </cell>
          <cell r="D1468" t="str">
            <v>B</v>
          </cell>
          <cell r="E1468">
            <v>1</v>
          </cell>
          <cell r="F1468">
            <v>0</v>
          </cell>
          <cell r="G1468" t="str">
            <v>Tenyészállatok</v>
          </cell>
        </row>
        <row r="1469">
          <cell r="A1469" t="str">
            <v>8</v>
          </cell>
          <cell r="B1469" t="str">
            <v>60</v>
          </cell>
          <cell r="C1469" t="str">
            <v>1</v>
          </cell>
          <cell r="D1469" t="str">
            <v>B</v>
          </cell>
          <cell r="E1469">
            <v>1</v>
          </cell>
          <cell r="F1469">
            <v>2</v>
          </cell>
          <cell r="G1469" t="str">
            <v>Tárgyi eszközök összesen (04+05+06+07)</v>
          </cell>
        </row>
        <row r="1470">
          <cell r="A1470" t="str">
            <v>9</v>
          </cell>
          <cell r="B1470" t="str">
            <v>60</v>
          </cell>
          <cell r="C1470" t="str">
            <v>1</v>
          </cell>
          <cell r="D1470" t="str">
            <v>B</v>
          </cell>
          <cell r="E1470">
            <v>1</v>
          </cell>
          <cell r="F1470">
            <v>0</v>
          </cell>
          <cell r="G1470" t="str">
            <v>Tartós tulajdoni részesedést jelentő befektetések</v>
          </cell>
        </row>
        <row r="1471">
          <cell r="A1471" t="str">
            <v>10</v>
          </cell>
          <cell r="B1471" t="str">
            <v>60</v>
          </cell>
          <cell r="C1471" t="str">
            <v>1</v>
          </cell>
          <cell r="D1471" t="str">
            <v>B</v>
          </cell>
          <cell r="E1471">
            <v>1</v>
          </cell>
          <cell r="F1471">
            <v>2</v>
          </cell>
          <cell r="G1471" t="str">
            <v>Befektetett pénzügyi eszközök összesen (09)</v>
          </cell>
        </row>
        <row r="1472">
          <cell r="A1472" t="str">
            <v>11</v>
          </cell>
          <cell r="B1472" t="str">
            <v>60</v>
          </cell>
          <cell r="C1472" t="str">
            <v>1</v>
          </cell>
          <cell r="D1472" t="str">
            <v>B</v>
          </cell>
          <cell r="E1472">
            <v>1</v>
          </cell>
          <cell r="F1472">
            <v>0</v>
          </cell>
          <cell r="G1472" t="str">
            <v>Üzemelt.,kez.,koncesszióba adott, vagyonkez.be vett eszközök</v>
          </cell>
        </row>
        <row r="1473">
          <cell r="A1473" t="str">
            <v>12</v>
          </cell>
          <cell r="B1473" t="str">
            <v>60</v>
          </cell>
          <cell r="C1473" t="str">
            <v>1</v>
          </cell>
          <cell r="D1473" t="str">
            <v>B</v>
          </cell>
          <cell r="E1473">
            <v>1</v>
          </cell>
          <cell r="F1473">
            <v>3</v>
          </cell>
          <cell r="G1473" t="str">
            <v>Befektetett eszközök összesen (03+08+10+11)</v>
          </cell>
        </row>
        <row r="1474">
          <cell r="A1474" t="str">
            <v>1</v>
          </cell>
          <cell r="B1474" t="str">
            <v>80</v>
          </cell>
          <cell r="C1474" t="str">
            <v>1</v>
          </cell>
          <cell r="D1474" t="str">
            <v>B</v>
          </cell>
          <cell r="E1474">
            <v>1</v>
          </cell>
          <cell r="F1474">
            <v>1</v>
          </cell>
          <cell r="G1474" t="str">
            <v>Rendszeres személyi juttatás</v>
          </cell>
        </row>
        <row r="1475">
          <cell r="A1475" t="str">
            <v>2</v>
          </cell>
          <cell r="B1475" t="str">
            <v>80</v>
          </cell>
          <cell r="C1475" t="str">
            <v>1</v>
          </cell>
          <cell r="D1475" t="str">
            <v>B</v>
          </cell>
          <cell r="E1475">
            <v>1</v>
          </cell>
          <cell r="F1475">
            <v>1</v>
          </cell>
          <cell r="G1475" t="str">
            <v>Nem rendszeres személyi juttatás</v>
          </cell>
        </row>
        <row r="1476">
          <cell r="A1476" t="str">
            <v>3</v>
          </cell>
          <cell r="B1476" t="str">
            <v>80</v>
          </cell>
          <cell r="C1476" t="str">
            <v>1</v>
          </cell>
          <cell r="D1476" t="str">
            <v>B</v>
          </cell>
          <cell r="E1476">
            <v>1</v>
          </cell>
          <cell r="F1476">
            <v>1</v>
          </cell>
          <cell r="G1476" t="str">
            <v>Külső személyi juttatások</v>
          </cell>
        </row>
        <row r="1477">
          <cell r="A1477" t="str">
            <v>4</v>
          </cell>
          <cell r="B1477" t="str">
            <v>80</v>
          </cell>
          <cell r="C1477" t="str">
            <v>1</v>
          </cell>
          <cell r="D1477" t="str">
            <v>B</v>
          </cell>
          <cell r="E1477">
            <v>1</v>
          </cell>
          <cell r="F1477">
            <v>3</v>
          </cell>
          <cell r="G1477" t="str">
            <v>Személyi juttatások  (01+02+03)</v>
          </cell>
        </row>
        <row r="1478">
          <cell r="A1478" t="str">
            <v>5</v>
          </cell>
          <cell r="B1478" t="str">
            <v>80</v>
          </cell>
          <cell r="C1478" t="str">
            <v>1</v>
          </cell>
          <cell r="D1478" t="str">
            <v>B</v>
          </cell>
          <cell r="E1478">
            <v>1</v>
          </cell>
          <cell r="F1478">
            <v>1</v>
          </cell>
          <cell r="G1478" t="str">
            <v>TB, munkaadói járulék és táppénz-hozzájárulás</v>
          </cell>
        </row>
        <row r="1479">
          <cell r="A1479" t="str">
            <v>6</v>
          </cell>
          <cell r="B1479" t="str">
            <v>80</v>
          </cell>
          <cell r="C1479" t="str">
            <v>1</v>
          </cell>
          <cell r="D1479" t="str">
            <v>B</v>
          </cell>
          <cell r="E1479">
            <v>1</v>
          </cell>
          <cell r="F1479">
            <v>1</v>
          </cell>
          <cell r="G1479" t="str">
            <v>Egészségügyi hozzájárulás</v>
          </cell>
        </row>
        <row r="1480">
          <cell r="A1480" t="str">
            <v>7</v>
          </cell>
          <cell r="B1480" t="str">
            <v>80</v>
          </cell>
          <cell r="C1480" t="str">
            <v>1</v>
          </cell>
          <cell r="D1480" t="str">
            <v>B</v>
          </cell>
          <cell r="E1480">
            <v>1</v>
          </cell>
          <cell r="F1480">
            <v>1</v>
          </cell>
          <cell r="G1480" t="str">
            <v>Dologi kiadások ÁFA nélk.és realizált árf.veszteségek</v>
          </cell>
        </row>
        <row r="1481">
          <cell r="A1481" t="str">
            <v>8</v>
          </cell>
          <cell r="B1481" t="str">
            <v>80</v>
          </cell>
          <cell r="C1481" t="str">
            <v>1</v>
          </cell>
          <cell r="D1481" t="str">
            <v>B</v>
          </cell>
          <cell r="E1481">
            <v>1</v>
          </cell>
          <cell r="F1481">
            <v>1</v>
          </cell>
          <cell r="G1481" t="str">
            <v>Dologi kiadások ÁFA-ja</v>
          </cell>
        </row>
        <row r="1482">
          <cell r="A1482" t="str">
            <v>9</v>
          </cell>
          <cell r="B1482" t="str">
            <v>80</v>
          </cell>
          <cell r="C1482" t="str">
            <v>1</v>
          </cell>
          <cell r="D1482" t="str">
            <v>B</v>
          </cell>
          <cell r="E1482">
            <v>1</v>
          </cell>
          <cell r="F1482">
            <v>1</v>
          </cell>
          <cell r="G1482" t="str">
            <v>Egyéb folyó kiadások (kamatkiad.,e.évi maradv.v.fiz.nélk.)</v>
          </cell>
        </row>
        <row r="1483">
          <cell r="A1483" t="str">
            <v>10</v>
          </cell>
          <cell r="B1483" t="str">
            <v>80</v>
          </cell>
          <cell r="C1483" t="str">
            <v>1</v>
          </cell>
          <cell r="D1483" t="str">
            <v>B</v>
          </cell>
          <cell r="E1483">
            <v>1</v>
          </cell>
          <cell r="F1483">
            <v>1</v>
          </cell>
          <cell r="G1483" t="str">
            <v>Előző évi maradvány visszafizetése</v>
          </cell>
        </row>
        <row r="1484">
          <cell r="A1484" t="str">
            <v>11</v>
          </cell>
          <cell r="B1484" t="str">
            <v>80</v>
          </cell>
          <cell r="C1484" t="str">
            <v>1</v>
          </cell>
          <cell r="D1484" t="str">
            <v>B</v>
          </cell>
          <cell r="E1484">
            <v>1</v>
          </cell>
          <cell r="F1484">
            <v>1</v>
          </cell>
          <cell r="G1484" t="str">
            <v>Ellátottak pénzbeli juttatásai</v>
          </cell>
        </row>
        <row r="1485">
          <cell r="A1485" t="str">
            <v>12</v>
          </cell>
          <cell r="B1485" t="str">
            <v>80</v>
          </cell>
          <cell r="C1485" t="str">
            <v>1</v>
          </cell>
          <cell r="D1485" t="str">
            <v>B</v>
          </cell>
          <cell r="E1485">
            <v>1</v>
          </cell>
          <cell r="F1485">
            <v>1</v>
          </cell>
          <cell r="G1485" t="str">
            <v>Műk.célú pe.átadás központi költségvetési szervnek</v>
          </cell>
        </row>
        <row r="1486">
          <cell r="A1486" t="str">
            <v>13</v>
          </cell>
          <cell r="B1486" t="str">
            <v>80</v>
          </cell>
          <cell r="C1486" t="str">
            <v>1</v>
          </cell>
          <cell r="D1486" t="str">
            <v>B</v>
          </cell>
          <cell r="E1486">
            <v>1</v>
          </cell>
          <cell r="F1486">
            <v>1</v>
          </cell>
          <cell r="G1486" t="str">
            <v>Műk.célú pe.átadás fejezeti kezelésű előirányzatnak</v>
          </cell>
        </row>
        <row r="1487">
          <cell r="A1487" t="str">
            <v>14</v>
          </cell>
          <cell r="B1487" t="str">
            <v>80</v>
          </cell>
          <cell r="C1487" t="str">
            <v>1</v>
          </cell>
          <cell r="D1487" t="str">
            <v>B</v>
          </cell>
          <cell r="E1487">
            <v>1</v>
          </cell>
          <cell r="F1487">
            <v>1</v>
          </cell>
          <cell r="G1487" t="str">
            <v>Műk.célú pe.átadás elkülönített állami pénzalapnak</v>
          </cell>
        </row>
        <row r="1488">
          <cell r="A1488" t="str">
            <v>15</v>
          </cell>
          <cell r="B1488" t="str">
            <v>80</v>
          </cell>
          <cell r="C1488" t="str">
            <v>1</v>
          </cell>
          <cell r="D1488" t="str">
            <v>B</v>
          </cell>
          <cell r="E1488">
            <v>1</v>
          </cell>
          <cell r="F1488">
            <v>1</v>
          </cell>
          <cell r="G1488" t="str">
            <v>Műk.célú pe.átadás társadalombiztosítási alapnak</v>
          </cell>
        </row>
        <row r="1489">
          <cell r="A1489" t="str">
            <v>16</v>
          </cell>
          <cell r="B1489" t="str">
            <v>80</v>
          </cell>
          <cell r="C1489" t="str">
            <v>1</v>
          </cell>
          <cell r="D1489" t="str">
            <v>B</v>
          </cell>
          <cell r="E1489">
            <v>1</v>
          </cell>
          <cell r="F1489">
            <v>1</v>
          </cell>
          <cell r="G1489" t="str">
            <v>Műk.célú pe.átadás helyi önkormányzatoknak</v>
          </cell>
        </row>
        <row r="1490">
          <cell r="A1490" t="str">
            <v>17</v>
          </cell>
          <cell r="B1490" t="str">
            <v>80</v>
          </cell>
          <cell r="C1490" t="str">
            <v>1</v>
          </cell>
          <cell r="D1490" t="str">
            <v>B</v>
          </cell>
          <cell r="E1490">
            <v>1</v>
          </cell>
          <cell r="F1490">
            <v>1</v>
          </cell>
          <cell r="G1490" t="str">
            <v>Műk.célú pe.át.Római sz. 87. cikk.önk.többs.tul.egyéb váll.</v>
          </cell>
        </row>
        <row r="1491">
          <cell r="A1491" t="str">
            <v>18</v>
          </cell>
          <cell r="B1491" t="str">
            <v>80</v>
          </cell>
          <cell r="C1491" t="str">
            <v>1</v>
          </cell>
          <cell r="D1491" t="str">
            <v>B</v>
          </cell>
          <cell r="E1491">
            <v>1</v>
          </cell>
          <cell r="F1491">
            <v>1</v>
          </cell>
          <cell r="G1491" t="str">
            <v>Műk.célú pe.át.Római sz. 87. cikk.nem önk.többs.tul.e.váll.</v>
          </cell>
        </row>
        <row r="1492">
          <cell r="A1492" t="str">
            <v>19</v>
          </cell>
          <cell r="B1492" t="str">
            <v>80</v>
          </cell>
          <cell r="C1492" t="str">
            <v>1</v>
          </cell>
          <cell r="D1492" t="str">
            <v>B</v>
          </cell>
          <cell r="E1492">
            <v>1</v>
          </cell>
          <cell r="F1492">
            <v>4</v>
          </cell>
          <cell r="G1492" t="str">
            <v>Műk.célú pe.átadás Római sz. 87.cikk.egyéb váll. (17+18)</v>
          </cell>
        </row>
        <row r="1493">
          <cell r="A1493" t="str">
            <v>20</v>
          </cell>
          <cell r="B1493" t="str">
            <v>80</v>
          </cell>
          <cell r="C1493" t="str">
            <v>1</v>
          </cell>
          <cell r="D1493" t="str">
            <v>B</v>
          </cell>
          <cell r="E1493">
            <v>1</v>
          </cell>
          <cell r="F1493">
            <v>1</v>
          </cell>
          <cell r="G1493" t="str">
            <v>Műk.célú pe.átadás nem 17.sor önk.többs.tul.egyéb.váll.</v>
          </cell>
        </row>
        <row r="1494">
          <cell r="A1494" t="str">
            <v>21</v>
          </cell>
          <cell r="B1494" t="str">
            <v>80</v>
          </cell>
          <cell r="C1494" t="str">
            <v>1</v>
          </cell>
          <cell r="D1494" t="str">
            <v>B</v>
          </cell>
          <cell r="E1494">
            <v>1</v>
          </cell>
          <cell r="F1494">
            <v>1</v>
          </cell>
          <cell r="G1494" t="str">
            <v>Műk.célú pe.átadás nem 18.sor nem önk.többs.tul.e.váll.</v>
          </cell>
        </row>
        <row r="1495">
          <cell r="A1495" t="str">
            <v>22</v>
          </cell>
          <cell r="B1495" t="str">
            <v>80</v>
          </cell>
          <cell r="C1495" t="str">
            <v>1</v>
          </cell>
          <cell r="D1495" t="str">
            <v>B</v>
          </cell>
          <cell r="E1495">
            <v>1</v>
          </cell>
          <cell r="F1495">
            <v>4</v>
          </cell>
          <cell r="G1495" t="str">
            <v>Műk.célú pe.átadás egyéb vállalkozásnak (19+20+21)</v>
          </cell>
        </row>
        <row r="1496">
          <cell r="A1496" t="str">
            <v>23</v>
          </cell>
          <cell r="B1496" t="str">
            <v>80</v>
          </cell>
          <cell r="C1496" t="str">
            <v>1</v>
          </cell>
          <cell r="D1496" t="str">
            <v>B</v>
          </cell>
          <cell r="E1496">
            <v>1</v>
          </cell>
          <cell r="F1496">
            <v>1</v>
          </cell>
          <cell r="G1496" t="str">
            <v>Műk.célú pe.átadás pénzügyi vállalkozásoknak</v>
          </cell>
        </row>
        <row r="1497">
          <cell r="A1497" t="str">
            <v>24</v>
          </cell>
          <cell r="B1497" t="str">
            <v>80</v>
          </cell>
          <cell r="C1497" t="str">
            <v>1</v>
          </cell>
          <cell r="D1497" t="str">
            <v>B</v>
          </cell>
          <cell r="E1497">
            <v>1</v>
          </cell>
          <cell r="F1497">
            <v>1</v>
          </cell>
          <cell r="G1497" t="str">
            <v>Műk.célú pe.átadás háztartásoknak</v>
          </cell>
        </row>
        <row r="1498">
          <cell r="A1498" t="str">
            <v>25</v>
          </cell>
          <cell r="B1498" t="str">
            <v>80</v>
          </cell>
          <cell r="C1498" t="str">
            <v>1</v>
          </cell>
          <cell r="D1498" t="str">
            <v>B</v>
          </cell>
          <cell r="E1498">
            <v>1</v>
          </cell>
          <cell r="F1498">
            <v>1</v>
          </cell>
          <cell r="G1498" t="str">
            <v>Műk.célú pe.átadás non-profit szervezeteknek</v>
          </cell>
        </row>
        <row r="1499">
          <cell r="A1499" t="str">
            <v>26</v>
          </cell>
          <cell r="B1499" t="str">
            <v>80</v>
          </cell>
          <cell r="C1499" t="str">
            <v>1</v>
          </cell>
          <cell r="D1499" t="str">
            <v>B</v>
          </cell>
          <cell r="E1499">
            <v>1</v>
          </cell>
          <cell r="F1499">
            <v>1</v>
          </cell>
          <cell r="G1499" t="str">
            <v>Műk.célú pe.átadás külföldre</v>
          </cell>
        </row>
        <row r="1500">
          <cell r="A1500" t="str">
            <v>27</v>
          </cell>
          <cell r="B1500" t="str">
            <v>80</v>
          </cell>
          <cell r="C1500" t="str">
            <v>1</v>
          </cell>
          <cell r="D1500" t="str">
            <v>B</v>
          </cell>
          <cell r="E1500">
            <v>1</v>
          </cell>
          <cell r="F1500">
            <v>1</v>
          </cell>
          <cell r="G1500" t="str">
            <v>Társadalom- és szociálpolitikai juttatások</v>
          </cell>
        </row>
        <row r="1501">
          <cell r="A1501" t="str">
            <v>28</v>
          </cell>
          <cell r="B1501" t="str">
            <v>80</v>
          </cell>
          <cell r="C1501" t="str">
            <v>1</v>
          </cell>
          <cell r="D1501" t="str">
            <v>B</v>
          </cell>
          <cell r="E1501">
            <v>1</v>
          </cell>
          <cell r="F1501">
            <v>1</v>
          </cell>
          <cell r="G1501" t="str">
            <v>Tervezett maradvány,eredmény,tartalék</v>
          </cell>
        </row>
        <row r="1502">
          <cell r="A1502" t="str">
            <v>29</v>
          </cell>
          <cell r="B1502" t="str">
            <v>80</v>
          </cell>
          <cell r="C1502" t="str">
            <v>1</v>
          </cell>
          <cell r="D1502" t="str">
            <v>B</v>
          </cell>
          <cell r="E1502">
            <v>1</v>
          </cell>
          <cell r="F1502">
            <v>4</v>
          </cell>
          <cell r="G1502" t="str">
            <v>Egyéb műk.célú támogat.,kiadások (12+...+16+22+...+28)</v>
          </cell>
        </row>
        <row r="1503">
          <cell r="A1503" t="str">
            <v>30</v>
          </cell>
          <cell r="B1503" t="str">
            <v>80</v>
          </cell>
          <cell r="C1503" t="str">
            <v>1</v>
          </cell>
          <cell r="D1503" t="str">
            <v>B</v>
          </cell>
          <cell r="E1503">
            <v>1</v>
          </cell>
          <cell r="F1503">
            <v>1</v>
          </cell>
          <cell r="G1503" t="str">
            <v>Kamatkiadások</v>
          </cell>
        </row>
        <row r="1504">
          <cell r="A1504" t="str">
            <v>31</v>
          </cell>
          <cell r="B1504" t="str">
            <v>80</v>
          </cell>
          <cell r="C1504" t="str">
            <v>1</v>
          </cell>
          <cell r="D1504" t="str">
            <v>B</v>
          </cell>
          <cell r="E1504">
            <v>1</v>
          </cell>
          <cell r="F1504">
            <v>1</v>
          </cell>
          <cell r="G1504" t="str">
            <v>Felújítás</v>
          </cell>
        </row>
        <row r="1505">
          <cell r="A1505" t="str">
            <v>32</v>
          </cell>
          <cell r="B1505" t="str">
            <v>80</v>
          </cell>
          <cell r="C1505" t="str">
            <v>1</v>
          </cell>
          <cell r="D1505" t="str">
            <v>B</v>
          </cell>
          <cell r="E1505">
            <v>1</v>
          </cell>
          <cell r="F1505">
            <v>1</v>
          </cell>
          <cell r="G1505" t="str">
            <v>Intézményi beruházási kiadások ÁFA nélkül</v>
          </cell>
        </row>
        <row r="1506">
          <cell r="A1506" t="str">
            <v>33</v>
          </cell>
          <cell r="B1506" t="str">
            <v>80</v>
          </cell>
          <cell r="C1506" t="str">
            <v>1</v>
          </cell>
          <cell r="D1506" t="str">
            <v>B</v>
          </cell>
          <cell r="E1506">
            <v>1</v>
          </cell>
          <cell r="F1506">
            <v>1</v>
          </cell>
          <cell r="G1506" t="str">
            <v>Beruházások ÁFA-ja</v>
          </cell>
        </row>
        <row r="1507">
          <cell r="A1507" t="str">
            <v>34</v>
          </cell>
          <cell r="B1507" t="str">
            <v>80</v>
          </cell>
          <cell r="C1507" t="str">
            <v>1</v>
          </cell>
          <cell r="D1507" t="str">
            <v>B</v>
          </cell>
          <cell r="E1507">
            <v>1</v>
          </cell>
          <cell r="F1507">
            <v>1</v>
          </cell>
          <cell r="G1507" t="str">
            <v>Felh.célú pe.átadás központi költségvetési szervnek</v>
          </cell>
        </row>
        <row r="1508">
          <cell r="A1508" t="str">
            <v>35</v>
          </cell>
          <cell r="B1508" t="str">
            <v>80</v>
          </cell>
          <cell r="C1508" t="str">
            <v>1</v>
          </cell>
          <cell r="D1508" t="str">
            <v>B</v>
          </cell>
          <cell r="E1508">
            <v>1</v>
          </cell>
          <cell r="F1508">
            <v>1</v>
          </cell>
          <cell r="G1508" t="str">
            <v>Felh.célú pe.átadás fejezeti kezelésű előirányzatnak</v>
          </cell>
        </row>
        <row r="1509">
          <cell r="A1509" t="str">
            <v>36</v>
          </cell>
          <cell r="B1509" t="str">
            <v>80</v>
          </cell>
          <cell r="C1509" t="str">
            <v>1</v>
          </cell>
          <cell r="D1509" t="str">
            <v>B</v>
          </cell>
          <cell r="E1509">
            <v>1</v>
          </cell>
          <cell r="F1509">
            <v>1</v>
          </cell>
          <cell r="G1509" t="str">
            <v>Felh.célú pe.átadás elkülönített állami pénzalapnak</v>
          </cell>
        </row>
        <row r="1510">
          <cell r="A1510" t="str">
            <v>37</v>
          </cell>
          <cell r="B1510" t="str">
            <v>80</v>
          </cell>
          <cell r="C1510" t="str">
            <v>1</v>
          </cell>
          <cell r="D1510" t="str">
            <v>B</v>
          </cell>
          <cell r="E1510">
            <v>1</v>
          </cell>
          <cell r="F1510">
            <v>1</v>
          </cell>
          <cell r="G1510" t="str">
            <v>Felh.célú pe.átadás társadalombiztosítási alapnak</v>
          </cell>
        </row>
        <row r="1511">
          <cell r="A1511" t="str">
            <v>38</v>
          </cell>
          <cell r="B1511" t="str">
            <v>80</v>
          </cell>
          <cell r="C1511" t="str">
            <v>1</v>
          </cell>
          <cell r="D1511" t="str">
            <v>B</v>
          </cell>
          <cell r="E1511">
            <v>1</v>
          </cell>
          <cell r="F1511">
            <v>1</v>
          </cell>
          <cell r="G1511" t="str">
            <v>Felh.célú pe.átadás helyi önkormányzatoknak</v>
          </cell>
        </row>
        <row r="1512">
          <cell r="A1512" t="str">
            <v>39</v>
          </cell>
          <cell r="B1512" t="str">
            <v>80</v>
          </cell>
          <cell r="C1512" t="str">
            <v>1</v>
          </cell>
          <cell r="D1512" t="str">
            <v>B</v>
          </cell>
          <cell r="E1512">
            <v>1</v>
          </cell>
          <cell r="F1512">
            <v>1</v>
          </cell>
          <cell r="G1512" t="str">
            <v>Felh.célú pe.át. Római sz.87.cikk.önk.többs.tul.egyéb váll.</v>
          </cell>
        </row>
        <row r="1513">
          <cell r="A1513" t="str">
            <v>40</v>
          </cell>
          <cell r="B1513" t="str">
            <v>80</v>
          </cell>
          <cell r="C1513" t="str">
            <v>1</v>
          </cell>
          <cell r="D1513" t="str">
            <v>B</v>
          </cell>
          <cell r="E1513">
            <v>1</v>
          </cell>
          <cell r="F1513">
            <v>1</v>
          </cell>
          <cell r="G1513" t="str">
            <v>Felh.célú pe.átadás Római sz.87.c. nem önk.többs.tul.váll.</v>
          </cell>
        </row>
        <row r="1514">
          <cell r="A1514" t="str">
            <v>41</v>
          </cell>
          <cell r="B1514" t="str">
            <v>80</v>
          </cell>
          <cell r="C1514" t="str">
            <v>1</v>
          </cell>
          <cell r="D1514" t="str">
            <v>B</v>
          </cell>
          <cell r="E1514">
            <v>1</v>
          </cell>
          <cell r="F1514">
            <v>4</v>
          </cell>
          <cell r="G1514" t="str">
            <v>Felh.célú pe.át. Római sz. 87. cikk.c.egyéb váll.(39+40)</v>
          </cell>
        </row>
        <row r="1515">
          <cell r="A1515" t="str">
            <v>42</v>
          </cell>
          <cell r="B1515" t="str">
            <v>80</v>
          </cell>
          <cell r="C1515" t="str">
            <v>1</v>
          </cell>
          <cell r="D1515" t="str">
            <v>B</v>
          </cell>
          <cell r="E1515">
            <v>1</v>
          </cell>
          <cell r="F1515">
            <v>1</v>
          </cell>
          <cell r="G1515" t="str">
            <v>Felh.célú pe.átadás nem 39.sor önk.többs.tul.egyéb.váll.</v>
          </cell>
        </row>
        <row r="1516">
          <cell r="A1516" t="str">
            <v>43</v>
          </cell>
          <cell r="B1516" t="str">
            <v>80</v>
          </cell>
          <cell r="C1516" t="str">
            <v>1</v>
          </cell>
          <cell r="D1516" t="str">
            <v>B</v>
          </cell>
          <cell r="E1516">
            <v>1</v>
          </cell>
          <cell r="F1516">
            <v>1</v>
          </cell>
          <cell r="G1516" t="str">
            <v>Felh.célú pe.átadás nem 40.sor nem önk.többs.tul.e.váll.</v>
          </cell>
        </row>
        <row r="1517">
          <cell r="A1517" t="str">
            <v>44</v>
          </cell>
          <cell r="B1517" t="str">
            <v>80</v>
          </cell>
          <cell r="C1517" t="str">
            <v>1</v>
          </cell>
          <cell r="D1517" t="str">
            <v>B</v>
          </cell>
          <cell r="E1517">
            <v>1</v>
          </cell>
          <cell r="F1517">
            <v>4</v>
          </cell>
          <cell r="G1517" t="str">
            <v>Felh.célú pe.átadás egyéb vállalkozásoknak (41+42+43)</v>
          </cell>
        </row>
        <row r="1518">
          <cell r="A1518" t="str">
            <v>45</v>
          </cell>
          <cell r="B1518" t="str">
            <v>80</v>
          </cell>
          <cell r="C1518" t="str">
            <v>1</v>
          </cell>
          <cell r="D1518" t="str">
            <v>B</v>
          </cell>
          <cell r="E1518">
            <v>1</v>
          </cell>
          <cell r="F1518">
            <v>1</v>
          </cell>
          <cell r="G1518" t="str">
            <v>Felh.célú pe.átadás pénzügyi vállalkozásoknak</v>
          </cell>
        </row>
        <row r="1519">
          <cell r="A1519" t="str">
            <v>46</v>
          </cell>
          <cell r="B1519" t="str">
            <v>80</v>
          </cell>
          <cell r="C1519" t="str">
            <v>1</v>
          </cell>
          <cell r="D1519" t="str">
            <v>B</v>
          </cell>
          <cell r="E1519">
            <v>1</v>
          </cell>
          <cell r="F1519">
            <v>1</v>
          </cell>
          <cell r="G1519" t="str">
            <v>Felh.célú pe.átadás háztartásoknak</v>
          </cell>
        </row>
        <row r="1520">
          <cell r="A1520" t="str">
            <v>47</v>
          </cell>
          <cell r="B1520" t="str">
            <v>80</v>
          </cell>
          <cell r="C1520" t="str">
            <v>1</v>
          </cell>
          <cell r="D1520" t="str">
            <v>B</v>
          </cell>
          <cell r="E1520">
            <v>1</v>
          </cell>
          <cell r="F1520">
            <v>1</v>
          </cell>
          <cell r="G1520" t="str">
            <v>Felh.célú pe.átadás non-profit szervezeteknek</v>
          </cell>
        </row>
        <row r="1521">
          <cell r="A1521" t="str">
            <v>48</v>
          </cell>
          <cell r="B1521" t="str">
            <v>80</v>
          </cell>
          <cell r="C1521" t="str">
            <v>1</v>
          </cell>
          <cell r="D1521" t="str">
            <v>B</v>
          </cell>
          <cell r="E1521">
            <v>1</v>
          </cell>
          <cell r="F1521">
            <v>1</v>
          </cell>
          <cell r="G1521" t="str">
            <v>Felh.célú pe.átadás külföldre</v>
          </cell>
        </row>
        <row r="1522">
          <cell r="A1522" t="str">
            <v>49</v>
          </cell>
          <cell r="B1522" t="str">
            <v>80</v>
          </cell>
          <cell r="C1522" t="str">
            <v>1</v>
          </cell>
          <cell r="D1522" t="str">
            <v>B</v>
          </cell>
          <cell r="E1522">
            <v>1</v>
          </cell>
          <cell r="F1522">
            <v>4</v>
          </cell>
          <cell r="G1522" t="str">
            <v>Felhalmozási kiadások         (31..+38+44+...+48)</v>
          </cell>
        </row>
        <row r="1523">
          <cell r="A1523" t="str">
            <v>50</v>
          </cell>
          <cell r="B1523" t="str">
            <v>80</v>
          </cell>
          <cell r="C1523" t="str">
            <v>1</v>
          </cell>
          <cell r="D1523" t="str">
            <v>B</v>
          </cell>
          <cell r="E1523">
            <v>1</v>
          </cell>
          <cell r="F1523">
            <v>1</v>
          </cell>
          <cell r="G1523" t="str">
            <v>Kölcsönök nyújtása államháztartáson belülre</v>
          </cell>
        </row>
        <row r="1524">
          <cell r="A1524" t="str">
            <v>51</v>
          </cell>
          <cell r="B1524" t="str">
            <v>80</v>
          </cell>
          <cell r="C1524" t="str">
            <v>1</v>
          </cell>
          <cell r="D1524" t="str">
            <v>B</v>
          </cell>
          <cell r="E1524">
            <v>1</v>
          </cell>
          <cell r="F1524">
            <v>1</v>
          </cell>
          <cell r="G1524" t="str">
            <v>Kölcsönök nyújtása államháztartáson kívülre</v>
          </cell>
        </row>
        <row r="1525">
          <cell r="A1525" t="str">
            <v>52</v>
          </cell>
          <cell r="B1525" t="str">
            <v>80</v>
          </cell>
          <cell r="C1525" t="str">
            <v>1</v>
          </cell>
          <cell r="D1525" t="str">
            <v>B</v>
          </cell>
          <cell r="E1525">
            <v>1</v>
          </cell>
          <cell r="F1525">
            <v>1</v>
          </cell>
          <cell r="G1525" t="str">
            <v>Kölcsönök törlesztése államháztartáson belülre</v>
          </cell>
        </row>
        <row r="1526">
          <cell r="A1526" t="str">
            <v>53</v>
          </cell>
          <cell r="B1526" t="str">
            <v>80</v>
          </cell>
          <cell r="C1526" t="str">
            <v>1</v>
          </cell>
          <cell r="D1526" t="str">
            <v>B</v>
          </cell>
          <cell r="E1526">
            <v>1</v>
          </cell>
          <cell r="F1526">
            <v>1</v>
          </cell>
          <cell r="G1526" t="str">
            <v>Pénzügyi befektetések kiadásaiból részesedések vásárlása</v>
          </cell>
        </row>
        <row r="1527">
          <cell r="A1527" t="str">
            <v>54</v>
          </cell>
          <cell r="B1527" t="str">
            <v>80</v>
          </cell>
          <cell r="C1527" t="str">
            <v>1</v>
          </cell>
          <cell r="D1527" t="str">
            <v>B</v>
          </cell>
          <cell r="E1527">
            <v>1</v>
          </cell>
          <cell r="F1527">
            <v>1</v>
          </cell>
          <cell r="G1527" t="str">
            <v>Felügyelet alá tartozó költs.-i szervnek folyósított tám.</v>
          </cell>
        </row>
        <row r="1528">
          <cell r="A1528" t="str">
            <v>55</v>
          </cell>
          <cell r="B1528" t="str">
            <v>80</v>
          </cell>
          <cell r="C1528" t="str">
            <v>1</v>
          </cell>
          <cell r="D1528" t="str">
            <v>B</v>
          </cell>
          <cell r="E1528">
            <v>1</v>
          </cell>
          <cell r="F1528">
            <v>4</v>
          </cell>
          <cell r="G1528" t="str">
            <v>KIADÁSOK               (04+...+11+29+30+49+...+54)</v>
          </cell>
        </row>
        <row r="1529">
          <cell r="A1529" t="str">
            <v>56</v>
          </cell>
          <cell r="B1529" t="str">
            <v>80</v>
          </cell>
          <cell r="C1529" t="str">
            <v>1</v>
          </cell>
          <cell r="D1529" t="str">
            <v>B</v>
          </cell>
          <cell r="E1529">
            <v>2</v>
          </cell>
          <cell r="F1529">
            <v>1</v>
          </cell>
          <cell r="G1529" t="str">
            <v>Intézményi működési bevételek ÁFA nélkül</v>
          </cell>
        </row>
        <row r="1530">
          <cell r="A1530" t="str">
            <v>57</v>
          </cell>
          <cell r="B1530" t="str">
            <v>80</v>
          </cell>
          <cell r="C1530" t="str">
            <v>1</v>
          </cell>
          <cell r="D1530" t="str">
            <v>B</v>
          </cell>
          <cell r="E1530">
            <v>1</v>
          </cell>
          <cell r="F1530">
            <v>1</v>
          </cell>
          <cell r="G1530" t="str">
            <v>ÁFA bevételek, visszatérülések</v>
          </cell>
        </row>
        <row r="1531">
          <cell r="A1531" t="str">
            <v>58</v>
          </cell>
          <cell r="B1531" t="str">
            <v>80</v>
          </cell>
          <cell r="C1531" t="str">
            <v>1</v>
          </cell>
          <cell r="D1531" t="str">
            <v>B</v>
          </cell>
          <cell r="E1531">
            <v>1</v>
          </cell>
          <cell r="F1531">
            <v>1</v>
          </cell>
          <cell r="G1531" t="str">
            <v>Kamatbevételek</v>
          </cell>
        </row>
        <row r="1532">
          <cell r="A1532" t="str">
            <v>59</v>
          </cell>
          <cell r="B1532" t="str">
            <v>80</v>
          </cell>
          <cell r="C1532" t="str">
            <v>1</v>
          </cell>
          <cell r="D1532" t="str">
            <v>B</v>
          </cell>
          <cell r="E1532">
            <v>1</v>
          </cell>
          <cell r="F1532">
            <v>1</v>
          </cell>
          <cell r="G1532" t="str">
            <v>Gépjárműadó</v>
          </cell>
        </row>
        <row r="1533">
          <cell r="A1533" t="str">
            <v>60</v>
          </cell>
          <cell r="B1533" t="str">
            <v>80</v>
          </cell>
          <cell r="C1533" t="str">
            <v>1</v>
          </cell>
          <cell r="D1533" t="str">
            <v>B</v>
          </cell>
          <cell r="E1533">
            <v>1</v>
          </cell>
          <cell r="F1533">
            <v>1</v>
          </cell>
          <cell r="G1533" t="str">
            <v>Helyi adók</v>
          </cell>
        </row>
        <row r="1534">
          <cell r="A1534" t="str">
            <v>61</v>
          </cell>
          <cell r="B1534" t="str">
            <v>80</v>
          </cell>
          <cell r="C1534" t="str">
            <v>1</v>
          </cell>
          <cell r="D1534" t="str">
            <v>B</v>
          </cell>
          <cell r="E1534">
            <v>1</v>
          </cell>
          <cell r="F1534">
            <v>1</v>
          </cell>
          <cell r="G1534" t="str">
            <v>ebből Épitményadó</v>
          </cell>
        </row>
        <row r="1535">
          <cell r="A1535" t="str">
            <v>62</v>
          </cell>
          <cell r="B1535" t="str">
            <v>80</v>
          </cell>
          <cell r="C1535" t="str">
            <v>1</v>
          </cell>
          <cell r="D1535" t="str">
            <v>B</v>
          </cell>
          <cell r="E1535">
            <v>1</v>
          </cell>
          <cell r="F1535">
            <v>7</v>
          </cell>
          <cell r="G1535" t="str">
            <v>Telekadó</v>
          </cell>
        </row>
        <row r="1536">
          <cell r="A1536" t="str">
            <v>63</v>
          </cell>
          <cell r="B1536" t="str">
            <v>80</v>
          </cell>
          <cell r="C1536" t="str">
            <v>1</v>
          </cell>
          <cell r="D1536" t="str">
            <v>B</v>
          </cell>
          <cell r="E1536">
            <v>1</v>
          </cell>
          <cell r="F1536">
            <v>7</v>
          </cell>
          <cell r="G1536" t="str">
            <v>Vállalkozások kommunális adója</v>
          </cell>
        </row>
        <row r="1537">
          <cell r="A1537" t="str">
            <v>64</v>
          </cell>
          <cell r="B1537" t="str">
            <v>80</v>
          </cell>
          <cell r="C1537" t="str">
            <v>1</v>
          </cell>
          <cell r="D1537" t="str">
            <v>B</v>
          </cell>
          <cell r="E1537">
            <v>1</v>
          </cell>
          <cell r="F1537">
            <v>7</v>
          </cell>
          <cell r="G1537" t="str">
            <v>Magánszemélyek kommunális adója</v>
          </cell>
        </row>
        <row r="1538">
          <cell r="A1538" t="str">
            <v>65</v>
          </cell>
          <cell r="B1538" t="str">
            <v>80</v>
          </cell>
          <cell r="C1538" t="str">
            <v>1</v>
          </cell>
          <cell r="D1538" t="str">
            <v>B</v>
          </cell>
          <cell r="E1538">
            <v>1</v>
          </cell>
          <cell r="F1538">
            <v>7</v>
          </cell>
          <cell r="G1538" t="str">
            <v>Idegenforgalmi adó tartózkodás után</v>
          </cell>
        </row>
        <row r="1539">
          <cell r="A1539" t="str">
            <v>66</v>
          </cell>
          <cell r="B1539" t="str">
            <v>80</v>
          </cell>
          <cell r="C1539" t="str">
            <v>1</v>
          </cell>
          <cell r="D1539" t="str">
            <v>B</v>
          </cell>
          <cell r="E1539">
            <v>1</v>
          </cell>
          <cell r="F1539">
            <v>7</v>
          </cell>
          <cell r="G1539" t="str">
            <v>Idegenforgalmi adó épület után</v>
          </cell>
        </row>
        <row r="1540">
          <cell r="A1540" t="str">
            <v>67</v>
          </cell>
          <cell r="B1540" t="str">
            <v>80</v>
          </cell>
          <cell r="C1540" t="str">
            <v>1</v>
          </cell>
          <cell r="D1540" t="str">
            <v>B</v>
          </cell>
          <cell r="E1540">
            <v>1</v>
          </cell>
          <cell r="F1540">
            <v>7</v>
          </cell>
          <cell r="G1540" t="str">
            <v>Iparűzési adó állandó jelleggel .végzett tev.után</v>
          </cell>
        </row>
        <row r="1541">
          <cell r="A1541" t="str">
            <v>68</v>
          </cell>
          <cell r="B1541" t="str">
            <v>80</v>
          </cell>
          <cell r="C1541" t="str">
            <v>1</v>
          </cell>
          <cell r="D1541" t="str">
            <v>B</v>
          </cell>
          <cell r="E1541">
            <v>1</v>
          </cell>
          <cell r="F1541">
            <v>7</v>
          </cell>
          <cell r="G1541" t="str">
            <v>Iparűzési adó ideiglenes jelleggel végzett tev.után</v>
          </cell>
        </row>
        <row r="1542">
          <cell r="A1542" t="str">
            <v>69</v>
          </cell>
          <cell r="B1542" t="str">
            <v>80</v>
          </cell>
          <cell r="C1542" t="str">
            <v>1</v>
          </cell>
          <cell r="D1542" t="str">
            <v>B</v>
          </cell>
          <cell r="E1542">
            <v>1</v>
          </cell>
          <cell r="F1542">
            <v>1</v>
          </cell>
          <cell r="G1542" t="str">
            <v>Illetékek</v>
          </cell>
        </row>
        <row r="1543">
          <cell r="A1543" t="str">
            <v>70</v>
          </cell>
          <cell r="B1543" t="str">
            <v>80</v>
          </cell>
          <cell r="C1543" t="str">
            <v>1</v>
          </cell>
          <cell r="D1543" t="str">
            <v>B</v>
          </cell>
          <cell r="E1543">
            <v>1</v>
          </cell>
          <cell r="F1543">
            <v>1</v>
          </cell>
          <cell r="G1543" t="str">
            <v>Személyi jövedelemadó</v>
          </cell>
        </row>
        <row r="1544">
          <cell r="A1544" t="str">
            <v>71</v>
          </cell>
          <cell r="B1544" t="str">
            <v>80</v>
          </cell>
          <cell r="C1544" t="str">
            <v>1</v>
          </cell>
          <cell r="D1544" t="str">
            <v>B</v>
          </cell>
          <cell r="E1544">
            <v>1</v>
          </cell>
          <cell r="F1544">
            <v>1</v>
          </cell>
          <cell r="G1544" t="str">
            <v>Egyéb átengedett adók, adójellegű bevételek</v>
          </cell>
        </row>
        <row r="1545">
          <cell r="A1545" t="str">
            <v>72</v>
          </cell>
          <cell r="B1545" t="str">
            <v>80</v>
          </cell>
          <cell r="C1545" t="str">
            <v>1</v>
          </cell>
          <cell r="D1545" t="str">
            <v>B</v>
          </cell>
          <cell r="E1545">
            <v>1</v>
          </cell>
          <cell r="F1545">
            <v>1</v>
          </cell>
          <cell r="G1545" t="str">
            <v>H.adókhoz kapcs.pótl.bírs.,önk.megill.bírs,e.sajátos bev.</v>
          </cell>
        </row>
        <row r="1546">
          <cell r="A1546" t="str">
            <v>73</v>
          </cell>
          <cell r="B1546" t="str">
            <v>80</v>
          </cell>
          <cell r="C1546" t="str">
            <v>1</v>
          </cell>
          <cell r="D1546" t="str">
            <v>B</v>
          </cell>
          <cell r="E1546">
            <v>1</v>
          </cell>
          <cell r="F1546">
            <v>1</v>
          </cell>
          <cell r="G1546" t="str">
            <v>Működési célú pénzeszközátvétel a TB alapoktól</v>
          </cell>
        </row>
        <row r="1547">
          <cell r="A1547" t="str">
            <v>74</v>
          </cell>
          <cell r="B1547" t="str">
            <v>80</v>
          </cell>
          <cell r="C1547" t="str">
            <v>1</v>
          </cell>
          <cell r="D1547" t="str">
            <v>B</v>
          </cell>
          <cell r="E1547">
            <v>1</v>
          </cell>
          <cell r="F1547">
            <v>1</v>
          </cell>
          <cell r="G1547" t="str">
            <v>Működési célú pénzeszközátvétel az elkül.állami alapoktol</v>
          </cell>
        </row>
        <row r="1548">
          <cell r="A1548" t="str">
            <v>75</v>
          </cell>
          <cell r="B1548" t="str">
            <v>80</v>
          </cell>
          <cell r="C1548" t="str">
            <v>1</v>
          </cell>
          <cell r="D1548" t="str">
            <v>B</v>
          </cell>
          <cell r="E1548">
            <v>1</v>
          </cell>
          <cell r="F1548">
            <v>1</v>
          </cell>
          <cell r="G1548" t="str">
            <v>Költségvetési kiegészítések, visszatérülések</v>
          </cell>
        </row>
        <row r="1549">
          <cell r="A1549" t="str">
            <v>76</v>
          </cell>
          <cell r="B1549" t="str">
            <v>80</v>
          </cell>
          <cell r="C1549" t="str">
            <v>1</v>
          </cell>
          <cell r="D1549" t="str">
            <v>B</v>
          </cell>
          <cell r="E1549">
            <v>1</v>
          </cell>
          <cell r="F1549">
            <v>1</v>
          </cell>
          <cell r="G1549" t="str">
            <v>Műk. célú pe.átvétel központi költségvetési szervtől</v>
          </cell>
        </row>
        <row r="1550">
          <cell r="A1550" t="str">
            <v>77</v>
          </cell>
          <cell r="B1550" t="str">
            <v>80</v>
          </cell>
          <cell r="C1550" t="str">
            <v>1</v>
          </cell>
          <cell r="D1550" t="str">
            <v>B</v>
          </cell>
          <cell r="E1550">
            <v>1</v>
          </cell>
          <cell r="F1550">
            <v>1</v>
          </cell>
          <cell r="G1550" t="str">
            <v>Műk. célú pe.átvétel fejezeti kezelésű előirányzattól</v>
          </cell>
        </row>
        <row r="1551">
          <cell r="A1551" t="str">
            <v>78</v>
          </cell>
          <cell r="B1551" t="str">
            <v>80</v>
          </cell>
          <cell r="C1551" t="str">
            <v>1</v>
          </cell>
          <cell r="D1551" t="str">
            <v>B</v>
          </cell>
          <cell r="E1551">
            <v>1</v>
          </cell>
          <cell r="F1551">
            <v>1</v>
          </cell>
          <cell r="G1551" t="str">
            <v>Műk. célra átvett pénzeszközök helyi önkormányzatoktól</v>
          </cell>
        </row>
        <row r="1552">
          <cell r="A1552" t="str">
            <v>79</v>
          </cell>
          <cell r="B1552" t="str">
            <v>80</v>
          </cell>
          <cell r="C1552" t="str">
            <v>1</v>
          </cell>
          <cell r="D1552" t="str">
            <v>B</v>
          </cell>
          <cell r="E1552">
            <v>1</v>
          </cell>
          <cell r="F1552">
            <v>1</v>
          </cell>
          <cell r="G1552" t="str">
            <v>Műk. célra átvett pénzeszközök vállalkozásoktól</v>
          </cell>
        </row>
        <row r="1553">
          <cell r="A1553" t="str">
            <v>80</v>
          </cell>
          <cell r="B1553" t="str">
            <v>80</v>
          </cell>
          <cell r="C1553" t="str">
            <v>1</v>
          </cell>
          <cell r="D1553" t="str">
            <v>B</v>
          </cell>
          <cell r="E1553">
            <v>1</v>
          </cell>
          <cell r="F1553">
            <v>1</v>
          </cell>
          <cell r="G1553" t="str">
            <v>Műk. célra átvett pénzeszközök pénzügyi vállalkozásoktól</v>
          </cell>
        </row>
        <row r="1554">
          <cell r="A1554" t="str">
            <v>81</v>
          </cell>
          <cell r="B1554" t="str">
            <v>80</v>
          </cell>
          <cell r="C1554" t="str">
            <v>1</v>
          </cell>
          <cell r="D1554" t="str">
            <v>B</v>
          </cell>
          <cell r="E1554">
            <v>1</v>
          </cell>
          <cell r="F1554">
            <v>1</v>
          </cell>
          <cell r="G1554" t="str">
            <v>Műk. célra átvett pénzeszközök háztartásoktól</v>
          </cell>
        </row>
        <row r="1555">
          <cell r="A1555" t="str">
            <v>82</v>
          </cell>
          <cell r="B1555" t="str">
            <v>80</v>
          </cell>
          <cell r="C1555" t="str">
            <v>1</v>
          </cell>
          <cell r="D1555" t="str">
            <v>B</v>
          </cell>
          <cell r="E1555">
            <v>1</v>
          </cell>
          <cell r="F1555">
            <v>1</v>
          </cell>
          <cell r="G1555" t="str">
            <v>Műk. célra átvett pénzeszközök non-profit szervezetektől</v>
          </cell>
        </row>
        <row r="1556">
          <cell r="A1556" t="str">
            <v>83</v>
          </cell>
          <cell r="B1556" t="str">
            <v>80</v>
          </cell>
          <cell r="C1556" t="str">
            <v>1</v>
          </cell>
          <cell r="D1556" t="str">
            <v>B</v>
          </cell>
          <cell r="E1556">
            <v>1</v>
          </cell>
          <cell r="F1556">
            <v>1</v>
          </cell>
          <cell r="G1556" t="str">
            <v>Műk. célra átvett pénzeszközök nemzetközi szervezetektől</v>
          </cell>
        </row>
        <row r="1557">
          <cell r="A1557" t="str">
            <v>84</v>
          </cell>
          <cell r="B1557" t="str">
            <v>80</v>
          </cell>
          <cell r="C1557" t="str">
            <v>1</v>
          </cell>
          <cell r="D1557" t="str">
            <v>B</v>
          </cell>
          <cell r="E1557">
            <v>1</v>
          </cell>
          <cell r="F1557">
            <v>1</v>
          </cell>
          <cell r="G1557" t="str">
            <v>Műk. célra átvett pénzeszközök egyéb külföldi forrásból</v>
          </cell>
        </row>
        <row r="1558">
          <cell r="A1558" t="str">
            <v>85</v>
          </cell>
          <cell r="B1558" t="str">
            <v>80</v>
          </cell>
          <cell r="C1558" t="str">
            <v>1</v>
          </cell>
          <cell r="D1558" t="str">
            <v>B</v>
          </cell>
          <cell r="E1558">
            <v>1</v>
          </cell>
          <cell r="F1558">
            <v>2</v>
          </cell>
          <cell r="G1558" t="str">
            <v>Egyéb működési célú pénzeszközátvétel, bevételek(75+..+84)</v>
          </cell>
        </row>
        <row r="1559">
          <cell r="A1559" t="str">
            <v>86</v>
          </cell>
          <cell r="B1559" t="str">
            <v>80</v>
          </cell>
          <cell r="C1559" t="str">
            <v>1</v>
          </cell>
          <cell r="D1559" t="str">
            <v>B</v>
          </cell>
          <cell r="E1559">
            <v>1</v>
          </cell>
          <cell r="F1559">
            <v>1</v>
          </cell>
          <cell r="G1559" t="str">
            <v>Felhalmozási célú pénzeszközátv. a TB alap. és kezelöitől</v>
          </cell>
        </row>
        <row r="1560">
          <cell r="A1560" t="str">
            <v>87</v>
          </cell>
          <cell r="B1560" t="str">
            <v>80</v>
          </cell>
          <cell r="C1560" t="str">
            <v>1</v>
          </cell>
          <cell r="D1560" t="str">
            <v>B</v>
          </cell>
          <cell r="E1560">
            <v>1</v>
          </cell>
          <cell r="F1560">
            <v>1</v>
          </cell>
          <cell r="G1560" t="str">
            <v>Felhalmozási célú pénzeszközátv. az elkülön. állami alap.</v>
          </cell>
        </row>
        <row r="1561">
          <cell r="A1561" t="str">
            <v>88</v>
          </cell>
          <cell r="B1561" t="str">
            <v>80</v>
          </cell>
          <cell r="C1561" t="str">
            <v>1</v>
          </cell>
          <cell r="D1561" t="str">
            <v>B</v>
          </cell>
          <cell r="E1561">
            <v>1</v>
          </cell>
          <cell r="F1561">
            <v>1</v>
          </cell>
          <cell r="G1561" t="str">
            <v>Tárgyi eszközök, immateriális javak értékesítése</v>
          </cell>
        </row>
        <row r="1562">
          <cell r="A1562" t="str">
            <v>89</v>
          </cell>
          <cell r="B1562" t="str">
            <v>80</v>
          </cell>
          <cell r="C1562" t="str">
            <v>1</v>
          </cell>
          <cell r="D1562" t="str">
            <v>B</v>
          </cell>
          <cell r="E1562">
            <v>1</v>
          </cell>
          <cell r="F1562">
            <v>1</v>
          </cell>
          <cell r="G1562" t="str">
            <v>Felh.célú pénzeszközátvétel központi költségv. szervtől</v>
          </cell>
        </row>
        <row r="1563">
          <cell r="A1563" t="str">
            <v>90</v>
          </cell>
          <cell r="B1563" t="str">
            <v>80</v>
          </cell>
          <cell r="C1563" t="str">
            <v>1</v>
          </cell>
          <cell r="D1563" t="str">
            <v>B</v>
          </cell>
          <cell r="E1563">
            <v>1</v>
          </cell>
          <cell r="F1563">
            <v>1</v>
          </cell>
          <cell r="G1563" t="str">
            <v>Felh.célú pénzeszközátvétel fejezeti kezelésü előir.-tól</v>
          </cell>
        </row>
        <row r="1564">
          <cell r="A1564" t="str">
            <v>91</v>
          </cell>
          <cell r="B1564" t="str">
            <v>80</v>
          </cell>
          <cell r="C1564" t="str">
            <v>1</v>
          </cell>
          <cell r="D1564" t="str">
            <v>B</v>
          </cell>
          <cell r="E1564">
            <v>1</v>
          </cell>
          <cell r="F1564">
            <v>1</v>
          </cell>
          <cell r="G1564" t="str">
            <v>Felh.célú pénzeszközátvétel helyi önkormányzatoktól</v>
          </cell>
        </row>
        <row r="1565">
          <cell r="A1565" t="str">
            <v>92</v>
          </cell>
          <cell r="B1565" t="str">
            <v>80</v>
          </cell>
          <cell r="C1565" t="str">
            <v>1</v>
          </cell>
          <cell r="D1565" t="str">
            <v>B</v>
          </cell>
          <cell r="E1565">
            <v>1</v>
          </cell>
          <cell r="F1565">
            <v>1</v>
          </cell>
          <cell r="G1565" t="str">
            <v>Felh.célra átvétt pénzeszközök vállalkozásoktól</v>
          </cell>
        </row>
        <row r="1566">
          <cell r="A1566" t="str">
            <v>93</v>
          </cell>
          <cell r="B1566" t="str">
            <v>80</v>
          </cell>
          <cell r="C1566" t="str">
            <v>1</v>
          </cell>
          <cell r="D1566" t="str">
            <v>B</v>
          </cell>
          <cell r="E1566">
            <v>1</v>
          </cell>
          <cell r="F1566">
            <v>1</v>
          </cell>
          <cell r="G1566" t="str">
            <v>Felh.célra átvétt pénzeszközök pénzügyi vállalkozásoktól</v>
          </cell>
        </row>
        <row r="1567">
          <cell r="A1567" t="str">
            <v>94</v>
          </cell>
          <cell r="B1567" t="str">
            <v>80</v>
          </cell>
          <cell r="C1567" t="str">
            <v>1</v>
          </cell>
          <cell r="D1567" t="str">
            <v>B</v>
          </cell>
          <cell r="E1567">
            <v>1</v>
          </cell>
          <cell r="F1567">
            <v>1</v>
          </cell>
          <cell r="G1567" t="str">
            <v>Felh.célra átvett pénzeszközök háztartásoktól</v>
          </cell>
        </row>
        <row r="1568">
          <cell r="A1568" t="str">
            <v>95</v>
          </cell>
          <cell r="B1568" t="str">
            <v>80</v>
          </cell>
          <cell r="C1568" t="str">
            <v>1</v>
          </cell>
          <cell r="D1568" t="str">
            <v>B</v>
          </cell>
          <cell r="E1568">
            <v>1</v>
          </cell>
          <cell r="F1568">
            <v>1</v>
          </cell>
          <cell r="G1568" t="str">
            <v>Felh.célra átvett pénzeszközök non-profit szervezetektől</v>
          </cell>
        </row>
        <row r="1569">
          <cell r="A1569" t="str">
            <v>96</v>
          </cell>
          <cell r="B1569" t="str">
            <v>80</v>
          </cell>
          <cell r="C1569" t="str">
            <v>1</v>
          </cell>
          <cell r="D1569" t="str">
            <v>B</v>
          </cell>
          <cell r="E1569">
            <v>1</v>
          </cell>
          <cell r="F1569">
            <v>1</v>
          </cell>
          <cell r="G1569" t="str">
            <v>Felh.célra átvett pénzeszközök nemzetközi szervezetektől</v>
          </cell>
        </row>
        <row r="1570">
          <cell r="A1570" t="str">
            <v>97</v>
          </cell>
          <cell r="B1570" t="str">
            <v>80</v>
          </cell>
          <cell r="C1570" t="str">
            <v>1</v>
          </cell>
          <cell r="D1570" t="str">
            <v>B</v>
          </cell>
          <cell r="E1570">
            <v>1</v>
          </cell>
          <cell r="F1570">
            <v>1</v>
          </cell>
          <cell r="G1570" t="str">
            <v>Felh.célra kapott juttatások EU-tól</v>
          </cell>
        </row>
        <row r="1571">
          <cell r="A1571" t="str">
            <v>98</v>
          </cell>
          <cell r="B1571" t="str">
            <v>80</v>
          </cell>
          <cell r="C1571" t="str">
            <v>1</v>
          </cell>
          <cell r="D1571" t="str">
            <v>B</v>
          </cell>
          <cell r="E1571">
            <v>1</v>
          </cell>
          <cell r="F1571">
            <v>1</v>
          </cell>
          <cell r="G1571" t="str">
            <v>Felh.célra kapott juttatások kormányoktól</v>
          </cell>
        </row>
        <row r="1572">
          <cell r="A1572" t="str">
            <v>99</v>
          </cell>
          <cell r="B1572" t="str">
            <v>80</v>
          </cell>
          <cell r="C1572" t="str">
            <v>1</v>
          </cell>
          <cell r="D1572" t="str">
            <v>B</v>
          </cell>
          <cell r="E1572">
            <v>1</v>
          </cell>
          <cell r="F1572">
            <v>1</v>
          </cell>
          <cell r="G1572" t="str">
            <v>Felh.célra kapott juttatások külföldről(nem nemz.szerv.)</v>
          </cell>
        </row>
        <row r="1573">
          <cell r="A1573" t="str">
            <v>100</v>
          </cell>
          <cell r="B1573" t="str">
            <v>80</v>
          </cell>
          <cell r="C1573" t="str">
            <v>1</v>
          </cell>
          <cell r="D1573" t="str">
            <v>B</v>
          </cell>
          <cell r="E1573">
            <v>1</v>
          </cell>
          <cell r="F1573">
            <v>2</v>
          </cell>
          <cell r="G1573" t="str">
            <v>Felh.célra átvett pénzeszk. külföldi forrásból (96+...+99)</v>
          </cell>
        </row>
        <row r="1574">
          <cell r="A1574" t="str">
            <v>101</v>
          </cell>
          <cell r="B1574" t="str">
            <v>80</v>
          </cell>
          <cell r="C1574" t="str">
            <v>1</v>
          </cell>
          <cell r="D1574" t="str">
            <v>B</v>
          </cell>
          <cell r="E1574">
            <v>1</v>
          </cell>
          <cell r="F1574">
            <v>1</v>
          </cell>
          <cell r="G1574" t="str">
            <v>Önkormányzati lakások,egyéb helyiségek értékesítése,cseréje</v>
          </cell>
        </row>
        <row r="1575">
          <cell r="A1575" t="str">
            <v>102</v>
          </cell>
          <cell r="B1575" t="str">
            <v>80</v>
          </cell>
          <cell r="C1575" t="str">
            <v>1</v>
          </cell>
          <cell r="D1575" t="str">
            <v>B</v>
          </cell>
          <cell r="E1575">
            <v>1</v>
          </cell>
          <cell r="F1575">
            <v>1</v>
          </cell>
          <cell r="G1575" t="str">
            <v>Privatizácioból származó bevételek</v>
          </cell>
        </row>
        <row r="1576">
          <cell r="A1576" t="str">
            <v>103</v>
          </cell>
          <cell r="B1576" t="str">
            <v>80</v>
          </cell>
          <cell r="C1576" t="str">
            <v>1</v>
          </cell>
          <cell r="D1576" t="str">
            <v>B</v>
          </cell>
          <cell r="E1576">
            <v>1</v>
          </cell>
          <cell r="F1576">
            <v>1</v>
          </cell>
          <cell r="G1576" t="str">
            <v>Vállalatértékesítésből származó bevételek</v>
          </cell>
        </row>
        <row r="1577">
          <cell r="A1577" t="str">
            <v>104</v>
          </cell>
          <cell r="B1577" t="str">
            <v>80</v>
          </cell>
          <cell r="C1577" t="str">
            <v>1</v>
          </cell>
          <cell r="D1577" t="str">
            <v>B</v>
          </cell>
          <cell r="E1577">
            <v>1</v>
          </cell>
          <cell r="F1577">
            <v>1</v>
          </cell>
          <cell r="G1577" t="str">
            <v>Vagyoni értékű jog ért.,egyéb vagyonhasz.származó bevétel</v>
          </cell>
        </row>
        <row r="1578">
          <cell r="A1578" t="str">
            <v>105</v>
          </cell>
          <cell r="B1578" t="str">
            <v>80</v>
          </cell>
          <cell r="C1578" t="str">
            <v>1</v>
          </cell>
          <cell r="D1578" t="str">
            <v>B</v>
          </cell>
          <cell r="E1578">
            <v>1</v>
          </cell>
          <cell r="F1578">
            <v>4</v>
          </cell>
          <cell r="G1578" t="str">
            <v>Felhalmozási bevételek      (88+...+95+100+..+104)</v>
          </cell>
        </row>
        <row r="1579">
          <cell r="A1579" t="str">
            <v>106</v>
          </cell>
          <cell r="B1579" t="str">
            <v>80</v>
          </cell>
          <cell r="C1579" t="str">
            <v>1</v>
          </cell>
          <cell r="D1579" t="str">
            <v>B</v>
          </cell>
          <cell r="E1579">
            <v>1</v>
          </cell>
          <cell r="F1579">
            <v>1</v>
          </cell>
          <cell r="G1579" t="str">
            <v>Kölcsönök visszatérülése államháztartáson belülről</v>
          </cell>
        </row>
        <row r="1580">
          <cell r="A1580" t="str">
            <v>107</v>
          </cell>
          <cell r="B1580" t="str">
            <v>80</v>
          </cell>
          <cell r="C1580" t="str">
            <v>1</v>
          </cell>
          <cell r="D1580" t="str">
            <v>B</v>
          </cell>
          <cell r="E1580">
            <v>1</v>
          </cell>
          <cell r="F1580">
            <v>1</v>
          </cell>
          <cell r="G1580" t="str">
            <v>Kölcsönök visszatérülése államháztartáson kivülről</v>
          </cell>
        </row>
        <row r="1581">
          <cell r="A1581" t="str">
            <v>108</v>
          </cell>
          <cell r="B1581" t="str">
            <v>80</v>
          </cell>
          <cell r="C1581" t="str">
            <v>1</v>
          </cell>
          <cell r="D1581" t="str">
            <v>B</v>
          </cell>
          <cell r="E1581">
            <v>1</v>
          </cell>
          <cell r="F1581">
            <v>1</v>
          </cell>
          <cell r="G1581" t="str">
            <v>Kölcsönök igénybevétele államháztartáson belülről</v>
          </cell>
        </row>
        <row r="1582">
          <cell r="A1582" t="str">
            <v>109</v>
          </cell>
          <cell r="B1582" t="str">
            <v>80</v>
          </cell>
          <cell r="C1582" t="str">
            <v>1</v>
          </cell>
          <cell r="D1582" t="str">
            <v>B</v>
          </cell>
          <cell r="E1582">
            <v>1</v>
          </cell>
          <cell r="F1582">
            <v>1</v>
          </cell>
          <cell r="G1582" t="str">
            <v>Osztalékok, üzemeltetési és koncesszios díjak</v>
          </cell>
        </row>
        <row r="1583">
          <cell r="A1583" t="str">
            <v>110</v>
          </cell>
          <cell r="B1583" t="str">
            <v>80</v>
          </cell>
          <cell r="C1583" t="str">
            <v>1</v>
          </cell>
          <cell r="D1583" t="str">
            <v>B</v>
          </cell>
          <cell r="E1583">
            <v>1</v>
          </cell>
          <cell r="F1583">
            <v>1</v>
          </cell>
          <cell r="G1583" t="str">
            <v>Pénzügyi befektetések bevételeiből részedesések</v>
          </cell>
        </row>
        <row r="1584">
          <cell r="A1584" t="str">
            <v>111</v>
          </cell>
          <cell r="B1584" t="str">
            <v>80</v>
          </cell>
          <cell r="C1584" t="str">
            <v>1</v>
          </cell>
          <cell r="D1584" t="str">
            <v>B</v>
          </cell>
          <cell r="E1584">
            <v>1</v>
          </cell>
          <cell r="F1584">
            <v>4</v>
          </cell>
          <cell r="G1584" t="str">
            <v>Saját bevételek(56+..+60+69+...+74+85+86+87+105+...+110)</v>
          </cell>
        </row>
        <row r="1585">
          <cell r="A1585" t="str">
            <v>112</v>
          </cell>
          <cell r="B1585" t="str">
            <v>80</v>
          </cell>
          <cell r="C1585" t="str">
            <v>1</v>
          </cell>
          <cell r="D1585" t="str">
            <v>B</v>
          </cell>
          <cell r="E1585">
            <v>2</v>
          </cell>
          <cell r="F1585">
            <v>1</v>
          </cell>
          <cell r="G1585" t="str">
            <v>Önkormányzat költségvetési támogatása</v>
          </cell>
        </row>
        <row r="1586">
          <cell r="A1586" t="str">
            <v>113</v>
          </cell>
          <cell r="B1586" t="str">
            <v>80</v>
          </cell>
          <cell r="C1586" t="str">
            <v>1</v>
          </cell>
          <cell r="D1586" t="str">
            <v>B</v>
          </cell>
          <cell r="E1586">
            <v>1</v>
          </cell>
          <cell r="F1586">
            <v>1</v>
          </cell>
          <cell r="G1586" t="str">
            <v>Felügyeleti szervtől kapott támogatás</v>
          </cell>
        </row>
        <row r="1587">
          <cell r="A1587" t="str">
            <v>114</v>
          </cell>
          <cell r="B1587" t="str">
            <v>80</v>
          </cell>
          <cell r="C1587" t="str">
            <v>1</v>
          </cell>
          <cell r="D1587" t="str">
            <v>B</v>
          </cell>
          <cell r="E1587">
            <v>2</v>
          </cell>
          <cell r="F1587">
            <v>3</v>
          </cell>
          <cell r="G1587" t="str">
            <v>Tárgyévi kiadások és bevételek egyenlege (55-111-112-113)</v>
          </cell>
        </row>
        <row r="1588">
          <cell r="A1588" t="str">
            <v>115</v>
          </cell>
          <cell r="B1588" t="str">
            <v>80</v>
          </cell>
          <cell r="C1588" t="str">
            <v>1</v>
          </cell>
          <cell r="D1588" t="str">
            <v>B</v>
          </cell>
          <cell r="E1588">
            <v>2</v>
          </cell>
          <cell r="F1588">
            <v>1</v>
          </cell>
          <cell r="G1588" t="str">
            <v>Előző évi előirányzat-maradvány,pénzmaradv.igénybevétele</v>
          </cell>
        </row>
        <row r="1589">
          <cell r="A1589" t="str">
            <v>116</v>
          </cell>
          <cell r="B1589" t="str">
            <v>80</v>
          </cell>
          <cell r="C1589" t="str">
            <v>1</v>
          </cell>
          <cell r="D1589" t="str">
            <v>B</v>
          </cell>
          <cell r="E1589">
            <v>1</v>
          </cell>
          <cell r="F1589">
            <v>1</v>
          </cell>
          <cell r="G1589" t="str">
            <v>Rövid lejáratú hitelek törlesztése</v>
          </cell>
        </row>
        <row r="1590">
          <cell r="A1590" t="str">
            <v>117</v>
          </cell>
          <cell r="B1590" t="str">
            <v>80</v>
          </cell>
          <cell r="C1590" t="str">
            <v>1</v>
          </cell>
          <cell r="D1590" t="str">
            <v>B</v>
          </cell>
          <cell r="E1590">
            <v>1</v>
          </cell>
          <cell r="F1590">
            <v>1</v>
          </cell>
          <cell r="G1590" t="str">
            <v>Hosszú lejáratú hitelek törlesztése</v>
          </cell>
        </row>
        <row r="1591">
          <cell r="A1591" t="str">
            <v>118</v>
          </cell>
          <cell r="B1591" t="str">
            <v>80</v>
          </cell>
          <cell r="C1591" t="str">
            <v>1</v>
          </cell>
          <cell r="D1591" t="str">
            <v>B</v>
          </cell>
          <cell r="E1591">
            <v>1</v>
          </cell>
          <cell r="F1591">
            <v>1</v>
          </cell>
          <cell r="G1591" t="str">
            <v>Rövid lejáratú értékpapírok beváltása</v>
          </cell>
        </row>
        <row r="1592">
          <cell r="A1592" t="str">
            <v>119</v>
          </cell>
          <cell r="B1592" t="str">
            <v>80</v>
          </cell>
          <cell r="C1592" t="str">
            <v>1</v>
          </cell>
          <cell r="D1592" t="str">
            <v>B</v>
          </cell>
          <cell r="E1592">
            <v>1</v>
          </cell>
          <cell r="F1592">
            <v>1</v>
          </cell>
          <cell r="G1592" t="str">
            <v>Rövid lejáratú értékpapírok vásárlása</v>
          </cell>
        </row>
        <row r="1593">
          <cell r="A1593" t="str">
            <v>120</v>
          </cell>
          <cell r="B1593" t="str">
            <v>80</v>
          </cell>
          <cell r="C1593" t="str">
            <v>1</v>
          </cell>
          <cell r="D1593" t="str">
            <v>B</v>
          </cell>
          <cell r="E1593">
            <v>1</v>
          </cell>
          <cell r="F1593">
            <v>1</v>
          </cell>
          <cell r="G1593" t="str">
            <v>Hosszú lejáratú értékpapírok beváltása</v>
          </cell>
        </row>
        <row r="1594">
          <cell r="A1594" t="str">
            <v>121</v>
          </cell>
          <cell r="B1594" t="str">
            <v>80</v>
          </cell>
          <cell r="C1594" t="str">
            <v>1</v>
          </cell>
          <cell r="D1594" t="str">
            <v>B</v>
          </cell>
          <cell r="E1594">
            <v>1</v>
          </cell>
          <cell r="F1594">
            <v>1</v>
          </cell>
          <cell r="G1594" t="str">
            <v>Hosszú lejáratú értékpapírok vásárlása</v>
          </cell>
        </row>
        <row r="1595">
          <cell r="A1595" t="str">
            <v>122</v>
          </cell>
          <cell r="B1595" t="str">
            <v>80</v>
          </cell>
          <cell r="C1595" t="str">
            <v>1</v>
          </cell>
          <cell r="D1595" t="str">
            <v>B</v>
          </cell>
          <cell r="E1595">
            <v>1</v>
          </cell>
          <cell r="F1595">
            <v>1</v>
          </cell>
          <cell r="G1595" t="str">
            <v>Hosszú lejáratú külföldi értékpapírok beváltása</v>
          </cell>
        </row>
        <row r="1596">
          <cell r="A1596" t="str">
            <v>123</v>
          </cell>
          <cell r="B1596" t="str">
            <v>80</v>
          </cell>
          <cell r="C1596" t="str">
            <v>1</v>
          </cell>
          <cell r="D1596" t="str">
            <v>B</v>
          </cell>
          <cell r="E1596">
            <v>1</v>
          </cell>
          <cell r="F1596">
            <v>1</v>
          </cell>
          <cell r="G1596" t="str">
            <v>Hiteltörlesztés külföldre</v>
          </cell>
        </row>
        <row r="1597">
          <cell r="A1597" t="str">
            <v>124</v>
          </cell>
          <cell r="B1597" t="str">
            <v>80</v>
          </cell>
          <cell r="C1597" t="str">
            <v>1</v>
          </cell>
          <cell r="D1597" t="str">
            <v>B</v>
          </cell>
          <cell r="E1597">
            <v>1</v>
          </cell>
          <cell r="F1597">
            <v>1</v>
          </cell>
          <cell r="G1597" t="str">
            <v>Egyéb finanszírozás kiadásai</v>
          </cell>
        </row>
        <row r="1598">
          <cell r="A1598" t="str">
            <v>125</v>
          </cell>
          <cell r="B1598" t="str">
            <v>80</v>
          </cell>
          <cell r="C1598" t="str">
            <v>1</v>
          </cell>
          <cell r="D1598" t="str">
            <v>B</v>
          </cell>
          <cell r="E1598">
            <v>1</v>
          </cell>
          <cell r="F1598">
            <v>4</v>
          </cell>
          <cell r="G1598" t="str">
            <v>Finanszírozási kiadások                (116+...+124)</v>
          </cell>
        </row>
        <row r="1599">
          <cell r="A1599" t="str">
            <v>126</v>
          </cell>
          <cell r="B1599" t="str">
            <v>80</v>
          </cell>
          <cell r="C1599" t="str">
            <v>1</v>
          </cell>
          <cell r="D1599" t="str">
            <v>B</v>
          </cell>
          <cell r="E1599">
            <v>2</v>
          </cell>
          <cell r="F1599">
            <v>1</v>
          </cell>
          <cell r="G1599" t="str">
            <v>Rövid lejáratú hitelek bevételei</v>
          </cell>
        </row>
        <row r="1600">
          <cell r="A1600" t="str">
            <v>127</v>
          </cell>
          <cell r="B1600" t="str">
            <v>80</v>
          </cell>
          <cell r="C1600" t="str">
            <v>1</v>
          </cell>
          <cell r="D1600" t="str">
            <v>B</v>
          </cell>
          <cell r="E1600">
            <v>1</v>
          </cell>
          <cell r="F1600">
            <v>1</v>
          </cell>
          <cell r="G1600" t="str">
            <v>Hosszú lejáratú hitelek bevételei</v>
          </cell>
        </row>
        <row r="1601">
          <cell r="A1601" t="str">
            <v>128</v>
          </cell>
          <cell r="B1601" t="str">
            <v>80</v>
          </cell>
          <cell r="C1601" t="str">
            <v>1</v>
          </cell>
          <cell r="D1601" t="str">
            <v>B</v>
          </cell>
          <cell r="E1601">
            <v>1</v>
          </cell>
          <cell r="F1601">
            <v>1</v>
          </cell>
          <cell r="G1601" t="str">
            <v>Rövid lejáratú értékpapírok kibocsátása</v>
          </cell>
        </row>
        <row r="1602">
          <cell r="A1602" t="str">
            <v>129</v>
          </cell>
          <cell r="B1602" t="str">
            <v>80</v>
          </cell>
          <cell r="C1602" t="str">
            <v>1</v>
          </cell>
          <cell r="D1602" t="str">
            <v>B</v>
          </cell>
          <cell r="E1602">
            <v>1</v>
          </cell>
          <cell r="F1602">
            <v>1</v>
          </cell>
          <cell r="G1602" t="str">
            <v>Rövid lejáratú értékpapírok értékesítése</v>
          </cell>
        </row>
        <row r="1603">
          <cell r="A1603" t="str">
            <v>130</v>
          </cell>
          <cell r="B1603" t="str">
            <v>80</v>
          </cell>
          <cell r="C1603" t="str">
            <v>1</v>
          </cell>
          <cell r="D1603" t="str">
            <v>B</v>
          </cell>
          <cell r="E1603">
            <v>1</v>
          </cell>
          <cell r="F1603">
            <v>1</v>
          </cell>
          <cell r="G1603" t="str">
            <v>Hosszú lejáratú belföldi értékpapírok kibocsátása</v>
          </cell>
        </row>
        <row r="1604">
          <cell r="A1604" t="str">
            <v>131</v>
          </cell>
          <cell r="B1604" t="str">
            <v>80</v>
          </cell>
          <cell r="C1604" t="str">
            <v>1</v>
          </cell>
          <cell r="D1604" t="str">
            <v>B</v>
          </cell>
          <cell r="E1604">
            <v>1</v>
          </cell>
          <cell r="F1604">
            <v>1</v>
          </cell>
          <cell r="G1604" t="str">
            <v>Hosszú lejáratú értékpapírok értékesítése</v>
          </cell>
        </row>
        <row r="1605">
          <cell r="A1605" t="str">
            <v>132</v>
          </cell>
          <cell r="B1605" t="str">
            <v>80</v>
          </cell>
          <cell r="C1605" t="str">
            <v>1</v>
          </cell>
          <cell r="D1605" t="str">
            <v>B</v>
          </cell>
          <cell r="E1605">
            <v>1</v>
          </cell>
          <cell r="F1605">
            <v>1</v>
          </cell>
          <cell r="G1605" t="str">
            <v>Hosszú lejáratú külföldi értékpapírok kibocsátása</v>
          </cell>
        </row>
        <row r="1606">
          <cell r="A1606" t="str">
            <v>133</v>
          </cell>
          <cell r="B1606" t="str">
            <v>80</v>
          </cell>
          <cell r="C1606" t="str">
            <v>1</v>
          </cell>
          <cell r="D1606" t="str">
            <v>B</v>
          </cell>
          <cell r="E1606">
            <v>1</v>
          </cell>
          <cell r="F1606">
            <v>1</v>
          </cell>
          <cell r="G1606" t="str">
            <v>Hitelfelvétel külföldről</v>
          </cell>
        </row>
        <row r="1607">
          <cell r="A1607" t="str">
            <v>134</v>
          </cell>
          <cell r="B1607" t="str">
            <v>80</v>
          </cell>
          <cell r="C1607" t="str">
            <v>1</v>
          </cell>
          <cell r="D1607" t="str">
            <v>B</v>
          </cell>
          <cell r="E1607">
            <v>1</v>
          </cell>
          <cell r="F1607">
            <v>1</v>
          </cell>
          <cell r="G1607" t="str">
            <v>Egyéb finanszírozás bevételei</v>
          </cell>
        </row>
        <row r="1608">
          <cell r="A1608" t="str">
            <v>135</v>
          </cell>
          <cell r="B1608" t="str">
            <v>80</v>
          </cell>
          <cell r="C1608" t="str">
            <v>1</v>
          </cell>
          <cell r="D1608" t="str">
            <v>B</v>
          </cell>
          <cell r="E1608">
            <v>1</v>
          </cell>
          <cell r="F1608">
            <v>4</v>
          </cell>
          <cell r="G1608" t="str">
            <v>Finanszírozási bevételek               (126+...+134)</v>
          </cell>
        </row>
        <row r="1609">
          <cell r="A1609" t="str">
            <v>136</v>
          </cell>
          <cell r="B1609" t="str">
            <v>80</v>
          </cell>
          <cell r="C1609" t="str">
            <v>1</v>
          </cell>
          <cell r="D1609" t="str">
            <v>B</v>
          </cell>
          <cell r="E1609">
            <v>1</v>
          </cell>
          <cell r="F1609">
            <v>4</v>
          </cell>
          <cell r="G1609" t="str">
            <v>Finanszírozás  összesen          (115-125+135)=(114)</v>
          </cell>
        </row>
        <row r="1610">
          <cell r="A1610" t="str">
            <v>137</v>
          </cell>
          <cell r="B1610" t="str">
            <v>80</v>
          </cell>
          <cell r="C1610" t="str">
            <v>1</v>
          </cell>
          <cell r="D1610" t="str">
            <v>B</v>
          </cell>
          <cell r="E1610">
            <v>2</v>
          </cell>
          <cell r="F1610">
            <v>1</v>
          </cell>
          <cell r="G1610" t="str">
            <v>Pénzkészl./pénztár,bank.vált.(111+112+113+28-55-125+135)</v>
          </cell>
        </row>
        <row r="1611">
          <cell r="A1611" t="str">
            <v>138</v>
          </cell>
          <cell r="B1611" t="str">
            <v>80</v>
          </cell>
          <cell r="C1611" t="str">
            <v>1</v>
          </cell>
          <cell r="D1611" t="str">
            <v>B</v>
          </cell>
          <cell r="E1611">
            <v>2</v>
          </cell>
          <cell r="F1611">
            <v>1</v>
          </cell>
          <cell r="G1611" t="str">
            <v>Pénzkészlet január 1-én</v>
          </cell>
        </row>
        <row r="1612">
          <cell r="A1612" t="str">
            <v>139</v>
          </cell>
          <cell r="B1612" t="str">
            <v>80</v>
          </cell>
          <cell r="C1612" t="str">
            <v>1</v>
          </cell>
          <cell r="D1612" t="str">
            <v>B</v>
          </cell>
          <cell r="E1612">
            <v>1</v>
          </cell>
          <cell r="F1612">
            <v>1</v>
          </cell>
          <cell r="G1612" t="str">
            <v>Pénzkészlet a tárgyidőszak végén (137+138)</v>
          </cell>
        </row>
        <row r="1613">
          <cell r="A1613" t="str">
            <v>140</v>
          </cell>
          <cell r="B1613" t="str">
            <v>80</v>
          </cell>
          <cell r="C1613" t="str">
            <v>1</v>
          </cell>
          <cell r="D1613" t="str">
            <v>B</v>
          </cell>
          <cell r="E1613">
            <v>2</v>
          </cell>
          <cell r="F1613">
            <v>1</v>
          </cell>
          <cell r="G1613" t="str">
            <v>Foglalkoztatottak létszám (fő) - időszakra</v>
          </cell>
        </row>
        <row r="1614">
          <cell r="A1614" t="str">
            <v>141</v>
          </cell>
          <cell r="B1614" t="str">
            <v>80</v>
          </cell>
          <cell r="C1614" t="str">
            <v>1</v>
          </cell>
          <cell r="D1614" t="str">
            <v>B</v>
          </cell>
          <cell r="E1614">
            <v>1</v>
          </cell>
          <cell r="F1614">
            <v>1</v>
          </cell>
          <cell r="G1614" t="str">
            <v>Munkajogi létszám a tárgyidőszak végén</v>
          </cell>
        </row>
        <row r="1615">
          <cell r="A1615" t="str">
            <v>1</v>
          </cell>
          <cell r="B1615" t="str">
            <v>81</v>
          </cell>
          <cell r="C1615" t="str">
            <v>1</v>
          </cell>
          <cell r="D1615" t="str">
            <v>B</v>
          </cell>
          <cell r="E1615">
            <v>1</v>
          </cell>
          <cell r="F1615">
            <v>0</v>
          </cell>
          <cell r="G1615" t="str">
            <v>Személyi juttatások</v>
          </cell>
        </row>
        <row r="1616">
          <cell r="A1616" t="str">
            <v>2</v>
          </cell>
          <cell r="B1616" t="str">
            <v>81</v>
          </cell>
          <cell r="C1616" t="str">
            <v>1</v>
          </cell>
          <cell r="D1616" t="str">
            <v>B</v>
          </cell>
          <cell r="E1616">
            <v>1</v>
          </cell>
          <cell r="F1616">
            <v>1</v>
          </cell>
          <cell r="G1616" t="str">
            <v>Társadalombiztosítási járulék, eü. és táppénz-hozzájár.</v>
          </cell>
        </row>
        <row r="1617">
          <cell r="A1617" t="str">
            <v>3</v>
          </cell>
          <cell r="B1617" t="str">
            <v>81</v>
          </cell>
          <cell r="C1617" t="str">
            <v>1</v>
          </cell>
          <cell r="D1617" t="str">
            <v>B</v>
          </cell>
          <cell r="E1617">
            <v>1</v>
          </cell>
          <cell r="F1617">
            <v>1</v>
          </cell>
          <cell r="G1617" t="str">
            <v>Munkaadói járulék</v>
          </cell>
        </row>
        <row r="1618">
          <cell r="A1618" t="str">
            <v>4</v>
          </cell>
          <cell r="B1618" t="str">
            <v>81</v>
          </cell>
          <cell r="C1618" t="str">
            <v>1</v>
          </cell>
          <cell r="D1618" t="str">
            <v>B</v>
          </cell>
          <cell r="E1618">
            <v>1</v>
          </cell>
          <cell r="F1618">
            <v>0</v>
          </cell>
          <cell r="G1618" t="str">
            <v>Munkaadókat terhelö járulékok (02+03)</v>
          </cell>
        </row>
        <row r="1619">
          <cell r="A1619" t="str">
            <v>5</v>
          </cell>
          <cell r="B1619" t="str">
            <v>81</v>
          </cell>
          <cell r="C1619" t="str">
            <v>1</v>
          </cell>
          <cell r="D1619" t="str">
            <v>B</v>
          </cell>
          <cell r="E1619">
            <v>1</v>
          </cell>
          <cell r="F1619">
            <v>1</v>
          </cell>
          <cell r="G1619" t="str">
            <v>Dologi kiadások</v>
          </cell>
        </row>
        <row r="1620">
          <cell r="A1620" t="str">
            <v>6</v>
          </cell>
          <cell r="B1620" t="str">
            <v>81</v>
          </cell>
          <cell r="C1620" t="str">
            <v>1</v>
          </cell>
          <cell r="D1620" t="str">
            <v>B</v>
          </cell>
          <cell r="E1620">
            <v>1</v>
          </cell>
          <cell r="F1620">
            <v>1</v>
          </cell>
          <cell r="G1620" t="str">
            <v>Egyéb folyó kiadások (kamat nélkül)</v>
          </cell>
        </row>
        <row r="1621">
          <cell r="A1621" t="str">
            <v>7</v>
          </cell>
          <cell r="B1621" t="str">
            <v>81</v>
          </cell>
          <cell r="C1621" t="str">
            <v>1</v>
          </cell>
          <cell r="D1621" t="str">
            <v>B</v>
          </cell>
          <cell r="E1621">
            <v>1</v>
          </cell>
          <cell r="F1621">
            <v>0</v>
          </cell>
          <cell r="G1621" t="str">
            <v>Dologi és folyó kiadások (05+06)</v>
          </cell>
        </row>
        <row r="1622">
          <cell r="A1622" t="str">
            <v>8</v>
          </cell>
          <cell r="B1622" t="str">
            <v>81</v>
          </cell>
          <cell r="C1622" t="str">
            <v>1</v>
          </cell>
          <cell r="D1622" t="str">
            <v>B</v>
          </cell>
          <cell r="E1622">
            <v>1</v>
          </cell>
          <cell r="F1622">
            <v>0</v>
          </cell>
          <cell r="G1622" t="str">
            <v>Ellátottak pénzbeli juttatásai</v>
          </cell>
        </row>
        <row r="1623">
          <cell r="A1623" t="str">
            <v>9</v>
          </cell>
          <cell r="B1623" t="str">
            <v>81</v>
          </cell>
          <cell r="C1623" t="str">
            <v>1</v>
          </cell>
          <cell r="D1623" t="str">
            <v>B</v>
          </cell>
          <cell r="E1623">
            <v>1</v>
          </cell>
          <cell r="F1623">
            <v>1</v>
          </cell>
          <cell r="G1623" t="str">
            <v>Müködési célú pénzeszk.átadás áht-on belül</v>
          </cell>
        </row>
        <row r="1624">
          <cell r="A1624" t="str">
            <v>10</v>
          </cell>
          <cell r="B1624" t="str">
            <v>81</v>
          </cell>
          <cell r="C1624" t="str">
            <v>1</v>
          </cell>
          <cell r="D1624" t="str">
            <v>B</v>
          </cell>
          <cell r="E1624">
            <v>1</v>
          </cell>
          <cell r="F1624">
            <v>1</v>
          </cell>
          <cell r="G1624" t="str">
            <v>Müködési célú pénzeszk.átadás áht-on kivülre</v>
          </cell>
        </row>
        <row r="1625">
          <cell r="A1625" t="str">
            <v>11</v>
          </cell>
          <cell r="B1625" t="str">
            <v>81</v>
          </cell>
          <cell r="C1625" t="str">
            <v>1</v>
          </cell>
          <cell r="D1625" t="str">
            <v>B</v>
          </cell>
          <cell r="E1625">
            <v>1</v>
          </cell>
          <cell r="F1625">
            <v>1</v>
          </cell>
          <cell r="G1625" t="str">
            <v>Társadalom- és szoc.pol. juttatások és egyéb tb. ell.</v>
          </cell>
        </row>
        <row r="1626">
          <cell r="A1626" t="str">
            <v>12</v>
          </cell>
          <cell r="B1626" t="str">
            <v>81</v>
          </cell>
          <cell r="C1626" t="str">
            <v>1</v>
          </cell>
          <cell r="D1626" t="str">
            <v>B</v>
          </cell>
          <cell r="E1626">
            <v>1</v>
          </cell>
          <cell r="F1626">
            <v>1</v>
          </cell>
          <cell r="G1626" t="str">
            <v>Tervezett maradadvány, eredmény, tartalék</v>
          </cell>
        </row>
        <row r="1627">
          <cell r="A1627" t="str">
            <v>13</v>
          </cell>
          <cell r="B1627" t="str">
            <v>81</v>
          </cell>
          <cell r="C1627" t="str">
            <v>1</v>
          </cell>
          <cell r="D1627" t="str">
            <v>B</v>
          </cell>
          <cell r="E1627">
            <v>1</v>
          </cell>
          <cell r="F1627">
            <v>0</v>
          </cell>
          <cell r="G1627" t="str">
            <v>Egyéb müködési célú támogatás, kiadások (09+10+11+12)</v>
          </cell>
        </row>
        <row r="1628">
          <cell r="A1628" t="str">
            <v>14</v>
          </cell>
          <cell r="B1628" t="str">
            <v>81</v>
          </cell>
          <cell r="C1628" t="str">
            <v>1</v>
          </cell>
          <cell r="D1628" t="str">
            <v>B</v>
          </cell>
          <cell r="E1628">
            <v>1</v>
          </cell>
          <cell r="F1628">
            <v>0</v>
          </cell>
          <cell r="G1628" t="str">
            <v>Kamatkiadások</v>
          </cell>
        </row>
        <row r="1629">
          <cell r="A1629" t="str">
            <v>15</v>
          </cell>
          <cell r="B1629" t="str">
            <v>81</v>
          </cell>
          <cell r="C1629" t="str">
            <v>1</v>
          </cell>
          <cell r="D1629" t="str">
            <v>B</v>
          </cell>
          <cell r="E1629">
            <v>1</v>
          </cell>
          <cell r="F1629">
            <v>0</v>
          </cell>
          <cell r="G1629" t="str">
            <v>Felújítás</v>
          </cell>
        </row>
        <row r="1630">
          <cell r="A1630" t="str">
            <v>16</v>
          </cell>
          <cell r="B1630" t="str">
            <v>81</v>
          </cell>
          <cell r="C1630" t="str">
            <v>1</v>
          </cell>
          <cell r="D1630" t="str">
            <v>B</v>
          </cell>
          <cell r="E1630">
            <v>1</v>
          </cell>
          <cell r="F1630">
            <v>0</v>
          </cell>
          <cell r="G1630" t="str">
            <v>Intézményi beruházási kiadások</v>
          </cell>
        </row>
        <row r="1631">
          <cell r="A1631" t="str">
            <v>17</v>
          </cell>
          <cell r="B1631" t="str">
            <v>81</v>
          </cell>
          <cell r="C1631" t="str">
            <v>1</v>
          </cell>
          <cell r="D1631" t="str">
            <v>B</v>
          </cell>
          <cell r="E1631">
            <v>1</v>
          </cell>
          <cell r="F1631">
            <v>1</v>
          </cell>
          <cell r="G1631" t="str">
            <v>Felhalmozási célú pénzeszk. átadás áht-on belülre</v>
          </cell>
        </row>
        <row r="1632">
          <cell r="A1632" t="str">
            <v>18</v>
          </cell>
          <cell r="B1632" t="str">
            <v>81</v>
          </cell>
          <cell r="C1632" t="str">
            <v>1</v>
          </cell>
          <cell r="D1632" t="str">
            <v>B</v>
          </cell>
          <cell r="E1632">
            <v>1</v>
          </cell>
          <cell r="F1632">
            <v>1</v>
          </cell>
          <cell r="G1632" t="str">
            <v>Felhalmozási célú pénzeszk. átadás áht-on kivülre</v>
          </cell>
        </row>
        <row r="1633">
          <cell r="A1633" t="str">
            <v>19</v>
          </cell>
          <cell r="B1633" t="str">
            <v>81</v>
          </cell>
          <cell r="C1633" t="str">
            <v>1</v>
          </cell>
          <cell r="D1633" t="str">
            <v>B</v>
          </cell>
          <cell r="E1633">
            <v>1</v>
          </cell>
          <cell r="F1633">
            <v>1</v>
          </cell>
          <cell r="G1633" t="str">
            <v>Intézményi egyéb felhalm. kiadások</v>
          </cell>
        </row>
        <row r="1634">
          <cell r="A1634" t="str">
            <v>20</v>
          </cell>
          <cell r="B1634" t="str">
            <v>81</v>
          </cell>
          <cell r="C1634" t="str">
            <v>1</v>
          </cell>
          <cell r="D1634" t="str">
            <v>B</v>
          </cell>
          <cell r="E1634">
            <v>1</v>
          </cell>
          <cell r="F1634">
            <v>0</v>
          </cell>
          <cell r="G1634" t="str">
            <v>Egyéb felhalmozási kiadások (17+18+19)</v>
          </cell>
        </row>
        <row r="1635">
          <cell r="A1635" t="str">
            <v>21</v>
          </cell>
          <cell r="B1635" t="str">
            <v>81</v>
          </cell>
          <cell r="C1635" t="str">
            <v>1</v>
          </cell>
          <cell r="D1635" t="str">
            <v>B</v>
          </cell>
          <cell r="E1635">
            <v>1</v>
          </cell>
          <cell r="F1635">
            <v>1</v>
          </cell>
          <cell r="G1635" t="str">
            <v>Központi beruházási kiadások</v>
          </cell>
        </row>
        <row r="1636">
          <cell r="A1636" t="str">
            <v>22</v>
          </cell>
          <cell r="B1636" t="str">
            <v>81</v>
          </cell>
          <cell r="C1636" t="str">
            <v>1</v>
          </cell>
          <cell r="D1636" t="str">
            <v>B</v>
          </cell>
          <cell r="E1636">
            <v>1</v>
          </cell>
          <cell r="F1636">
            <v>1</v>
          </cell>
          <cell r="G1636" t="str">
            <v>Lakástámogatás</v>
          </cell>
        </row>
        <row r="1637">
          <cell r="A1637" t="str">
            <v>23</v>
          </cell>
          <cell r="B1637" t="str">
            <v>81</v>
          </cell>
          <cell r="C1637" t="str">
            <v>1</v>
          </cell>
          <cell r="D1637" t="str">
            <v>B</v>
          </cell>
          <cell r="E1637">
            <v>1</v>
          </cell>
          <cell r="F1637">
            <v>1</v>
          </cell>
          <cell r="G1637" t="str">
            <v>Lakásépítés</v>
          </cell>
        </row>
        <row r="1638">
          <cell r="A1638" t="str">
            <v>24</v>
          </cell>
          <cell r="B1638" t="str">
            <v>81</v>
          </cell>
          <cell r="C1638" t="str">
            <v>1</v>
          </cell>
          <cell r="D1638" t="str">
            <v>B</v>
          </cell>
          <cell r="E1638">
            <v>1</v>
          </cell>
          <cell r="F1638">
            <v>0</v>
          </cell>
          <cell r="G1638" t="str">
            <v>Központi beruházások (21+22+23)</v>
          </cell>
        </row>
        <row r="1639">
          <cell r="A1639" t="str">
            <v>25</v>
          </cell>
          <cell r="B1639" t="str">
            <v>81</v>
          </cell>
          <cell r="C1639" t="str">
            <v>1</v>
          </cell>
          <cell r="D1639" t="str">
            <v>B</v>
          </cell>
          <cell r="E1639">
            <v>1</v>
          </cell>
          <cell r="F1639">
            <v>0</v>
          </cell>
          <cell r="G1639" t="str">
            <v>Egyéb beruházások és fejlesztési támogatások</v>
          </cell>
        </row>
        <row r="1640">
          <cell r="A1640" t="str">
            <v>26</v>
          </cell>
          <cell r="B1640" t="str">
            <v>81</v>
          </cell>
          <cell r="C1640" t="str">
            <v>1</v>
          </cell>
          <cell r="D1640" t="str">
            <v>B</v>
          </cell>
          <cell r="E1640">
            <v>1</v>
          </cell>
          <cell r="F1640">
            <v>0</v>
          </cell>
          <cell r="G1640" t="str">
            <v>Kölcsönök nyújtása és törlesztése</v>
          </cell>
        </row>
        <row r="1641">
          <cell r="A1641" t="str">
            <v>27</v>
          </cell>
          <cell r="B1641" t="str">
            <v>81</v>
          </cell>
          <cell r="C1641" t="str">
            <v>1</v>
          </cell>
          <cell r="D1641" t="str">
            <v>B</v>
          </cell>
          <cell r="E1641">
            <v>1</v>
          </cell>
          <cell r="F1641">
            <v>0</v>
          </cell>
          <cell r="G1641" t="str">
            <v>TÖRVÉNY SZERINTI KIADÁSOK (01+04+07+08+13+..+16+20+24+25+26)</v>
          </cell>
        </row>
        <row r="1642">
          <cell r="A1642" t="str">
            <v>28</v>
          </cell>
          <cell r="B1642" t="str">
            <v>81</v>
          </cell>
          <cell r="C1642" t="str">
            <v>1</v>
          </cell>
          <cell r="D1642" t="str">
            <v>B</v>
          </cell>
          <cell r="E1642">
            <v>1</v>
          </cell>
          <cell r="F1642">
            <v>0</v>
          </cell>
          <cell r="G1642" t="str">
            <v>Intézményi müködési bevételek</v>
          </cell>
        </row>
        <row r="1643">
          <cell r="A1643" t="str">
            <v>29</v>
          </cell>
          <cell r="B1643" t="str">
            <v>81</v>
          </cell>
          <cell r="C1643" t="str">
            <v>1</v>
          </cell>
          <cell r="D1643" t="str">
            <v>B</v>
          </cell>
          <cell r="E1643">
            <v>1</v>
          </cell>
          <cell r="F1643">
            <v>0</v>
          </cell>
          <cell r="G1643" t="str">
            <v>Kamatbevétel</v>
          </cell>
        </row>
        <row r="1644">
          <cell r="A1644" t="str">
            <v>30</v>
          </cell>
          <cell r="B1644" t="str">
            <v>81</v>
          </cell>
          <cell r="C1644" t="str">
            <v>1</v>
          </cell>
          <cell r="D1644" t="str">
            <v>B</v>
          </cell>
          <cell r="E1644">
            <v>1</v>
          </cell>
          <cell r="F1644">
            <v>0</v>
          </cell>
          <cell r="G1644" t="str">
            <v>Müködési célú pénzeszköz-átvétel TB alapoktól</v>
          </cell>
        </row>
        <row r="1645">
          <cell r="A1645" t="str">
            <v>31</v>
          </cell>
          <cell r="B1645" t="str">
            <v>81</v>
          </cell>
          <cell r="C1645" t="str">
            <v>1</v>
          </cell>
          <cell r="D1645" t="str">
            <v>B</v>
          </cell>
          <cell r="E1645">
            <v>1</v>
          </cell>
          <cell r="F1645">
            <v>1</v>
          </cell>
          <cell r="G1645" t="str">
            <v>Müködési célú pénzeszköz-átvétel elkül.állami pénzalapoktól</v>
          </cell>
        </row>
        <row r="1646">
          <cell r="A1646" t="str">
            <v>32</v>
          </cell>
          <cell r="B1646" t="str">
            <v>81</v>
          </cell>
          <cell r="C1646" t="str">
            <v>1</v>
          </cell>
          <cell r="D1646" t="str">
            <v>B</v>
          </cell>
          <cell r="E1646">
            <v>1</v>
          </cell>
          <cell r="F1646">
            <v>1</v>
          </cell>
          <cell r="G1646" t="str">
            <v>Költségvetési kiegészitések, visszatérülések</v>
          </cell>
        </row>
        <row r="1647">
          <cell r="A1647" t="str">
            <v>33</v>
          </cell>
          <cell r="B1647" t="str">
            <v>81</v>
          </cell>
          <cell r="C1647" t="str">
            <v>1</v>
          </cell>
          <cell r="D1647" t="str">
            <v>B</v>
          </cell>
          <cell r="E1647">
            <v>1</v>
          </cell>
          <cell r="F1647">
            <v>1</v>
          </cell>
          <cell r="G1647" t="str">
            <v>Egyéb müködési célú pénzeszk. átvétel áht-on belül</v>
          </cell>
        </row>
        <row r="1648">
          <cell r="A1648" t="str">
            <v>34</v>
          </cell>
          <cell r="B1648" t="str">
            <v>81</v>
          </cell>
          <cell r="C1648" t="str">
            <v>1</v>
          </cell>
          <cell r="D1648" t="str">
            <v>B</v>
          </cell>
          <cell r="E1648">
            <v>1</v>
          </cell>
          <cell r="F1648">
            <v>0</v>
          </cell>
          <cell r="G1648" t="str">
            <v>Müködési célra átvett pénzeszköz áht-on kívülröl</v>
          </cell>
        </row>
        <row r="1649">
          <cell r="A1649" t="str">
            <v>35</v>
          </cell>
          <cell r="B1649" t="str">
            <v>81</v>
          </cell>
          <cell r="C1649" t="str">
            <v>1</v>
          </cell>
          <cell r="D1649" t="str">
            <v>B</v>
          </cell>
          <cell r="E1649">
            <v>1</v>
          </cell>
          <cell r="F1649">
            <v>0</v>
          </cell>
          <cell r="G1649" t="str">
            <v>Egyéb müködési célú pénzeszköz átvétel, bevétel (32+33+34)</v>
          </cell>
        </row>
        <row r="1650">
          <cell r="A1650" t="str">
            <v>36</v>
          </cell>
          <cell r="B1650" t="str">
            <v>81</v>
          </cell>
          <cell r="C1650" t="str">
            <v>1</v>
          </cell>
          <cell r="D1650" t="str">
            <v>B</v>
          </cell>
          <cell r="E1650">
            <v>1</v>
          </cell>
          <cell r="F1650">
            <v>0</v>
          </cell>
          <cell r="G1650" t="str">
            <v>Felhalm. célú pénzeszk. átvétel TB alapoktól és kezelöitöl</v>
          </cell>
        </row>
        <row r="1651">
          <cell r="A1651" t="str">
            <v>37</v>
          </cell>
          <cell r="B1651" t="str">
            <v>81</v>
          </cell>
          <cell r="C1651" t="str">
            <v>1</v>
          </cell>
          <cell r="D1651" t="str">
            <v>B</v>
          </cell>
          <cell r="E1651">
            <v>1</v>
          </cell>
          <cell r="F1651">
            <v>1</v>
          </cell>
          <cell r="G1651" t="str">
            <v>Felhalm. célú pénzeszk. átvétel elkülönitett áll-i alapoktól</v>
          </cell>
        </row>
        <row r="1652">
          <cell r="A1652" t="str">
            <v>38</v>
          </cell>
          <cell r="B1652" t="str">
            <v>81</v>
          </cell>
          <cell r="C1652" t="str">
            <v>1</v>
          </cell>
          <cell r="D1652" t="str">
            <v>B</v>
          </cell>
          <cell r="E1652">
            <v>1</v>
          </cell>
          <cell r="F1652">
            <v>1</v>
          </cell>
          <cell r="G1652" t="str">
            <v>Felhalmozási és töke jellegü bevételek</v>
          </cell>
        </row>
        <row r="1653">
          <cell r="A1653" t="str">
            <v>39</v>
          </cell>
          <cell r="B1653" t="str">
            <v>81</v>
          </cell>
          <cell r="C1653" t="str">
            <v>1</v>
          </cell>
          <cell r="D1653" t="str">
            <v>B</v>
          </cell>
          <cell r="E1653">
            <v>1</v>
          </cell>
          <cell r="F1653">
            <v>1</v>
          </cell>
          <cell r="G1653" t="str">
            <v>Egyéb felhalmozási célú pénzeszk. átvétel áht-on belül</v>
          </cell>
        </row>
        <row r="1654">
          <cell r="A1654" t="str">
            <v>40</v>
          </cell>
          <cell r="B1654" t="str">
            <v>81</v>
          </cell>
          <cell r="C1654" t="str">
            <v>1</v>
          </cell>
          <cell r="D1654" t="str">
            <v>B</v>
          </cell>
          <cell r="E1654">
            <v>1</v>
          </cell>
          <cell r="F1654">
            <v>0</v>
          </cell>
          <cell r="G1654" t="str">
            <v>Felhalmozási célra átvett pénzeszköz áht-on kívülröl</v>
          </cell>
        </row>
        <row r="1655">
          <cell r="A1655" t="str">
            <v>41</v>
          </cell>
          <cell r="B1655" t="str">
            <v>81</v>
          </cell>
          <cell r="C1655" t="str">
            <v>1</v>
          </cell>
          <cell r="D1655" t="str">
            <v>B</v>
          </cell>
          <cell r="E1655">
            <v>1</v>
          </cell>
          <cell r="F1655">
            <v>0</v>
          </cell>
          <cell r="G1655" t="str">
            <v>Egyéb felhalm. célú pénzeszk. átvétel,bevétel (38+39+40)</v>
          </cell>
        </row>
        <row r="1656">
          <cell r="A1656" t="str">
            <v>42</v>
          </cell>
          <cell r="B1656" t="str">
            <v>81</v>
          </cell>
          <cell r="C1656" t="str">
            <v>1</v>
          </cell>
          <cell r="D1656" t="str">
            <v>B</v>
          </cell>
          <cell r="E1656">
            <v>1</v>
          </cell>
          <cell r="F1656">
            <v>0</v>
          </cell>
          <cell r="G1656" t="str">
            <v>Kölcsön visszatérülése és igénybevétele</v>
          </cell>
        </row>
        <row r="1657">
          <cell r="A1657" t="str">
            <v>43</v>
          </cell>
          <cell r="B1657" t="str">
            <v>81</v>
          </cell>
          <cell r="C1657" t="str">
            <v>1</v>
          </cell>
          <cell r="D1657" t="str">
            <v>B</v>
          </cell>
          <cell r="E1657">
            <v>1</v>
          </cell>
          <cell r="F1657">
            <v>0</v>
          </cell>
          <cell r="G1657" t="str">
            <v>TÖRVÉNY SZERINTI BEVÉTELEK (28+..+30+34+..+36+40+41+42)</v>
          </cell>
        </row>
        <row r="1658">
          <cell r="A1658" t="str">
            <v>44</v>
          </cell>
          <cell r="B1658" t="str">
            <v>81</v>
          </cell>
          <cell r="C1658" t="str">
            <v>1</v>
          </cell>
          <cell r="D1658" t="str">
            <v>B</v>
          </cell>
          <cell r="E1658">
            <v>1</v>
          </cell>
          <cell r="F1658">
            <v>0</v>
          </cell>
          <cell r="G1658" t="str">
            <v>TÖRVÉNY SZERINTI KIADÁSOK ÉS BEVÉTELEK EGYENLEGE (27-43)</v>
          </cell>
        </row>
        <row r="1659">
          <cell r="A1659" t="str">
            <v>45</v>
          </cell>
          <cell r="B1659" t="str">
            <v>81</v>
          </cell>
          <cell r="C1659" t="str">
            <v>1</v>
          </cell>
          <cell r="D1659" t="str">
            <v>B</v>
          </cell>
          <cell r="E1659">
            <v>1</v>
          </cell>
          <cell r="F1659">
            <v>0</v>
          </cell>
          <cell r="G1659" t="str">
            <v>Költségvetési támogatás(számitott elöirányzat, keretnyitás)</v>
          </cell>
        </row>
        <row r="1660">
          <cell r="A1660" t="str">
            <v>46</v>
          </cell>
          <cell r="B1660" t="str">
            <v>81</v>
          </cell>
          <cell r="C1660" t="str">
            <v>1</v>
          </cell>
          <cell r="D1660" t="str">
            <v>B</v>
          </cell>
          <cell r="E1660">
            <v>1</v>
          </cell>
          <cell r="F1660">
            <v>0</v>
          </cell>
          <cell r="G1660" t="str">
            <v>Nem azonositott bevétel</v>
          </cell>
        </row>
        <row r="1661">
          <cell r="A1661" t="str">
            <v>47</v>
          </cell>
          <cell r="B1661" t="str">
            <v>81</v>
          </cell>
          <cell r="C1661" t="str">
            <v>1</v>
          </cell>
          <cell r="D1661" t="str">
            <v>B</v>
          </cell>
          <cell r="E1661">
            <v>1</v>
          </cell>
          <cell r="F1661">
            <v>0</v>
          </cell>
          <cell r="G1661" t="str">
            <v>Elözö évi elöirányzatmaradv., pénzmaradvány igénybevétele</v>
          </cell>
        </row>
        <row r="1662">
          <cell r="A1662" t="str">
            <v>48</v>
          </cell>
          <cell r="B1662" t="str">
            <v>81</v>
          </cell>
          <cell r="C1662" t="str">
            <v>1</v>
          </cell>
          <cell r="D1662" t="str">
            <v>B</v>
          </cell>
          <cell r="E1662">
            <v>1</v>
          </cell>
          <cell r="F1662">
            <v>0</v>
          </cell>
          <cell r="G1662" t="str">
            <v>Tárgyévi függö átfutó és kiegyenlitö kiadások</v>
          </cell>
        </row>
        <row r="1663">
          <cell r="A1663" t="str">
            <v>49</v>
          </cell>
          <cell r="B1663" t="str">
            <v>81</v>
          </cell>
          <cell r="C1663" t="str">
            <v>1</v>
          </cell>
          <cell r="D1663" t="str">
            <v>B</v>
          </cell>
          <cell r="E1663">
            <v>1</v>
          </cell>
          <cell r="F1663">
            <v>0</v>
          </cell>
          <cell r="G1663" t="str">
            <v>Tárgyévi függö átfutó és kiegyenlitö bevételek</v>
          </cell>
        </row>
        <row r="1664">
          <cell r="A1664" t="str">
            <v>50</v>
          </cell>
          <cell r="B1664" t="str">
            <v>81</v>
          </cell>
          <cell r="C1664" t="str">
            <v>1</v>
          </cell>
          <cell r="D1664" t="str">
            <v>B</v>
          </cell>
          <cell r="E1664">
            <v>1</v>
          </cell>
          <cell r="F1664">
            <v>0</v>
          </cell>
          <cell r="G1664" t="str">
            <v>Elözö évi függö, átfutó és kiegyenlitö kiadások   (csak MÁK)</v>
          </cell>
        </row>
        <row r="1665">
          <cell r="A1665" t="str">
            <v>51</v>
          </cell>
          <cell r="B1665" t="str">
            <v>81</v>
          </cell>
          <cell r="C1665" t="str">
            <v>1</v>
          </cell>
          <cell r="D1665" t="str">
            <v>B</v>
          </cell>
          <cell r="E1665">
            <v>1</v>
          </cell>
          <cell r="F1665">
            <v>0</v>
          </cell>
          <cell r="G1665" t="str">
            <v>Elözö évi házipt-i záro pénzk. t.évi felhasználása(csak MÁK)</v>
          </cell>
        </row>
        <row r="1666">
          <cell r="A1666" t="str">
            <v>52</v>
          </cell>
          <cell r="B1666" t="str">
            <v>81</v>
          </cell>
          <cell r="C1666" t="str">
            <v>1</v>
          </cell>
          <cell r="D1666" t="str">
            <v>B</v>
          </cell>
          <cell r="E1666">
            <v>1</v>
          </cell>
          <cell r="F1666">
            <v>0</v>
          </cell>
          <cell r="G1666" t="str">
            <v>Elözö évi deviza záró állomány t.évi felhasználása(csak MÁK)</v>
          </cell>
        </row>
        <row r="1667">
          <cell r="A1667" t="str">
            <v>53</v>
          </cell>
          <cell r="B1667" t="str">
            <v>81</v>
          </cell>
          <cell r="C1667" t="str">
            <v>1</v>
          </cell>
          <cell r="D1667" t="str">
            <v>B</v>
          </cell>
          <cell r="E1667">
            <v>1</v>
          </cell>
          <cell r="F1667">
            <v>0</v>
          </cell>
          <cell r="G1667" t="str">
            <v>Elözö évi függö, átfutó és kiegyenlitö bevételek (csak MÁK)</v>
          </cell>
        </row>
        <row r="1668">
          <cell r="A1668" t="str">
            <v>54</v>
          </cell>
          <cell r="B1668" t="str">
            <v>81</v>
          </cell>
          <cell r="C1668" t="str">
            <v>1</v>
          </cell>
          <cell r="D1668" t="str">
            <v>B</v>
          </cell>
          <cell r="E1668">
            <v>1</v>
          </cell>
          <cell r="F1668">
            <v>0</v>
          </cell>
          <cell r="G1668" t="str">
            <v>Hitel bevételek (csak beszámoló)</v>
          </cell>
        </row>
        <row r="1669">
          <cell r="A1669" t="str">
            <v>55</v>
          </cell>
          <cell r="B1669" t="str">
            <v>81</v>
          </cell>
          <cell r="C1669" t="str">
            <v>1</v>
          </cell>
          <cell r="D1669" t="str">
            <v>B</v>
          </cell>
          <cell r="E1669">
            <v>1</v>
          </cell>
          <cell r="F1669">
            <v>0</v>
          </cell>
          <cell r="G1669" t="str">
            <v>Hitel kiadások (csak beszámoló)</v>
          </cell>
        </row>
        <row r="1670">
          <cell r="A1670" t="str">
            <v>1</v>
          </cell>
          <cell r="B1670" t="str">
            <v>82</v>
          </cell>
          <cell r="C1670" t="str">
            <v>1</v>
          </cell>
          <cell r="D1670" t="str">
            <v>B</v>
          </cell>
          <cell r="E1670">
            <v>1</v>
          </cell>
          <cell r="F1670">
            <v>0</v>
          </cell>
          <cell r="G1670" t="str">
            <v>Személyi juttatások</v>
          </cell>
        </row>
        <row r="1671">
          <cell r="A1671" t="str">
            <v>2</v>
          </cell>
          <cell r="B1671" t="str">
            <v>82</v>
          </cell>
          <cell r="C1671" t="str">
            <v>1</v>
          </cell>
          <cell r="D1671" t="str">
            <v>B</v>
          </cell>
          <cell r="E1671">
            <v>1</v>
          </cell>
          <cell r="F1671">
            <v>1</v>
          </cell>
          <cell r="G1671" t="str">
            <v>Társadalombiztosítási járulék, eü. és táppénz-hozzájár.</v>
          </cell>
        </row>
        <row r="1672">
          <cell r="A1672" t="str">
            <v>3</v>
          </cell>
          <cell r="B1672" t="str">
            <v>82</v>
          </cell>
          <cell r="C1672" t="str">
            <v>1</v>
          </cell>
          <cell r="D1672" t="str">
            <v>B</v>
          </cell>
          <cell r="E1672">
            <v>1</v>
          </cell>
          <cell r="F1672">
            <v>1</v>
          </cell>
          <cell r="G1672" t="str">
            <v>Munkaadói járulék</v>
          </cell>
        </row>
        <row r="1673">
          <cell r="A1673" t="str">
            <v>4</v>
          </cell>
          <cell r="B1673" t="str">
            <v>82</v>
          </cell>
          <cell r="C1673" t="str">
            <v>1</v>
          </cell>
          <cell r="D1673" t="str">
            <v>B</v>
          </cell>
          <cell r="E1673">
            <v>1</v>
          </cell>
          <cell r="F1673">
            <v>0</v>
          </cell>
          <cell r="G1673" t="str">
            <v>Munkaadókat terhelö járulékok (02+03)</v>
          </cell>
        </row>
        <row r="1674">
          <cell r="A1674" t="str">
            <v>5</v>
          </cell>
          <cell r="B1674" t="str">
            <v>82</v>
          </cell>
          <cell r="C1674" t="str">
            <v>1</v>
          </cell>
          <cell r="D1674" t="str">
            <v>B</v>
          </cell>
          <cell r="E1674">
            <v>1</v>
          </cell>
          <cell r="F1674">
            <v>1</v>
          </cell>
          <cell r="G1674" t="str">
            <v>Dologi kiadások</v>
          </cell>
        </row>
        <row r="1675">
          <cell r="A1675" t="str">
            <v>6</v>
          </cell>
          <cell r="B1675" t="str">
            <v>82</v>
          </cell>
          <cell r="C1675" t="str">
            <v>1</v>
          </cell>
          <cell r="D1675" t="str">
            <v>B</v>
          </cell>
          <cell r="E1675">
            <v>1</v>
          </cell>
          <cell r="F1675">
            <v>1</v>
          </cell>
          <cell r="G1675" t="str">
            <v>Egyéb folyó kiadások (kamat nélkül)</v>
          </cell>
        </row>
        <row r="1676">
          <cell r="A1676" t="str">
            <v>7</v>
          </cell>
          <cell r="B1676" t="str">
            <v>82</v>
          </cell>
          <cell r="C1676" t="str">
            <v>1</v>
          </cell>
          <cell r="D1676" t="str">
            <v>B</v>
          </cell>
          <cell r="E1676">
            <v>1</v>
          </cell>
          <cell r="F1676">
            <v>0</v>
          </cell>
          <cell r="G1676" t="str">
            <v>Dologi és folyó kiadások (05+06)</v>
          </cell>
        </row>
        <row r="1677">
          <cell r="A1677" t="str">
            <v>8</v>
          </cell>
          <cell r="B1677" t="str">
            <v>82</v>
          </cell>
          <cell r="C1677" t="str">
            <v>1</v>
          </cell>
          <cell r="D1677" t="str">
            <v>B</v>
          </cell>
          <cell r="E1677">
            <v>1</v>
          </cell>
          <cell r="F1677">
            <v>0</v>
          </cell>
          <cell r="G1677" t="str">
            <v>Ellátottak pénzbeli juttatásai</v>
          </cell>
        </row>
        <row r="1678">
          <cell r="A1678" t="str">
            <v>9</v>
          </cell>
          <cell r="B1678" t="str">
            <v>82</v>
          </cell>
          <cell r="C1678" t="str">
            <v>1</v>
          </cell>
          <cell r="D1678" t="str">
            <v>B</v>
          </cell>
          <cell r="E1678">
            <v>1</v>
          </cell>
          <cell r="F1678">
            <v>1</v>
          </cell>
          <cell r="G1678" t="str">
            <v>Müködési célú pénzeszk.átadás áht-on belül</v>
          </cell>
        </row>
        <row r="1679">
          <cell r="A1679" t="str">
            <v>10</v>
          </cell>
          <cell r="B1679" t="str">
            <v>82</v>
          </cell>
          <cell r="C1679" t="str">
            <v>1</v>
          </cell>
          <cell r="D1679" t="str">
            <v>B</v>
          </cell>
          <cell r="E1679">
            <v>1</v>
          </cell>
          <cell r="F1679">
            <v>1</v>
          </cell>
          <cell r="G1679" t="str">
            <v>Müködési célú pénzeszk.átadás áht-on kivülre</v>
          </cell>
        </row>
        <row r="1680">
          <cell r="A1680" t="str">
            <v>11</v>
          </cell>
          <cell r="B1680" t="str">
            <v>82</v>
          </cell>
          <cell r="C1680" t="str">
            <v>1</v>
          </cell>
          <cell r="D1680" t="str">
            <v>B</v>
          </cell>
          <cell r="E1680">
            <v>1</v>
          </cell>
          <cell r="F1680">
            <v>1</v>
          </cell>
          <cell r="G1680" t="str">
            <v>Társadalom- és szoc.pol. juttatások és egyéb tb. ell.</v>
          </cell>
        </row>
        <row r="1681">
          <cell r="A1681" t="str">
            <v>12</v>
          </cell>
          <cell r="B1681" t="str">
            <v>82</v>
          </cell>
          <cell r="C1681" t="str">
            <v>1</v>
          </cell>
          <cell r="D1681" t="str">
            <v>B</v>
          </cell>
          <cell r="E1681">
            <v>1</v>
          </cell>
          <cell r="F1681">
            <v>1</v>
          </cell>
          <cell r="G1681" t="str">
            <v>Tervezett maradadvány, eredmény, tartalék</v>
          </cell>
        </row>
        <row r="1682">
          <cell r="A1682" t="str">
            <v>13</v>
          </cell>
          <cell r="B1682" t="str">
            <v>82</v>
          </cell>
          <cell r="C1682" t="str">
            <v>1</v>
          </cell>
          <cell r="D1682" t="str">
            <v>B</v>
          </cell>
          <cell r="E1682">
            <v>1</v>
          </cell>
          <cell r="F1682">
            <v>0</v>
          </cell>
          <cell r="G1682" t="str">
            <v>Egyéb müködési célú támogatás, kiadások (09+10+11+12)</v>
          </cell>
        </row>
        <row r="1683">
          <cell r="A1683" t="str">
            <v>14</v>
          </cell>
          <cell r="B1683" t="str">
            <v>82</v>
          </cell>
          <cell r="C1683" t="str">
            <v>1</v>
          </cell>
          <cell r="D1683" t="str">
            <v>B</v>
          </cell>
          <cell r="E1683">
            <v>1</v>
          </cell>
          <cell r="F1683">
            <v>0</v>
          </cell>
          <cell r="G1683" t="str">
            <v>Kamatkiadások</v>
          </cell>
        </row>
        <row r="1684">
          <cell r="A1684" t="str">
            <v>15</v>
          </cell>
          <cell r="B1684" t="str">
            <v>82</v>
          </cell>
          <cell r="C1684" t="str">
            <v>1</v>
          </cell>
          <cell r="D1684" t="str">
            <v>B</v>
          </cell>
          <cell r="E1684">
            <v>1</v>
          </cell>
          <cell r="F1684">
            <v>0</v>
          </cell>
          <cell r="G1684" t="str">
            <v>Felújítás</v>
          </cell>
        </row>
        <row r="1685">
          <cell r="A1685" t="str">
            <v>16</v>
          </cell>
          <cell r="B1685" t="str">
            <v>82</v>
          </cell>
          <cell r="C1685" t="str">
            <v>1</v>
          </cell>
          <cell r="D1685" t="str">
            <v>B</v>
          </cell>
          <cell r="E1685">
            <v>1</v>
          </cell>
          <cell r="F1685">
            <v>0</v>
          </cell>
          <cell r="G1685" t="str">
            <v>Intézményi beruházási kiadások</v>
          </cell>
        </row>
        <row r="1686">
          <cell r="A1686" t="str">
            <v>17</v>
          </cell>
          <cell r="B1686" t="str">
            <v>82</v>
          </cell>
          <cell r="C1686" t="str">
            <v>1</v>
          </cell>
          <cell r="D1686" t="str">
            <v>B</v>
          </cell>
          <cell r="E1686">
            <v>1</v>
          </cell>
          <cell r="F1686">
            <v>1</v>
          </cell>
          <cell r="G1686" t="str">
            <v>Felhalmozási célú pénzeszk. átadás áht-on belülre</v>
          </cell>
        </row>
        <row r="1687">
          <cell r="A1687" t="str">
            <v>18</v>
          </cell>
          <cell r="B1687" t="str">
            <v>82</v>
          </cell>
          <cell r="C1687" t="str">
            <v>1</v>
          </cell>
          <cell r="D1687" t="str">
            <v>B</v>
          </cell>
          <cell r="E1687">
            <v>1</v>
          </cell>
          <cell r="F1687">
            <v>1</v>
          </cell>
          <cell r="G1687" t="str">
            <v>Felhalmozási célú pénzeszk. átadás áht-on kivülre</v>
          </cell>
        </row>
        <row r="1688">
          <cell r="A1688" t="str">
            <v>19</v>
          </cell>
          <cell r="B1688" t="str">
            <v>82</v>
          </cell>
          <cell r="C1688" t="str">
            <v>1</v>
          </cell>
          <cell r="D1688" t="str">
            <v>B</v>
          </cell>
          <cell r="E1688">
            <v>1</v>
          </cell>
          <cell r="F1688">
            <v>1</v>
          </cell>
          <cell r="G1688" t="str">
            <v>Intézményi egyéb felhalm. kiadások</v>
          </cell>
        </row>
        <row r="1689">
          <cell r="A1689" t="str">
            <v>20</v>
          </cell>
          <cell r="B1689" t="str">
            <v>82</v>
          </cell>
          <cell r="C1689" t="str">
            <v>1</v>
          </cell>
          <cell r="D1689" t="str">
            <v>B</v>
          </cell>
          <cell r="E1689">
            <v>1</v>
          </cell>
          <cell r="F1689">
            <v>0</v>
          </cell>
          <cell r="G1689" t="str">
            <v>Egyéb felhalmozási kiadások (17+18+19)</v>
          </cell>
        </row>
        <row r="1690">
          <cell r="A1690" t="str">
            <v>21</v>
          </cell>
          <cell r="B1690" t="str">
            <v>82</v>
          </cell>
          <cell r="C1690" t="str">
            <v>1</v>
          </cell>
          <cell r="D1690" t="str">
            <v>B</v>
          </cell>
          <cell r="E1690">
            <v>1</v>
          </cell>
          <cell r="F1690">
            <v>1</v>
          </cell>
          <cell r="G1690" t="str">
            <v>Központi beruházási kiadások</v>
          </cell>
        </row>
        <row r="1691">
          <cell r="A1691" t="str">
            <v>22</v>
          </cell>
          <cell r="B1691" t="str">
            <v>82</v>
          </cell>
          <cell r="C1691" t="str">
            <v>1</v>
          </cell>
          <cell r="D1691" t="str">
            <v>B</v>
          </cell>
          <cell r="E1691">
            <v>1</v>
          </cell>
          <cell r="F1691">
            <v>1</v>
          </cell>
          <cell r="G1691" t="str">
            <v>Lakástámogatás</v>
          </cell>
        </row>
        <row r="1692">
          <cell r="A1692" t="str">
            <v>23</v>
          </cell>
          <cell r="B1692" t="str">
            <v>82</v>
          </cell>
          <cell r="C1692" t="str">
            <v>1</v>
          </cell>
          <cell r="D1692" t="str">
            <v>B</v>
          </cell>
          <cell r="E1692">
            <v>1</v>
          </cell>
          <cell r="F1692">
            <v>1</v>
          </cell>
          <cell r="G1692" t="str">
            <v>Lakásépítés</v>
          </cell>
        </row>
        <row r="1693">
          <cell r="A1693" t="str">
            <v>24</v>
          </cell>
          <cell r="B1693" t="str">
            <v>82</v>
          </cell>
          <cell r="C1693" t="str">
            <v>1</v>
          </cell>
          <cell r="D1693" t="str">
            <v>B</v>
          </cell>
          <cell r="E1693">
            <v>1</v>
          </cell>
          <cell r="F1693">
            <v>0</v>
          </cell>
          <cell r="G1693" t="str">
            <v>Központi beruházások (21+22+23)</v>
          </cell>
        </row>
        <row r="1694">
          <cell r="A1694" t="str">
            <v>25</v>
          </cell>
          <cell r="B1694" t="str">
            <v>82</v>
          </cell>
          <cell r="C1694" t="str">
            <v>1</v>
          </cell>
          <cell r="D1694" t="str">
            <v>B</v>
          </cell>
          <cell r="E1694">
            <v>1</v>
          </cell>
          <cell r="F1694">
            <v>0</v>
          </cell>
          <cell r="G1694" t="str">
            <v>Egyéb beruházások és fejlesztési támogatások</v>
          </cell>
        </row>
        <row r="1695">
          <cell r="A1695" t="str">
            <v>26</v>
          </cell>
          <cell r="B1695" t="str">
            <v>82</v>
          </cell>
          <cell r="C1695" t="str">
            <v>1</v>
          </cell>
          <cell r="D1695" t="str">
            <v>B</v>
          </cell>
          <cell r="E1695">
            <v>1</v>
          </cell>
          <cell r="F1695">
            <v>0</v>
          </cell>
          <cell r="G1695" t="str">
            <v>Kölcsönök nyújtása és törlesztése</v>
          </cell>
        </row>
        <row r="1696">
          <cell r="A1696" t="str">
            <v>27</v>
          </cell>
          <cell r="B1696" t="str">
            <v>82</v>
          </cell>
          <cell r="C1696" t="str">
            <v>1</v>
          </cell>
          <cell r="D1696" t="str">
            <v>B</v>
          </cell>
          <cell r="E1696">
            <v>1</v>
          </cell>
          <cell r="F1696">
            <v>0</v>
          </cell>
          <cell r="G1696" t="str">
            <v>TÖRVÉNY SZERINTI KIADÁSOK (01+04+07+08+13+..+16+20+24+25+26)</v>
          </cell>
        </row>
        <row r="1697">
          <cell r="A1697" t="str">
            <v>28</v>
          </cell>
          <cell r="B1697" t="str">
            <v>82</v>
          </cell>
          <cell r="C1697" t="str">
            <v>1</v>
          </cell>
          <cell r="D1697" t="str">
            <v>B</v>
          </cell>
          <cell r="E1697">
            <v>1</v>
          </cell>
          <cell r="F1697">
            <v>0</v>
          </cell>
          <cell r="G1697" t="str">
            <v>Intézményi müködési bevételek</v>
          </cell>
        </row>
        <row r="1698">
          <cell r="A1698" t="str">
            <v>29</v>
          </cell>
          <cell r="B1698" t="str">
            <v>82</v>
          </cell>
          <cell r="C1698" t="str">
            <v>1</v>
          </cell>
          <cell r="D1698" t="str">
            <v>B</v>
          </cell>
          <cell r="E1698">
            <v>1</v>
          </cell>
          <cell r="F1698">
            <v>0</v>
          </cell>
          <cell r="G1698" t="str">
            <v>Kamatbevétel</v>
          </cell>
        </row>
        <row r="1699">
          <cell r="A1699" t="str">
            <v>30</v>
          </cell>
          <cell r="B1699" t="str">
            <v>82</v>
          </cell>
          <cell r="C1699" t="str">
            <v>1</v>
          </cell>
          <cell r="D1699" t="str">
            <v>B</v>
          </cell>
          <cell r="E1699">
            <v>1</v>
          </cell>
          <cell r="F1699">
            <v>0</v>
          </cell>
          <cell r="G1699" t="str">
            <v>Müködési célú pénzeszköz-átvétel TB alapoktól</v>
          </cell>
        </row>
        <row r="1700">
          <cell r="A1700" t="str">
            <v>31</v>
          </cell>
          <cell r="B1700" t="str">
            <v>82</v>
          </cell>
          <cell r="C1700" t="str">
            <v>1</v>
          </cell>
          <cell r="D1700" t="str">
            <v>B</v>
          </cell>
          <cell r="E1700">
            <v>1</v>
          </cell>
          <cell r="F1700">
            <v>1</v>
          </cell>
          <cell r="G1700" t="str">
            <v>Müködési célú pénzeszköz-átvétel elkül.állami pénzalapoktól</v>
          </cell>
        </row>
        <row r="1701">
          <cell r="A1701" t="str">
            <v>32</v>
          </cell>
          <cell r="B1701" t="str">
            <v>82</v>
          </cell>
          <cell r="C1701" t="str">
            <v>1</v>
          </cell>
          <cell r="D1701" t="str">
            <v>B</v>
          </cell>
          <cell r="E1701">
            <v>1</v>
          </cell>
          <cell r="F1701">
            <v>1</v>
          </cell>
          <cell r="G1701" t="str">
            <v>Költségvetési kiegészitések, visszatérülések</v>
          </cell>
        </row>
        <row r="1702">
          <cell r="A1702" t="str">
            <v>33</v>
          </cell>
          <cell r="B1702" t="str">
            <v>82</v>
          </cell>
          <cell r="C1702" t="str">
            <v>1</v>
          </cell>
          <cell r="D1702" t="str">
            <v>B</v>
          </cell>
          <cell r="E1702">
            <v>1</v>
          </cell>
          <cell r="F1702">
            <v>1</v>
          </cell>
          <cell r="G1702" t="str">
            <v>Egyéb müködési célú pénzeszk. átvétel áht-on belül</v>
          </cell>
        </row>
        <row r="1703">
          <cell r="A1703" t="str">
            <v>34</v>
          </cell>
          <cell r="B1703" t="str">
            <v>82</v>
          </cell>
          <cell r="C1703" t="str">
            <v>1</v>
          </cell>
          <cell r="D1703" t="str">
            <v>B</v>
          </cell>
          <cell r="E1703">
            <v>1</v>
          </cell>
          <cell r="F1703">
            <v>0</v>
          </cell>
          <cell r="G1703" t="str">
            <v>Müködési célra átvett pénzeszköz áht-on kívülröl</v>
          </cell>
        </row>
        <row r="1704">
          <cell r="A1704" t="str">
            <v>35</v>
          </cell>
          <cell r="B1704" t="str">
            <v>82</v>
          </cell>
          <cell r="C1704" t="str">
            <v>1</v>
          </cell>
          <cell r="D1704" t="str">
            <v>B</v>
          </cell>
          <cell r="E1704">
            <v>1</v>
          </cell>
          <cell r="F1704">
            <v>0</v>
          </cell>
          <cell r="G1704" t="str">
            <v>Egyéb müködési célú pénzeszköz átvétel, bevétel (32+33+34)</v>
          </cell>
        </row>
        <row r="1705">
          <cell r="A1705" t="str">
            <v>36</v>
          </cell>
          <cell r="B1705" t="str">
            <v>82</v>
          </cell>
          <cell r="C1705" t="str">
            <v>1</v>
          </cell>
          <cell r="D1705" t="str">
            <v>B</v>
          </cell>
          <cell r="E1705">
            <v>1</v>
          </cell>
          <cell r="F1705">
            <v>0</v>
          </cell>
          <cell r="G1705" t="str">
            <v>Felhalm. célú pénzeszk. átvétel TB alapoktól és kezelöitöl</v>
          </cell>
        </row>
        <row r="1706">
          <cell r="A1706" t="str">
            <v>37</v>
          </cell>
          <cell r="B1706" t="str">
            <v>82</v>
          </cell>
          <cell r="C1706" t="str">
            <v>1</v>
          </cell>
          <cell r="D1706" t="str">
            <v>B</v>
          </cell>
          <cell r="E1706">
            <v>1</v>
          </cell>
          <cell r="F1706">
            <v>1</v>
          </cell>
          <cell r="G1706" t="str">
            <v>Felhalm. célú pénzeszk. átvétel elkülönitett áll-i alapoktól</v>
          </cell>
        </row>
        <row r="1707">
          <cell r="A1707" t="str">
            <v>38</v>
          </cell>
          <cell r="B1707" t="str">
            <v>82</v>
          </cell>
          <cell r="C1707" t="str">
            <v>1</v>
          </cell>
          <cell r="D1707" t="str">
            <v>B</v>
          </cell>
          <cell r="E1707">
            <v>1</v>
          </cell>
          <cell r="F1707">
            <v>1</v>
          </cell>
          <cell r="G1707" t="str">
            <v>Felhalmozási és töke jellegü bevételek</v>
          </cell>
        </row>
        <row r="1708">
          <cell r="A1708" t="str">
            <v>39</v>
          </cell>
          <cell r="B1708" t="str">
            <v>82</v>
          </cell>
          <cell r="C1708" t="str">
            <v>1</v>
          </cell>
          <cell r="D1708" t="str">
            <v>B</v>
          </cell>
          <cell r="E1708">
            <v>1</v>
          </cell>
          <cell r="F1708">
            <v>1</v>
          </cell>
          <cell r="G1708" t="str">
            <v>Egyéb felhalmozási célú pénzeszk. átvétel áht-on belül</v>
          </cell>
        </row>
        <row r="1709">
          <cell r="A1709" t="str">
            <v>40</v>
          </cell>
          <cell r="B1709" t="str">
            <v>82</v>
          </cell>
          <cell r="C1709" t="str">
            <v>1</v>
          </cell>
          <cell r="D1709" t="str">
            <v>B</v>
          </cell>
          <cell r="E1709">
            <v>1</v>
          </cell>
          <cell r="F1709">
            <v>0</v>
          </cell>
          <cell r="G1709" t="str">
            <v>Felhalmozási célra átvett pénzeszköz áht-on kívülröl</v>
          </cell>
        </row>
        <row r="1710">
          <cell r="A1710" t="str">
            <v>41</v>
          </cell>
          <cell r="B1710" t="str">
            <v>82</v>
          </cell>
          <cell r="C1710" t="str">
            <v>1</v>
          </cell>
          <cell r="D1710" t="str">
            <v>B</v>
          </cell>
          <cell r="E1710">
            <v>1</v>
          </cell>
          <cell r="F1710">
            <v>0</v>
          </cell>
          <cell r="G1710" t="str">
            <v>Egyéb felhalm. célú pénzeszk. átvétel,bevétel (38+39+40)</v>
          </cell>
        </row>
        <row r="1711">
          <cell r="A1711" t="str">
            <v>42</v>
          </cell>
          <cell r="B1711" t="str">
            <v>82</v>
          </cell>
          <cell r="C1711" t="str">
            <v>1</v>
          </cell>
          <cell r="D1711" t="str">
            <v>B</v>
          </cell>
          <cell r="E1711">
            <v>1</v>
          </cell>
          <cell r="F1711">
            <v>0</v>
          </cell>
          <cell r="G1711" t="str">
            <v>Kölcsön visszatérülése és igénybevétele</v>
          </cell>
        </row>
        <row r="1712">
          <cell r="A1712" t="str">
            <v>43</v>
          </cell>
          <cell r="B1712" t="str">
            <v>82</v>
          </cell>
          <cell r="C1712" t="str">
            <v>1</v>
          </cell>
          <cell r="D1712" t="str">
            <v>B</v>
          </cell>
          <cell r="E1712">
            <v>1</v>
          </cell>
          <cell r="F1712">
            <v>0</v>
          </cell>
          <cell r="G1712" t="str">
            <v>TÖRVÉNY SZERINTI BEVÉTELEK (28+..+30+34+..+36+40+41+42)</v>
          </cell>
        </row>
        <row r="1713">
          <cell r="A1713" t="str">
            <v>44</v>
          </cell>
          <cell r="B1713" t="str">
            <v>82</v>
          </cell>
          <cell r="C1713" t="str">
            <v>1</v>
          </cell>
          <cell r="D1713" t="str">
            <v>B</v>
          </cell>
          <cell r="E1713">
            <v>1</v>
          </cell>
          <cell r="F1713">
            <v>0</v>
          </cell>
          <cell r="G1713" t="str">
            <v>TÖRVÉNY SZERINTI KIADÁSOK ÉS BEVÉTELEK EGYENLEGE (27-43)</v>
          </cell>
        </row>
        <row r="1714">
          <cell r="A1714" t="str">
            <v>45</v>
          </cell>
          <cell r="B1714" t="str">
            <v>82</v>
          </cell>
          <cell r="C1714" t="str">
            <v>1</v>
          </cell>
          <cell r="D1714" t="str">
            <v>B</v>
          </cell>
          <cell r="E1714">
            <v>1</v>
          </cell>
          <cell r="F1714">
            <v>0</v>
          </cell>
          <cell r="G1714" t="str">
            <v>Költségvetési támogatás(számitott elöirányzat, keretnyitás)</v>
          </cell>
        </row>
        <row r="1715">
          <cell r="A1715" t="str">
            <v>46</v>
          </cell>
          <cell r="B1715" t="str">
            <v>82</v>
          </cell>
          <cell r="C1715" t="str">
            <v>1</v>
          </cell>
          <cell r="D1715" t="str">
            <v>B</v>
          </cell>
          <cell r="E1715">
            <v>1</v>
          </cell>
          <cell r="F1715">
            <v>0</v>
          </cell>
          <cell r="G1715" t="str">
            <v>Nem azonositott bevétel</v>
          </cell>
        </row>
        <row r="1716">
          <cell r="A1716" t="str">
            <v>47</v>
          </cell>
          <cell r="B1716" t="str">
            <v>82</v>
          </cell>
          <cell r="C1716" t="str">
            <v>1</v>
          </cell>
          <cell r="D1716" t="str">
            <v>B</v>
          </cell>
          <cell r="E1716">
            <v>1</v>
          </cell>
          <cell r="F1716">
            <v>0</v>
          </cell>
          <cell r="G1716" t="str">
            <v>Elözö évi elöirányzatmaradv., pénzmaradvány igénybevétele</v>
          </cell>
        </row>
        <row r="1717">
          <cell r="A1717" t="str">
            <v>48</v>
          </cell>
          <cell r="B1717" t="str">
            <v>82</v>
          </cell>
          <cell r="C1717" t="str">
            <v>1</v>
          </cell>
          <cell r="D1717" t="str">
            <v>B</v>
          </cell>
          <cell r="E1717">
            <v>1</v>
          </cell>
          <cell r="F1717">
            <v>0</v>
          </cell>
          <cell r="G1717" t="str">
            <v>Tárgyévi függö átfutó és kiegyenlitö kiadások</v>
          </cell>
        </row>
        <row r="1718">
          <cell r="A1718" t="str">
            <v>49</v>
          </cell>
          <cell r="B1718" t="str">
            <v>82</v>
          </cell>
          <cell r="C1718" t="str">
            <v>1</v>
          </cell>
          <cell r="D1718" t="str">
            <v>B</v>
          </cell>
          <cell r="E1718">
            <v>1</v>
          </cell>
          <cell r="F1718">
            <v>0</v>
          </cell>
          <cell r="G1718" t="str">
            <v>Tárgyévi függö átfutó és kiegyenlitö bevételek</v>
          </cell>
        </row>
        <row r="1719">
          <cell r="A1719" t="str">
            <v>50</v>
          </cell>
          <cell r="B1719" t="str">
            <v>82</v>
          </cell>
          <cell r="C1719" t="str">
            <v>1</v>
          </cell>
          <cell r="D1719" t="str">
            <v>B</v>
          </cell>
          <cell r="E1719">
            <v>1</v>
          </cell>
          <cell r="F1719">
            <v>0</v>
          </cell>
          <cell r="G1719" t="str">
            <v>Elözö évi függö, átfutó és kiegyenlitö kiadások   (csak MÁK)</v>
          </cell>
        </row>
        <row r="1720">
          <cell r="A1720" t="str">
            <v>51</v>
          </cell>
          <cell r="B1720" t="str">
            <v>82</v>
          </cell>
          <cell r="C1720" t="str">
            <v>1</v>
          </cell>
          <cell r="D1720" t="str">
            <v>B</v>
          </cell>
          <cell r="E1720">
            <v>1</v>
          </cell>
          <cell r="F1720">
            <v>0</v>
          </cell>
          <cell r="G1720" t="str">
            <v>Elözö évi házipt-i záro pénzk. t.évi felhasználása(csak MÁK)</v>
          </cell>
        </row>
        <row r="1721">
          <cell r="A1721" t="str">
            <v>52</v>
          </cell>
          <cell r="B1721" t="str">
            <v>82</v>
          </cell>
          <cell r="C1721" t="str">
            <v>1</v>
          </cell>
          <cell r="D1721" t="str">
            <v>B</v>
          </cell>
          <cell r="E1721">
            <v>1</v>
          </cell>
          <cell r="F1721">
            <v>0</v>
          </cell>
          <cell r="G1721" t="str">
            <v>Elözö évi deviza záró állomány t.évi felhasználása(csak MÁK)</v>
          </cell>
        </row>
        <row r="1722">
          <cell r="A1722" t="str">
            <v>53</v>
          </cell>
          <cell r="B1722" t="str">
            <v>82</v>
          </cell>
          <cell r="C1722" t="str">
            <v>1</v>
          </cell>
          <cell r="D1722" t="str">
            <v>B</v>
          </cell>
          <cell r="E1722">
            <v>1</v>
          </cell>
          <cell r="F1722">
            <v>0</v>
          </cell>
          <cell r="G1722" t="str">
            <v>Elözö évi függö, átfutó és kiegyenlitö bevételek (csak MÁK)</v>
          </cell>
        </row>
        <row r="1723">
          <cell r="A1723" t="str">
            <v>54</v>
          </cell>
          <cell r="B1723" t="str">
            <v>82</v>
          </cell>
          <cell r="C1723" t="str">
            <v>1</v>
          </cell>
          <cell r="D1723" t="str">
            <v>B</v>
          </cell>
          <cell r="E1723">
            <v>1</v>
          </cell>
          <cell r="F1723">
            <v>0</v>
          </cell>
          <cell r="G1723" t="str">
            <v>Hitel bevételek (csak beszámoló)</v>
          </cell>
        </row>
        <row r="1724">
          <cell r="A1724" t="str">
            <v>55</v>
          </cell>
          <cell r="B1724" t="str">
            <v>82</v>
          </cell>
          <cell r="C1724" t="str">
            <v>1</v>
          </cell>
          <cell r="D1724" t="str">
            <v>B</v>
          </cell>
          <cell r="E1724">
            <v>1</v>
          </cell>
          <cell r="F1724">
            <v>0</v>
          </cell>
          <cell r="G1724" t="str">
            <v>Hitel kiadások (csak beszámoló)</v>
          </cell>
        </row>
        <row r="1725">
          <cell r="A1725" t="str">
            <v>1</v>
          </cell>
          <cell r="B1725" t="str">
            <v>83</v>
          </cell>
          <cell r="C1725" t="str">
            <v>1</v>
          </cell>
          <cell r="D1725" t="str">
            <v>B</v>
          </cell>
          <cell r="E1725">
            <v>1</v>
          </cell>
          <cell r="F1725">
            <v>0</v>
          </cell>
          <cell r="G1725" t="str">
            <v>Kincstári beszámoló</v>
          </cell>
        </row>
        <row r="1726">
          <cell r="A1726" t="str">
            <v>2</v>
          </cell>
          <cell r="B1726" t="str">
            <v>83</v>
          </cell>
          <cell r="C1726" t="str">
            <v>1</v>
          </cell>
          <cell r="D1726" t="str">
            <v>B</v>
          </cell>
          <cell r="E1726">
            <v>1</v>
          </cell>
          <cell r="F1726">
            <v>0</v>
          </cell>
          <cell r="G1726" t="str">
            <v>Költségvetési beszámoló</v>
          </cell>
        </row>
        <row r="1727">
          <cell r="A1727" t="str">
            <v>3</v>
          </cell>
          <cell r="B1727" t="str">
            <v>83</v>
          </cell>
          <cell r="C1727" t="str">
            <v>1</v>
          </cell>
          <cell r="D1727" t="str">
            <v>B</v>
          </cell>
          <cell r="E1727">
            <v>1</v>
          </cell>
          <cell r="F1727">
            <v>2</v>
          </cell>
          <cell r="G1727" t="str">
            <v>Eltérés (01-02)</v>
          </cell>
        </row>
        <row r="1728">
          <cell r="A1728" t="str">
            <v>4</v>
          </cell>
          <cell r="B1728" t="str">
            <v>83</v>
          </cell>
          <cell r="C1728" t="str">
            <v>1</v>
          </cell>
          <cell r="D1728" t="str">
            <v>B</v>
          </cell>
          <cell r="E1728">
            <v>2</v>
          </cell>
          <cell r="F1728">
            <v>0</v>
          </cell>
          <cell r="G1728" t="str">
            <v>Devizaszámla és valutapénztár bevételei</v>
          </cell>
        </row>
        <row r="1729">
          <cell r="A1729" t="str">
            <v>5</v>
          </cell>
          <cell r="B1729" t="str">
            <v>83</v>
          </cell>
          <cell r="C1729" t="str">
            <v>1</v>
          </cell>
          <cell r="D1729" t="str">
            <v>B</v>
          </cell>
          <cell r="E1729">
            <v>1</v>
          </cell>
          <cell r="F1729">
            <v>0</v>
          </cell>
          <cell r="G1729" t="str">
            <v>Házipénztári zárópénzkészlet</v>
          </cell>
        </row>
        <row r="1730">
          <cell r="A1730" t="str">
            <v>6</v>
          </cell>
          <cell r="B1730" t="str">
            <v>83</v>
          </cell>
          <cell r="C1730" t="str">
            <v>1</v>
          </cell>
          <cell r="D1730" t="str">
            <v>B</v>
          </cell>
          <cell r="E1730">
            <v>1</v>
          </cell>
          <cell r="F1730">
            <v>0</v>
          </cell>
          <cell r="G1730" t="str">
            <v>Hitellel összefüggő bevételek</v>
          </cell>
        </row>
        <row r="1731">
          <cell r="A1731" t="str">
            <v>7</v>
          </cell>
          <cell r="B1731" t="str">
            <v>83</v>
          </cell>
          <cell r="C1731" t="str">
            <v>1</v>
          </cell>
          <cell r="D1731" t="str">
            <v>B</v>
          </cell>
          <cell r="E1731">
            <v>1</v>
          </cell>
          <cell r="F1731">
            <v>0</v>
          </cell>
          <cell r="G1731" t="str">
            <v>Függő,átf.,kiegy. bevételek elözö évi állom. rendezése</v>
          </cell>
        </row>
        <row r="1732">
          <cell r="A1732" t="str">
            <v>8</v>
          </cell>
          <cell r="B1732" t="str">
            <v>83</v>
          </cell>
          <cell r="C1732" t="str">
            <v>1</v>
          </cell>
          <cell r="D1732" t="str">
            <v>B</v>
          </cell>
          <cell r="E1732">
            <v>1</v>
          </cell>
          <cell r="F1732">
            <v>0</v>
          </cell>
          <cell r="G1732" t="str">
            <v>Kerekités miatti eltérés</v>
          </cell>
        </row>
        <row r="1733">
          <cell r="A1733" t="str">
            <v>9</v>
          </cell>
          <cell r="B1733" t="str">
            <v>83</v>
          </cell>
          <cell r="C1733" t="str">
            <v>1</v>
          </cell>
          <cell r="D1733" t="str">
            <v>B</v>
          </cell>
          <cell r="E1733">
            <v>1</v>
          </cell>
          <cell r="F1733">
            <v>2</v>
          </cell>
          <cell r="G1733" t="str">
            <v>Rendszerbeli eltérések összesen (=4+..+8)</v>
          </cell>
        </row>
        <row r="1734">
          <cell r="A1734" t="str">
            <v>10</v>
          </cell>
          <cell r="B1734" t="str">
            <v>83</v>
          </cell>
          <cell r="C1734" t="str">
            <v>1</v>
          </cell>
          <cell r="D1734" t="str">
            <v>B</v>
          </cell>
          <cell r="E1734">
            <v>2</v>
          </cell>
          <cell r="F1734">
            <v>0</v>
          </cell>
          <cell r="G1734" t="str">
            <v>Devizaszámla, valutapénztár el nem számolt bevételei</v>
          </cell>
        </row>
        <row r="1735">
          <cell r="A1735" t="str">
            <v>11</v>
          </cell>
          <cell r="B1735" t="str">
            <v>83</v>
          </cell>
          <cell r="C1735" t="str">
            <v>1</v>
          </cell>
          <cell r="D1735" t="str">
            <v>B</v>
          </cell>
          <cell r="E1735">
            <v>1</v>
          </cell>
          <cell r="F1735">
            <v>0</v>
          </cell>
          <cell r="G1735" t="str">
            <v>Uton lévö házipénztári befizetés</v>
          </cell>
        </row>
        <row r="1736">
          <cell r="A1736" t="str">
            <v>12</v>
          </cell>
          <cell r="B1736" t="str">
            <v>83</v>
          </cell>
          <cell r="C1736" t="str">
            <v>1</v>
          </cell>
          <cell r="D1736" t="str">
            <v>B</v>
          </cell>
          <cell r="E1736">
            <v>1</v>
          </cell>
          <cell r="F1736">
            <v>0</v>
          </cell>
          <cell r="G1736" t="str">
            <v>Egyéb fel nem adott pénzforgalom nélküli tételek</v>
          </cell>
        </row>
        <row r="1737">
          <cell r="A1737" t="str">
            <v>13</v>
          </cell>
          <cell r="B1737" t="str">
            <v>83</v>
          </cell>
          <cell r="C1737" t="str">
            <v>1</v>
          </cell>
          <cell r="D1737" t="str">
            <v>B</v>
          </cell>
          <cell r="E1737">
            <v>1</v>
          </cell>
          <cell r="F1737">
            <v>0</v>
          </cell>
          <cell r="G1737" t="str">
            <v>Téves kódhasználat</v>
          </cell>
        </row>
        <row r="1738">
          <cell r="A1738" t="str">
            <v>14</v>
          </cell>
          <cell r="B1738" t="str">
            <v>83</v>
          </cell>
          <cell r="C1738" t="str">
            <v>1</v>
          </cell>
          <cell r="D1738" t="str">
            <v>B</v>
          </cell>
          <cell r="E1738">
            <v>1</v>
          </cell>
          <cell r="F1738">
            <v>0</v>
          </cell>
          <cell r="G1738" t="str">
            <v>Kincstári téves feldolgozás</v>
          </cell>
        </row>
        <row r="1739">
          <cell r="A1739" t="str">
            <v>15</v>
          </cell>
          <cell r="B1739" t="str">
            <v>83</v>
          </cell>
          <cell r="C1739" t="str">
            <v>1</v>
          </cell>
          <cell r="D1739" t="str">
            <v>B</v>
          </cell>
          <cell r="E1739">
            <v>1</v>
          </cell>
          <cell r="F1739">
            <v>0</v>
          </cell>
          <cell r="G1739" t="str">
            <v>Egyéb eltérés</v>
          </cell>
        </row>
        <row r="1740">
          <cell r="A1740" t="str">
            <v>16</v>
          </cell>
          <cell r="B1740" t="str">
            <v>83</v>
          </cell>
          <cell r="C1740" t="str">
            <v>1</v>
          </cell>
          <cell r="D1740" t="str">
            <v>B</v>
          </cell>
          <cell r="E1740">
            <v>1</v>
          </cell>
          <cell r="F1740">
            <v>2</v>
          </cell>
          <cell r="G1740" t="str">
            <v>Nem rendszerbeli eltérések összesen (=10+..+15)</v>
          </cell>
        </row>
        <row r="1741">
          <cell r="A1741" t="str">
            <v>17</v>
          </cell>
          <cell r="B1741" t="str">
            <v>83</v>
          </cell>
          <cell r="C1741" t="str">
            <v>1</v>
          </cell>
          <cell r="D1741" t="str">
            <v>B</v>
          </cell>
          <cell r="E1741">
            <v>2</v>
          </cell>
          <cell r="F1741">
            <v>2</v>
          </cell>
          <cell r="G1741" t="str">
            <v>Eltérés összesen (=09+16)(=03)</v>
          </cell>
        </row>
        <row r="1742">
          <cell r="A1742" t="str">
            <v>1</v>
          </cell>
          <cell r="B1742" t="str">
            <v>84</v>
          </cell>
          <cell r="C1742" t="str">
            <v>1</v>
          </cell>
          <cell r="D1742" t="str">
            <v>B</v>
          </cell>
          <cell r="E1742">
            <v>1</v>
          </cell>
          <cell r="F1742">
            <v>0</v>
          </cell>
          <cell r="G1742" t="str">
            <v>Kincstári beszámoló</v>
          </cell>
        </row>
        <row r="1743">
          <cell r="A1743" t="str">
            <v>2</v>
          </cell>
          <cell r="B1743" t="str">
            <v>84</v>
          </cell>
          <cell r="C1743" t="str">
            <v>1</v>
          </cell>
          <cell r="D1743" t="str">
            <v>B</v>
          </cell>
          <cell r="E1743">
            <v>1</v>
          </cell>
          <cell r="F1743">
            <v>0</v>
          </cell>
          <cell r="G1743" t="str">
            <v>Költségvetési beszámoló</v>
          </cell>
        </row>
        <row r="1744">
          <cell r="A1744" t="str">
            <v>3</v>
          </cell>
          <cell r="B1744" t="str">
            <v>84</v>
          </cell>
          <cell r="C1744" t="str">
            <v>1</v>
          </cell>
          <cell r="D1744" t="str">
            <v>B</v>
          </cell>
          <cell r="E1744">
            <v>1</v>
          </cell>
          <cell r="F1744">
            <v>2</v>
          </cell>
          <cell r="G1744" t="str">
            <v>Eltérés (01-02)</v>
          </cell>
        </row>
        <row r="1745">
          <cell r="A1745" t="str">
            <v>4</v>
          </cell>
          <cell r="B1745" t="str">
            <v>84</v>
          </cell>
          <cell r="C1745" t="str">
            <v>1</v>
          </cell>
          <cell r="D1745" t="str">
            <v>B</v>
          </cell>
          <cell r="E1745">
            <v>1</v>
          </cell>
          <cell r="F1745">
            <v>0</v>
          </cell>
          <cell r="G1745" t="str">
            <v>Házipénztári zárópénzkészlet</v>
          </cell>
        </row>
        <row r="1746">
          <cell r="A1746" t="str">
            <v>5</v>
          </cell>
          <cell r="B1746" t="str">
            <v>84</v>
          </cell>
          <cell r="C1746" t="str">
            <v>1</v>
          </cell>
          <cell r="D1746" t="str">
            <v>B</v>
          </cell>
          <cell r="E1746">
            <v>1</v>
          </cell>
          <cell r="F1746">
            <v>0</v>
          </cell>
          <cell r="G1746" t="str">
            <v>Hitellel összefüggő kiadások</v>
          </cell>
        </row>
        <row r="1747">
          <cell r="A1747" t="str">
            <v>6</v>
          </cell>
          <cell r="B1747" t="str">
            <v>84</v>
          </cell>
          <cell r="C1747" t="str">
            <v>1</v>
          </cell>
          <cell r="D1747" t="str">
            <v>B</v>
          </cell>
          <cell r="E1747">
            <v>1</v>
          </cell>
          <cell r="F1747">
            <v>0</v>
          </cell>
          <cell r="G1747" t="str">
            <v>Függő,átf.,kiegy. bevételek elözö évi állom. rendezése</v>
          </cell>
        </row>
        <row r="1748">
          <cell r="A1748" t="str">
            <v>7</v>
          </cell>
          <cell r="B1748" t="str">
            <v>84</v>
          </cell>
          <cell r="C1748" t="str">
            <v>1</v>
          </cell>
          <cell r="D1748" t="str">
            <v>B</v>
          </cell>
          <cell r="E1748">
            <v>1</v>
          </cell>
          <cell r="F1748">
            <v>0</v>
          </cell>
          <cell r="G1748" t="str">
            <v>Előző évi házipénztári záró pénzkészlet t.évi felhasználása</v>
          </cell>
        </row>
        <row r="1749">
          <cell r="A1749" t="str">
            <v>8</v>
          </cell>
          <cell r="B1749" t="str">
            <v>84</v>
          </cell>
          <cell r="C1749" t="str">
            <v>1</v>
          </cell>
          <cell r="D1749" t="str">
            <v>B</v>
          </cell>
          <cell r="E1749">
            <v>1</v>
          </cell>
          <cell r="F1749">
            <v>0</v>
          </cell>
          <cell r="G1749" t="str">
            <v>Előző évi záró deviza állomány tárgyévi felhasználása</v>
          </cell>
        </row>
        <row r="1750">
          <cell r="A1750" t="str">
            <v>9</v>
          </cell>
          <cell r="B1750" t="str">
            <v>84</v>
          </cell>
          <cell r="C1750" t="str">
            <v>1</v>
          </cell>
          <cell r="D1750" t="str">
            <v>B</v>
          </cell>
          <cell r="E1750">
            <v>1</v>
          </cell>
          <cell r="F1750">
            <v>0</v>
          </cell>
          <cell r="G1750" t="str">
            <v>Kerekités miatti eltérés</v>
          </cell>
        </row>
        <row r="1751">
          <cell r="A1751" t="str">
            <v>10</v>
          </cell>
          <cell r="B1751" t="str">
            <v>84</v>
          </cell>
          <cell r="C1751" t="str">
            <v>1</v>
          </cell>
          <cell r="D1751" t="str">
            <v>B</v>
          </cell>
          <cell r="E1751">
            <v>1</v>
          </cell>
          <cell r="F1751">
            <v>2</v>
          </cell>
          <cell r="G1751" t="str">
            <v>Rendszerbeli eltérések összesen (=4+..+9)</v>
          </cell>
        </row>
        <row r="1752">
          <cell r="A1752" t="str">
            <v>11</v>
          </cell>
          <cell r="B1752" t="str">
            <v>84</v>
          </cell>
          <cell r="C1752" t="str">
            <v>1</v>
          </cell>
          <cell r="D1752" t="str">
            <v>B</v>
          </cell>
          <cell r="E1752">
            <v>2</v>
          </cell>
          <cell r="F1752">
            <v>0</v>
          </cell>
          <cell r="G1752" t="str">
            <v>Devizaszámla, valutapénztár el nem számolt kiadásai</v>
          </cell>
        </row>
        <row r="1753">
          <cell r="A1753" t="str">
            <v>12</v>
          </cell>
          <cell r="B1753" t="str">
            <v>84</v>
          </cell>
          <cell r="C1753" t="str">
            <v>1</v>
          </cell>
          <cell r="D1753" t="str">
            <v>B</v>
          </cell>
          <cell r="E1753">
            <v>1</v>
          </cell>
          <cell r="F1753">
            <v>0</v>
          </cell>
          <cell r="G1753" t="str">
            <v>Uton lévö házipénztári befizetés</v>
          </cell>
        </row>
        <row r="1754">
          <cell r="A1754" t="str">
            <v>13</v>
          </cell>
          <cell r="B1754" t="str">
            <v>84</v>
          </cell>
          <cell r="C1754" t="str">
            <v>1</v>
          </cell>
          <cell r="D1754" t="str">
            <v>B</v>
          </cell>
          <cell r="E1754">
            <v>1</v>
          </cell>
          <cell r="F1754">
            <v>0</v>
          </cell>
          <cell r="G1754" t="str">
            <v>Egyéb fel nem adott pénzforgalom nélküli tételek</v>
          </cell>
        </row>
        <row r="1755">
          <cell r="A1755" t="str">
            <v>14</v>
          </cell>
          <cell r="B1755" t="str">
            <v>84</v>
          </cell>
          <cell r="C1755" t="str">
            <v>1</v>
          </cell>
          <cell r="D1755" t="str">
            <v>B</v>
          </cell>
          <cell r="E1755">
            <v>1</v>
          </cell>
          <cell r="F1755">
            <v>0</v>
          </cell>
          <cell r="G1755" t="str">
            <v>Téves kódhasználat</v>
          </cell>
        </row>
        <row r="1756">
          <cell r="A1756" t="str">
            <v>15</v>
          </cell>
          <cell r="B1756" t="str">
            <v>84</v>
          </cell>
          <cell r="C1756" t="str">
            <v>1</v>
          </cell>
          <cell r="D1756" t="str">
            <v>B</v>
          </cell>
          <cell r="E1756">
            <v>1</v>
          </cell>
          <cell r="F1756">
            <v>0</v>
          </cell>
          <cell r="G1756" t="str">
            <v>Kincstári téves feldolgozás</v>
          </cell>
        </row>
        <row r="1757">
          <cell r="A1757" t="str">
            <v>16</v>
          </cell>
          <cell r="B1757" t="str">
            <v>84</v>
          </cell>
          <cell r="C1757" t="str">
            <v>1</v>
          </cell>
          <cell r="D1757" t="str">
            <v>B</v>
          </cell>
          <cell r="E1757">
            <v>1</v>
          </cell>
          <cell r="F1757">
            <v>0</v>
          </cell>
          <cell r="G1757" t="str">
            <v>Egyéb eltérés</v>
          </cell>
        </row>
        <row r="1758">
          <cell r="A1758" t="str">
            <v>17</v>
          </cell>
          <cell r="B1758" t="str">
            <v>84</v>
          </cell>
          <cell r="C1758" t="str">
            <v>1</v>
          </cell>
          <cell r="D1758" t="str">
            <v>B</v>
          </cell>
          <cell r="E1758">
            <v>1</v>
          </cell>
          <cell r="F1758">
            <v>2</v>
          </cell>
          <cell r="G1758" t="str">
            <v>Nem rendszerbeli eltérések összesen (=11+..+16)</v>
          </cell>
        </row>
        <row r="1759">
          <cell r="A1759" t="str">
            <v>18</v>
          </cell>
          <cell r="B1759" t="str">
            <v>84</v>
          </cell>
          <cell r="C1759" t="str">
            <v>1</v>
          </cell>
          <cell r="D1759" t="str">
            <v>B</v>
          </cell>
          <cell r="E1759">
            <v>2</v>
          </cell>
          <cell r="F1759">
            <v>2</v>
          </cell>
          <cell r="G1759" t="str">
            <v>Eltérés összesen (=10+17)(=03)</v>
          </cell>
        </row>
        <row r="1760">
          <cell r="A1760" t="str">
            <v>1</v>
          </cell>
          <cell r="B1760" t="str">
            <v>98</v>
          </cell>
          <cell r="C1760" t="str">
            <v>1</v>
          </cell>
          <cell r="D1760" t="str">
            <v>B</v>
          </cell>
          <cell r="E1760">
            <v>1</v>
          </cell>
          <cell r="F1760">
            <v>0</v>
          </cell>
          <cell r="G1760" t="str">
            <v>Személyi juttatások</v>
          </cell>
        </row>
        <row r="1761">
          <cell r="A1761" t="str">
            <v>2</v>
          </cell>
          <cell r="B1761" t="str">
            <v>98</v>
          </cell>
          <cell r="C1761" t="str">
            <v>1</v>
          </cell>
          <cell r="D1761" t="str">
            <v>B</v>
          </cell>
          <cell r="E1761">
            <v>1</v>
          </cell>
          <cell r="F1761">
            <v>0</v>
          </cell>
          <cell r="G1761" t="str">
            <v>TB járulék, munkaadói járulék és táppénz-hozzájárulás</v>
          </cell>
        </row>
        <row r="1762">
          <cell r="A1762" t="str">
            <v>3</v>
          </cell>
          <cell r="B1762" t="str">
            <v>98</v>
          </cell>
          <cell r="C1762" t="str">
            <v>1</v>
          </cell>
          <cell r="D1762" t="str">
            <v>B</v>
          </cell>
          <cell r="E1762">
            <v>1</v>
          </cell>
          <cell r="F1762">
            <v>0</v>
          </cell>
          <cell r="G1762" t="str">
            <v>Egészségügyi hozzájárulás</v>
          </cell>
        </row>
        <row r="1763">
          <cell r="A1763" t="str">
            <v>4</v>
          </cell>
          <cell r="B1763" t="str">
            <v>98</v>
          </cell>
          <cell r="C1763" t="str">
            <v>1</v>
          </cell>
          <cell r="D1763" t="str">
            <v>B</v>
          </cell>
          <cell r="E1763">
            <v>1</v>
          </cell>
          <cell r="F1763">
            <v>0</v>
          </cell>
          <cell r="G1763" t="str">
            <v>Dologi kiadások ÁFA nélkül és realizált árf.veszteségek</v>
          </cell>
        </row>
        <row r="1764">
          <cell r="A1764" t="str">
            <v>5</v>
          </cell>
          <cell r="B1764" t="str">
            <v>98</v>
          </cell>
          <cell r="C1764" t="str">
            <v>1</v>
          </cell>
          <cell r="D1764" t="str">
            <v>B</v>
          </cell>
          <cell r="E1764">
            <v>1</v>
          </cell>
          <cell r="F1764">
            <v>0</v>
          </cell>
          <cell r="G1764" t="str">
            <v>Dologi kiadások ÁFA-ja</v>
          </cell>
        </row>
        <row r="1765">
          <cell r="A1765" t="str">
            <v>6</v>
          </cell>
          <cell r="B1765" t="str">
            <v>98</v>
          </cell>
          <cell r="C1765" t="str">
            <v>1</v>
          </cell>
          <cell r="D1765" t="str">
            <v>B</v>
          </cell>
          <cell r="E1765">
            <v>1</v>
          </cell>
          <cell r="F1765">
            <v>0</v>
          </cell>
          <cell r="G1765" t="str">
            <v>Egyéb folyó kiadások (kamatkiadások nélkül)</v>
          </cell>
        </row>
        <row r="1766">
          <cell r="A1766" t="str">
            <v>7</v>
          </cell>
          <cell r="B1766" t="str">
            <v>98</v>
          </cell>
          <cell r="C1766" t="str">
            <v>1</v>
          </cell>
          <cell r="D1766" t="str">
            <v>B</v>
          </cell>
          <cell r="E1766">
            <v>1</v>
          </cell>
          <cell r="F1766">
            <v>0</v>
          </cell>
          <cell r="G1766" t="str">
            <v>Előző évi maradvány visszafizetése</v>
          </cell>
        </row>
        <row r="1767">
          <cell r="A1767" t="str">
            <v>8</v>
          </cell>
          <cell r="B1767" t="str">
            <v>98</v>
          </cell>
          <cell r="C1767" t="str">
            <v>1</v>
          </cell>
          <cell r="D1767" t="str">
            <v>B</v>
          </cell>
          <cell r="E1767">
            <v>1</v>
          </cell>
          <cell r="F1767">
            <v>0</v>
          </cell>
          <cell r="G1767" t="str">
            <v>Ellátottak pénzbeli juttatásai</v>
          </cell>
        </row>
        <row r="1768">
          <cell r="A1768" t="str">
            <v>9</v>
          </cell>
          <cell r="B1768" t="str">
            <v>98</v>
          </cell>
          <cell r="C1768" t="str">
            <v>1</v>
          </cell>
          <cell r="D1768" t="str">
            <v>B</v>
          </cell>
          <cell r="E1768">
            <v>1</v>
          </cell>
          <cell r="F1768">
            <v>0</v>
          </cell>
          <cell r="G1768" t="str">
            <v>Műk. célú pe.átadás központi költségvetési szervnek</v>
          </cell>
        </row>
        <row r="1769">
          <cell r="A1769" t="str">
            <v>10</v>
          </cell>
          <cell r="B1769" t="str">
            <v>98</v>
          </cell>
          <cell r="C1769" t="str">
            <v>1</v>
          </cell>
          <cell r="D1769" t="str">
            <v>B</v>
          </cell>
          <cell r="E1769">
            <v>1</v>
          </cell>
          <cell r="F1769">
            <v>0</v>
          </cell>
          <cell r="G1769" t="str">
            <v>Műk. célú pe.átadás fejezeti kezelésű előirányzatnak</v>
          </cell>
        </row>
        <row r="1770">
          <cell r="A1770" t="str">
            <v>11</v>
          </cell>
          <cell r="B1770" t="str">
            <v>98</v>
          </cell>
          <cell r="C1770" t="str">
            <v>1</v>
          </cell>
          <cell r="D1770" t="str">
            <v>B</v>
          </cell>
          <cell r="E1770">
            <v>1</v>
          </cell>
          <cell r="F1770">
            <v>0</v>
          </cell>
          <cell r="G1770" t="str">
            <v>Műk. célú pe.átadás elkülönített állami pénzalapnak</v>
          </cell>
        </row>
        <row r="1771">
          <cell r="A1771" t="str">
            <v>12</v>
          </cell>
          <cell r="B1771" t="str">
            <v>98</v>
          </cell>
          <cell r="C1771" t="str">
            <v>1</v>
          </cell>
          <cell r="D1771" t="str">
            <v>B</v>
          </cell>
          <cell r="E1771">
            <v>1</v>
          </cell>
          <cell r="F1771">
            <v>0</v>
          </cell>
          <cell r="G1771" t="str">
            <v>Műk. célú pe.átadás társadalombiztosítási alapnak</v>
          </cell>
        </row>
        <row r="1772">
          <cell r="A1772" t="str">
            <v>13</v>
          </cell>
          <cell r="B1772" t="str">
            <v>98</v>
          </cell>
          <cell r="C1772" t="str">
            <v>1</v>
          </cell>
          <cell r="D1772" t="str">
            <v>B</v>
          </cell>
          <cell r="E1772">
            <v>1</v>
          </cell>
          <cell r="F1772">
            <v>0</v>
          </cell>
          <cell r="G1772" t="str">
            <v>Műk. célú pe.átadás helyi önkormányzatoknak</v>
          </cell>
        </row>
        <row r="1773">
          <cell r="A1773" t="str">
            <v>14</v>
          </cell>
          <cell r="B1773" t="str">
            <v>98</v>
          </cell>
          <cell r="C1773" t="str">
            <v>1</v>
          </cell>
          <cell r="D1773" t="str">
            <v>B</v>
          </cell>
          <cell r="E1773">
            <v>1</v>
          </cell>
          <cell r="F1773">
            <v>0</v>
          </cell>
          <cell r="G1773" t="str">
            <v>Műk. célú pe.átadás vállalkozásoknak</v>
          </cell>
        </row>
        <row r="1774">
          <cell r="A1774" t="str">
            <v>15</v>
          </cell>
          <cell r="B1774" t="str">
            <v>98</v>
          </cell>
          <cell r="C1774" t="str">
            <v>1</v>
          </cell>
          <cell r="D1774" t="str">
            <v>B</v>
          </cell>
          <cell r="E1774">
            <v>1</v>
          </cell>
          <cell r="F1774">
            <v>0</v>
          </cell>
          <cell r="G1774" t="str">
            <v>Műk. célú pe.átadás pénzügyi vállalkozásoknak</v>
          </cell>
        </row>
        <row r="1775">
          <cell r="A1775" t="str">
            <v>16</v>
          </cell>
          <cell r="B1775" t="str">
            <v>98</v>
          </cell>
          <cell r="C1775" t="str">
            <v>1</v>
          </cell>
          <cell r="D1775" t="str">
            <v>B</v>
          </cell>
          <cell r="E1775">
            <v>1</v>
          </cell>
          <cell r="F1775">
            <v>0</v>
          </cell>
          <cell r="G1775" t="str">
            <v>Műk. célú pe.átadás háztartásoknak</v>
          </cell>
        </row>
        <row r="1776">
          <cell r="A1776" t="str">
            <v>17</v>
          </cell>
          <cell r="B1776" t="str">
            <v>98</v>
          </cell>
          <cell r="C1776" t="str">
            <v>1</v>
          </cell>
          <cell r="D1776" t="str">
            <v>B</v>
          </cell>
          <cell r="E1776">
            <v>1</v>
          </cell>
          <cell r="F1776">
            <v>0</v>
          </cell>
          <cell r="G1776" t="str">
            <v>Műk. célú pe.átadás non-profit szervezeteknek</v>
          </cell>
        </row>
        <row r="1777">
          <cell r="A1777" t="str">
            <v>18</v>
          </cell>
          <cell r="B1777" t="str">
            <v>98</v>
          </cell>
          <cell r="C1777" t="str">
            <v>1</v>
          </cell>
          <cell r="D1777" t="str">
            <v>B</v>
          </cell>
          <cell r="E1777">
            <v>1</v>
          </cell>
          <cell r="F1777">
            <v>0</v>
          </cell>
          <cell r="G1777" t="str">
            <v>Műk. célú pe.átadás külföldre</v>
          </cell>
        </row>
        <row r="1778">
          <cell r="A1778" t="str">
            <v>19</v>
          </cell>
          <cell r="B1778" t="str">
            <v>98</v>
          </cell>
          <cell r="C1778" t="str">
            <v>1</v>
          </cell>
          <cell r="D1778" t="str">
            <v>B</v>
          </cell>
          <cell r="E1778">
            <v>1</v>
          </cell>
          <cell r="F1778">
            <v>0</v>
          </cell>
          <cell r="G1778" t="str">
            <v>Társadalom- és szociálpol.juttatások,és egyéb TB ellátások</v>
          </cell>
        </row>
        <row r="1779">
          <cell r="A1779" t="str">
            <v>20</v>
          </cell>
          <cell r="B1779" t="str">
            <v>98</v>
          </cell>
          <cell r="C1779" t="str">
            <v>1</v>
          </cell>
          <cell r="D1779" t="str">
            <v>B</v>
          </cell>
          <cell r="E1779">
            <v>1</v>
          </cell>
          <cell r="F1779">
            <v>0</v>
          </cell>
          <cell r="G1779" t="str">
            <v>Tervezett maradvány,eredmény,tartalék</v>
          </cell>
        </row>
        <row r="1780">
          <cell r="A1780" t="str">
            <v>21</v>
          </cell>
          <cell r="B1780" t="str">
            <v>98</v>
          </cell>
          <cell r="C1780" t="str">
            <v>1</v>
          </cell>
          <cell r="D1780" t="str">
            <v>B</v>
          </cell>
          <cell r="E1780">
            <v>1</v>
          </cell>
          <cell r="F1780">
            <v>3</v>
          </cell>
          <cell r="G1780" t="str">
            <v>Egyéb működési célú támogatások, kiadások (09+...+20)</v>
          </cell>
        </row>
        <row r="1781">
          <cell r="A1781" t="str">
            <v>22</v>
          </cell>
          <cell r="B1781" t="str">
            <v>98</v>
          </cell>
          <cell r="C1781" t="str">
            <v>1</v>
          </cell>
          <cell r="D1781" t="str">
            <v>B</v>
          </cell>
          <cell r="E1781">
            <v>1</v>
          </cell>
          <cell r="F1781">
            <v>0</v>
          </cell>
          <cell r="G1781" t="str">
            <v>Kamatkiadások</v>
          </cell>
        </row>
        <row r="1782">
          <cell r="A1782" t="str">
            <v>23</v>
          </cell>
          <cell r="B1782" t="str">
            <v>98</v>
          </cell>
          <cell r="C1782" t="str">
            <v>1</v>
          </cell>
          <cell r="D1782" t="str">
            <v>B</v>
          </cell>
          <cell r="E1782">
            <v>1</v>
          </cell>
          <cell r="F1782">
            <v>0</v>
          </cell>
          <cell r="G1782" t="str">
            <v>Felújítás</v>
          </cell>
        </row>
        <row r="1783">
          <cell r="A1783" t="str">
            <v>24</v>
          </cell>
          <cell r="B1783" t="str">
            <v>98</v>
          </cell>
          <cell r="C1783" t="str">
            <v>1</v>
          </cell>
          <cell r="D1783" t="str">
            <v>B</v>
          </cell>
          <cell r="E1783">
            <v>1</v>
          </cell>
          <cell r="F1783">
            <v>0</v>
          </cell>
          <cell r="G1783" t="str">
            <v>Intézményi beruházási kiadások ÁFA nélkül</v>
          </cell>
        </row>
        <row r="1784">
          <cell r="A1784" t="str">
            <v>25</v>
          </cell>
          <cell r="B1784" t="str">
            <v>98</v>
          </cell>
          <cell r="C1784" t="str">
            <v>1</v>
          </cell>
          <cell r="D1784" t="str">
            <v>B</v>
          </cell>
          <cell r="E1784">
            <v>1</v>
          </cell>
          <cell r="F1784">
            <v>0</v>
          </cell>
          <cell r="G1784" t="str">
            <v>Beruházások ÁFA-ja</v>
          </cell>
        </row>
        <row r="1785">
          <cell r="A1785" t="str">
            <v>26</v>
          </cell>
          <cell r="B1785" t="str">
            <v>98</v>
          </cell>
          <cell r="C1785" t="str">
            <v>1</v>
          </cell>
          <cell r="D1785" t="str">
            <v>B</v>
          </cell>
          <cell r="E1785">
            <v>1</v>
          </cell>
          <cell r="F1785">
            <v>0</v>
          </cell>
          <cell r="G1785" t="str">
            <v>Központi beruházási kiadások</v>
          </cell>
        </row>
        <row r="1786">
          <cell r="A1786" t="str">
            <v>27</v>
          </cell>
          <cell r="B1786" t="str">
            <v>98</v>
          </cell>
          <cell r="C1786" t="str">
            <v>1</v>
          </cell>
          <cell r="D1786" t="str">
            <v>B</v>
          </cell>
          <cell r="E1786">
            <v>1</v>
          </cell>
          <cell r="F1786">
            <v>0</v>
          </cell>
          <cell r="G1786" t="str">
            <v>Lakástámogatás</v>
          </cell>
        </row>
        <row r="1787">
          <cell r="A1787" t="str">
            <v>28</v>
          </cell>
          <cell r="B1787" t="str">
            <v>98</v>
          </cell>
          <cell r="C1787" t="str">
            <v>1</v>
          </cell>
          <cell r="D1787" t="str">
            <v>B</v>
          </cell>
          <cell r="E1787">
            <v>1</v>
          </cell>
          <cell r="F1787">
            <v>0</v>
          </cell>
          <cell r="G1787" t="str">
            <v>Lakásépítés</v>
          </cell>
        </row>
        <row r="1788">
          <cell r="A1788" t="str">
            <v>29</v>
          </cell>
          <cell r="B1788" t="str">
            <v>98</v>
          </cell>
          <cell r="C1788" t="str">
            <v>1</v>
          </cell>
          <cell r="D1788" t="str">
            <v>B</v>
          </cell>
          <cell r="E1788">
            <v>1</v>
          </cell>
          <cell r="F1788">
            <v>3</v>
          </cell>
          <cell r="G1788" t="str">
            <v>Központi beruházások                     (26+...+28)</v>
          </cell>
        </row>
        <row r="1789">
          <cell r="A1789" t="str">
            <v>30</v>
          </cell>
          <cell r="B1789" t="str">
            <v>98</v>
          </cell>
          <cell r="C1789" t="str">
            <v>1</v>
          </cell>
          <cell r="D1789" t="str">
            <v>B</v>
          </cell>
          <cell r="E1789">
            <v>1</v>
          </cell>
          <cell r="F1789">
            <v>0</v>
          </cell>
          <cell r="G1789" t="str">
            <v>Felh.célú pe.átadás központi költségvetési szervnek</v>
          </cell>
        </row>
        <row r="1790">
          <cell r="A1790" t="str">
            <v>31</v>
          </cell>
          <cell r="B1790" t="str">
            <v>98</v>
          </cell>
          <cell r="C1790" t="str">
            <v>1</v>
          </cell>
          <cell r="D1790" t="str">
            <v>B</v>
          </cell>
          <cell r="E1790">
            <v>1</v>
          </cell>
          <cell r="F1790">
            <v>0</v>
          </cell>
          <cell r="G1790" t="str">
            <v>Felh.célú pe.átadás fejezeti kezelésű előirányzatnak</v>
          </cell>
        </row>
        <row r="1791">
          <cell r="A1791" t="str">
            <v>32</v>
          </cell>
          <cell r="B1791" t="str">
            <v>98</v>
          </cell>
          <cell r="C1791" t="str">
            <v>1</v>
          </cell>
          <cell r="D1791" t="str">
            <v>B</v>
          </cell>
          <cell r="E1791">
            <v>1</v>
          </cell>
          <cell r="F1791">
            <v>0</v>
          </cell>
          <cell r="G1791" t="str">
            <v>Felh.célú pe.átadás elkülönített állami pénzalapnak</v>
          </cell>
        </row>
        <row r="1792">
          <cell r="A1792" t="str">
            <v>33</v>
          </cell>
          <cell r="B1792" t="str">
            <v>98</v>
          </cell>
          <cell r="C1792" t="str">
            <v>1</v>
          </cell>
          <cell r="D1792" t="str">
            <v>B</v>
          </cell>
          <cell r="E1792">
            <v>1</v>
          </cell>
          <cell r="F1792">
            <v>0</v>
          </cell>
          <cell r="G1792" t="str">
            <v>Felh.célú pe.átadás társadalombiztosítási alapnak</v>
          </cell>
        </row>
        <row r="1793">
          <cell r="A1793" t="str">
            <v>34</v>
          </cell>
          <cell r="B1793" t="str">
            <v>98</v>
          </cell>
          <cell r="C1793" t="str">
            <v>1</v>
          </cell>
          <cell r="D1793" t="str">
            <v>B</v>
          </cell>
          <cell r="E1793">
            <v>1</v>
          </cell>
          <cell r="F1793">
            <v>0</v>
          </cell>
          <cell r="G1793" t="str">
            <v>Felh.célú pe.átadás helyi önkormányzatoknak</v>
          </cell>
        </row>
        <row r="1794">
          <cell r="A1794" t="str">
            <v>35</v>
          </cell>
          <cell r="B1794" t="str">
            <v>98</v>
          </cell>
          <cell r="C1794" t="str">
            <v>1</v>
          </cell>
          <cell r="D1794" t="str">
            <v>B</v>
          </cell>
          <cell r="E1794">
            <v>1</v>
          </cell>
          <cell r="F1794">
            <v>0</v>
          </cell>
          <cell r="G1794" t="str">
            <v>Felh.célú pe.átadás vállalkozásoknak</v>
          </cell>
        </row>
        <row r="1795">
          <cell r="A1795" t="str">
            <v>36</v>
          </cell>
          <cell r="B1795" t="str">
            <v>98</v>
          </cell>
          <cell r="C1795" t="str">
            <v>1</v>
          </cell>
          <cell r="D1795" t="str">
            <v>B</v>
          </cell>
          <cell r="E1795">
            <v>1</v>
          </cell>
          <cell r="F1795">
            <v>0</v>
          </cell>
          <cell r="G1795" t="str">
            <v>Felh.célú pe.átadás pénzügyi vállalkozásoknak</v>
          </cell>
        </row>
        <row r="1796">
          <cell r="A1796" t="str">
            <v>37</v>
          </cell>
          <cell r="B1796" t="str">
            <v>98</v>
          </cell>
          <cell r="C1796" t="str">
            <v>1</v>
          </cell>
          <cell r="D1796" t="str">
            <v>B</v>
          </cell>
          <cell r="E1796">
            <v>1</v>
          </cell>
          <cell r="F1796">
            <v>0</v>
          </cell>
          <cell r="G1796" t="str">
            <v>Felh.célú pe.átadás háztartásoknak</v>
          </cell>
        </row>
        <row r="1797">
          <cell r="A1797" t="str">
            <v>38</v>
          </cell>
          <cell r="B1797" t="str">
            <v>98</v>
          </cell>
          <cell r="C1797" t="str">
            <v>1</v>
          </cell>
          <cell r="D1797" t="str">
            <v>B</v>
          </cell>
          <cell r="E1797">
            <v>1</v>
          </cell>
          <cell r="F1797">
            <v>0</v>
          </cell>
          <cell r="G1797" t="str">
            <v>Felh.célú pe.átadás non-profit szervezeteknek</v>
          </cell>
        </row>
        <row r="1798">
          <cell r="A1798" t="str">
            <v>39</v>
          </cell>
          <cell r="B1798" t="str">
            <v>98</v>
          </cell>
          <cell r="C1798" t="str">
            <v>1</v>
          </cell>
          <cell r="D1798" t="str">
            <v>B</v>
          </cell>
          <cell r="E1798">
            <v>1</v>
          </cell>
          <cell r="F1798">
            <v>0</v>
          </cell>
          <cell r="G1798" t="str">
            <v>Felh.célú pe.átadás külföldre</v>
          </cell>
        </row>
        <row r="1799">
          <cell r="A1799" t="str">
            <v>40</v>
          </cell>
          <cell r="B1799" t="str">
            <v>98</v>
          </cell>
          <cell r="C1799" t="str">
            <v>1</v>
          </cell>
          <cell r="D1799" t="str">
            <v>B</v>
          </cell>
          <cell r="E1799">
            <v>1</v>
          </cell>
          <cell r="F1799">
            <v>0</v>
          </cell>
          <cell r="G1799" t="str">
            <v>Intézményi egyéb felhalmozási kiadások</v>
          </cell>
        </row>
        <row r="1800">
          <cell r="A1800" t="str">
            <v>41</v>
          </cell>
          <cell r="B1800" t="str">
            <v>98</v>
          </cell>
          <cell r="C1800" t="str">
            <v>1</v>
          </cell>
          <cell r="D1800" t="str">
            <v>B</v>
          </cell>
          <cell r="E1800">
            <v>1</v>
          </cell>
          <cell r="F1800">
            <v>3</v>
          </cell>
          <cell r="G1800" t="str">
            <v>Egyéb felhalmozási kiadások                (30+...+40)</v>
          </cell>
        </row>
        <row r="1801">
          <cell r="A1801" t="str">
            <v>42</v>
          </cell>
          <cell r="B1801" t="str">
            <v>98</v>
          </cell>
          <cell r="C1801" t="str">
            <v>1</v>
          </cell>
          <cell r="D1801" t="str">
            <v>B</v>
          </cell>
          <cell r="E1801">
            <v>1</v>
          </cell>
          <cell r="F1801">
            <v>3</v>
          </cell>
          <cell r="G1801" t="str">
            <v>Felhalmozási kiadások                    (23+24+25+29+41)</v>
          </cell>
        </row>
        <row r="1802">
          <cell r="A1802" t="str">
            <v>43</v>
          </cell>
          <cell r="B1802" t="str">
            <v>98</v>
          </cell>
          <cell r="C1802" t="str">
            <v>1</v>
          </cell>
          <cell r="D1802" t="str">
            <v>B</v>
          </cell>
          <cell r="E1802">
            <v>1</v>
          </cell>
          <cell r="F1802">
            <v>0</v>
          </cell>
          <cell r="G1802" t="str">
            <v>Kölcsönök nyújtása államháztartáson belülre</v>
          </cell>
        </row>
        <row r="1803">
          <cell r="A1803" t="str">
            <v>44</v>
          </cell>
          <cell r="B1803" t="str">
            <v>98</v>
          </cell>
          <cell r="C1803" t="str">
            <v>1</v>
          </cell>
          <cell r="D1803" t="str">
            <v>B</v>
          </cell>
          <cell r="E1803">
            <v>1</v>
          </cell>
          <cell r="F1803">
            <v>0</v>
          </cell>
          <cell r="G1803" t="str">
            <v>Kölcsönök nyújtása államháztartáson kívülre</v>
          </cell>
        </row>
        <row r="1804">
          <cell r="A1804" t="str">
            <v>45</v>
          </cell>
          <cell r="B1804" t="str">
            <v>98</v>
          </cell>
          <cell r="C1804" t="str">
            <v>1</v>
          </cell>
          <cell r="D1804" t="str">
            <v>B</v>
          </cell>
          <cell r="E1804">
            <v>1</v>
          </cell>
          <cell r="F1804">
            <v>0</v>
          </cell>
          <cell r="G1804" t="str">
            <v>Kölcsönök törlesztése államháztartáson belülre</v>
          </cell>
        </row>
        <row r="1805">
          <cell r="A1805" t="str">
            <v>46</v>
          </cell>
          <cell r="B1805" t="str">
            <v>98</v>
          </cell>
          <cell r="C1805" t="str">
            <v>1</v>
          </cell>
          <cell r="D1805" t="str">
            <v>B</v>
          </cell>
          <cell r="E1805">
            <v>1</v>
          </cell>
          <cell r="F1805">
            <v>0</v>
          </cell>
          <cell r="G1805" t="str">
            <v>Pénzügyi befektetések kiadásaiból részesedések vásárlása</v>
          </cell>
        </row>
        <row r="1806">
          <cell r="A1806" t="str">
            <v>47</v>
          </cell>
          <cell r="B1806" t="str">
            <v>98</v>
          </cell>
          <cell r="C1806" t="str">
            <v>1</v>
          </cell>
          <cell r="D1806" t="str">
            <v>B</v>
          </cell>
          <cell r="E1806">
            <v>1</v>
          </cell>
          <cell r="F1806">
            <v>3</v>
          </cell>
          <cell r="G1806" t="str">
            <v>Törvény szerinti kiadások    (01+..+08+21+22+42+..+46)</v>
          </cell>
        </row>
        <row r="1807">
          <cell r="A1807" t="str">
            <v>48</v>
          </cell>
          <cell r="B1807" t="str">
            <v>98</v>
          </cell>
          <cell r="C1807" t="str">
            <v>1</v>
          </cell>
          <cell r="D1807" t="str">
            <v>B</v>
          </cell>
          <cell r="E1807">
            <v>1</v>
          </cell>
          <cell r="F1807">
            <v>0</v>
          </cell>
          <cell r="G1807" t="str">
            <v>Működési bevételek ÁFA nélkül</v>
          </cell>
        </row>
        <row r="1808">
          <cell r="A1808" t="str">
            <v>49</v>
          </cell>
          <cell r="B1808" t="str">
            <v>98</v>
          </cell>
          <cell r="C1808" t="str">
            <v>1</v>
          </cell>
          <cell r="D1808" t="str">
            <v>B</v>
          </cell>
          <cell r="E1808">
            <v>1</v>
          </cell>
          <cell r="F1808">
            <v>0</v>
          </cell>
          <cell r="G1808" t="str">
            <v>ÁFA bevételek, visszatérülések</v>
          </cell>
        </row>
        <row r="1809">
          <cell r="A1809" t="str">
            <v>50</v>
          </cell>
          <cell r="B1809" t="str">
            <v>98</v>
          </cell>
          <cell r="C1809" t="str">
            <v>1</v>
          </cell>
          <cell r="D1809" t="str">
            <v>B</v>
          </cell>
          <cell r="E1809">
            <v>1</v>
          </cell>
          <cell r="F1809">
            <v>0</v>
          </cell>
          <cell r="G1809" t="str">
            <v>Kamatbevételek</v>
          </cell>
        </row>
        <row r="1810">
          <cell r="A1810" t="str">
            <v>51</v>
          </cell>
          <cell r="B1810" t="str">
            <v>98</v>
          </cell>
          <cell r="C1810" t="str">
            <v>1</v>
          </cell>
          <cell r="D1810" t="str">
            <v>B</v>
          </cell>
          <cell r="E1810">
            <v>1</v>
          </cell>
          <cell r="F1810">
            <v>0</v>
          </cell>
          <cell r="G1810" t="str">
            <v>Működési célú pénzeszközátvétel a TB alapoktól</v>
          </cell>
        </row>
        <row r="1811">
          <cell r="A1811" t="str">
            <v>52</v>
          </cell>
          <cell r="B1811" t="str">
            <v>98</v>
          </cell>
          <cell r="C1811" t="str">
            <v>1</v>
          </cell>
          <cell r="D1811" t="str">
            <v>B</v>
          </cell>
          <cell r="E1811">
            <v>1</v>
          </cell>
          <cell r="F1811">
            <v>0</v>
          </cell>
          <cell r="G1811" t="str">
            <v>Működési célú pénzeszközátvétel az elkül.állami alapoktól</v>
          </cell>
        </row>
        <row r="1812">
          <cell r="A1812" t="str">
            <v>53</v>
          </cell>
          <cell r="B1812" t="str">
            <v>98</v>
          </cell>
          <cell r="C1812" t="str">
            <v>1</v>
          </cell>
          <cell r="D1812" t="str">
            <v>B</v>
          </cell>
          <cell r="E1812">
            <v>1</v>
          </cell>
          <cell r="F1812">
            <v>0</v>
          </cell>
          <cell r="G1812" t="str">
            <v>Költségvetési kiegészítések, visszatérülések</v>
          </cell>
        </row>
        <row r="1813">
          <cell r="A1813" t="str">
            <v>54</v>
          </cell>
          <cell r="B1813" t="str">
            <v>98</v>
          </cell>
          <cell r="C1813" t="str">
            <v>1</v>
          </cell>
          <cell r="D1813" t="str">
            <v>B</v>
          </cell>
          <cell r="E1813">
            <v>1</v>
          </cell>
          <cell r="F1813">
            <v>0</v>
          </cell>
          <cell r="G1813" t="str">
            <v>Műk. célú pe.átvétel központi költségvetési szervtől</v>
          </cell>
        </row>
        <row r="1814">
          <cell r="A1814" t="str">
            <v>55</v>
          </cell>
          <cell r="B1814" t="str">
            <v>98</v>
          </cell>
          <cell r="C1814" t="str">
            <v>1</v>
          </cell>
          <cell r="D1814" t="str">
            <v>B</v>
          </cell>
          <cell r="E1814">
            <v>1</v>
          </cell>
          <cell r="F1814">
            <v>0</v>
          </cell>
          <cell r="G1814" t="str">
            <v>Műk. célú pe.átvétel fejezeti kezelésű elöirányzattól</v>
          </cell>
        </row>
        <row r="1815">
          <cell r="A1815" t="str">
            <v>56</v>
          </cell>
          <cell r="B1815" t="str">
            <v>98</v>
          </cell>
          <cell r="C1815" t="str">
            <v>1</v>
          </cell>
          <cell r="D1815" t="str">
            <v>B</v>
          </cell>
          <cell r="E1815">
            <v>1</v>
          </cell>
          <cell r="F1815">
            <v>0</v>
          </cell>
          <cell r="G1815" t="str">
            <v>Műk. célú pe.átvétel helyi önkormányzatoktól</v>
          </cell>
        </row>
        <row r="1816">
          <cell r="A1816" t="str">
            <v>57</v>
          </cell>
          <cell r="B1816" t="str">
            <v>98</v>
          </cell>
          <cell r="C1816" t="str">
            <v>1</v>
          </cell>
          <cell r="D1816" t="str">
            <v>B</v>
          </cell>
          <cell r="E1816">
            <v>1</v>
          </cell>
          <cell r="F1816">
            <v>0</v>
          </cell>
          <cell r="G1816" t="str">
            <v>Műk. célú pe.átvétel vállalkozásoktól</v>
          </cell>
        </row>
        <row r="1817">
          <cell r="A1817" t="str">
            <v>58</v>
          </cell>
          <cell r="B1817" t="str">
            <v>98</v>
          </cell>
          <cell r="C1817" t="str">
            <v>1</v>
          </cell>
          <cell r="D1817" t="str">
            <v>B</v>
          </cell>
          <cell r="E1817">
            <v>1</v>
          </cell>
          <cell r="F1817">
            <v>0</v>
          </cell>
          <cell r="G1817" t="str">
            <v>Műk. célú pe.átvétel pénzügyi vállalkozásoktól</v>
          </cell>
        </row>
        <row r="1818">
          <cell r="A1818" t="str">
            <v>59</v>
          </cell>
          <cell r="B1818" t="str">
            <v>98</v>
          </cell>
          <cell r="C1818" t="str">
            <v>1</v>
          </cell>
          <cell r="D1818" t="str">
            <v>B</v>
          </cell>
          <cell r="E1818">
            <v>1</v>
          </cell>
          <cell r="F1818">
            <v>0</v>
          </cell>
          <cell r="G1818" t="str">
            <v>Műk. célú pe.átvétel háztartásoktól</v>
          </cell>
        </row>
        <row r="1819">
          <cell r="A1819" t="str">
            <v>60</v>
          </cell>
          <cell r="B1819" t="str">
            <v>98</v>
          </cell>
          <cell r="C1819" t="str">
            <v>1</v>
          </cell>
          <cell r="D1819" t="str">
            <v>B</v>
          </cell>
          <cell r="E1819">
            <v>1</v>
          </cell>
          <cell r="F1819">
            <v>0</v>
          </cell>
          <cell r="G1819" t="str">
            <v>Műk. célú pe.átvétel non-profit szervezetektől</v>
          </cell>
        </row>
        <row r="1820">
          <cell r="A1820" t="str">
            <v>61</v>
          </cell>
          <cell r="B1820" t="str">
            <v>98</v>
          </cell>
          <cell r="C1820" t="str">
            <v>1</v>
          </cell>
          <cell r="D1820" t="str">
            <v>B</v>
          </cell>
          <cell r="E1820">
            <v>1</v>
          </cell>
          <cell r="F1820">
            <v>0</v>
          </cell>
          <cell r="G1820" t="str">
            <v>Műk. célú pe.átvétel nemzetközi szervezetektől</v>
          </cell>
        </row>
        <row r="1821">
          <cell r="A1821" t="str">
            <v>62</v>
          </cell>
          <cell r="B1821" t="str">
            <v>98</v>
          </cell>
          <cell r="C1821" t="str">
            <v>1</v>
          </cell>
          <cell r="D1821" t="str">
            <v>B</v>
          </cell>
          <cell r="E1821">
            <v>1</v>
          </cell>
          <cell r="F1821">
            <v>0</v>
          </cell>
          <cell r="G1821" t="str">
            <v>Műk. célú pe.átvétel egyéb külföldi forrásból</v>
          </cell>
        </row>
        <row r="1822">
          <cell r="A1822" t="str">
            <v>63</v>
          </cell>
          <cell r="B1822" t="str">
            <v>98</v>
          </cell>
          <cell r="C1822" t="str">
            <v>1</v>
          </cell>
          <cell r="D1822" t="str">
            <v>B</v>
          </cell>
          <cell r="E1822">
            <v>1</v>
          </cell>
          <cell r="F1822">
            <v>3</v>
          </cell>
          <cell r="G1822" t="str">
            <v>Egyéb műk.célú pénzeszközátvétel, bevételek (53+...+62)</v>
          </cell>
        </row>
        <row r="1823">
          <cell r="A1823" t="str">
            <v>64</v>
          </cell>
          <cell r="B1823" t="str">
            <v>98</v>
          </cell>
          <cell r="C1823" t="str">
            <v>1</v>
          </cell>
          <cell r="D1823" t="str">
            <v>B</v>
          </cell>
          <cell r="E1823">
            <v>1</v>
          </cell>
          <cell r="F1823">
            <v>0</v>
          </cell>
          <cell r="G1823" t="str">
            <v>Felh.célú pénzeszközátvétel a TB alapoktól és kezelőitől</v>
          </cell>
        </row>
        <row r="1824">
          <cell r="A1824" t="str">
            <v>65</v>
          </cell>
          <cell r="B1824" t="str">
            <v>98</v>
          </cell>
          <cell r="C1824" t="str">
            <v>1</v>
          </cell>
          <cell r="D1824" t="str">
            <v>B</v>
          </cell>
          <cell r="E1824">
            <v>1</v>
          </cell>
          <cell r="F1824">
            <v>0</v>
          </cell>
          <cell r="G1824" t="str">
            <v>Felh.célú pénzeszközátvétel az elkülönit.állami alapoktol</v>
          </cell>
        </row>
        <row r="1825">
          <cell r="A1825" t="str">
            <v>66</v>
          </cell>
          <cell r="B1825" t="str">
            <v>98</v>
          </cell>
          <cell r="C1825" t="str">
            <v>1</v>
          </cell>
          <cell r="D1825" t="str">
            <v>B</v>
          </cell>
          <cell r="E1825">
            <v>1</v>
          </cell>
          <cell r="F1825">
            <v>0</v>
          </cell>
          <cell r="G1825" t="str">
            <v>Felhalmozási és tőke jellegű bevételek</v>
          </cell>
        </row>
        <row r="1826">
          <cell r="A1826" t="str">
            <v>67</v>
          </cell>
          <cell r="B1826" t="str">
            <v>98</v>
          </cell>
          <cell r="C1826" t="str">
            <v>1</v>
          </cell>
          <cell r="D1826" t="str">
            <v>B</v>
          </cell>
          <cell r="E1826">
            <v>1</v>
          </cell>
          <cell r="F1826">
            <v>0</v>
          </cell>
          <cell r="G1826" t="str">
            <v>Felh.célú pe.átvétel központi költségvetési szervtől</v>
          </cell>
        </row>
        <row r="1827">
          <cell r="A1827" t="str">
            <v>68</v>
          </cell>
          <cell r="B1827" t="str">
            <v>98</v>
          </cell>
          <cell r="C1827" t="str">
            <v>1</v>
          </cell>
          <cell r="D1827" t="str">
            <v>B</v>
          </cell>
          <cell r="E1827">
            <v>1</v>
          </cell>
          <cell r="F1827">
            <v>0</v>
          </cell>
          <cell r="G1827" t="str">
            <v>Felh.célú pe.átvétel fejezeti kezelésű előirányzattól</v>
          </cell>
        </row>
        <row r="1828">
          <cell r="A1828" t="str">
            <v>69</v>
          </cell>
          <cell r="B1828" t="str">
            <v>98</v>
          </cell>
          <cell r="C1828" t="str">
            <v>1</v>
          </cell>
          <cell r="D1828" t="str">
            <v>B</v>
          </cell>
          <cell r="E1828">
            <v>1</v>
          </cell>
          <cell r="F1828">
            <v>0</v>
          </cell>
          <cell r="G1828" t="str">
            <v>Felh.célú pe.átvétel helyi önkormányzatoktól</v>
          </cell>
        </row>
        <row r="1829">
          <cell r="A1829" t="str">
            <v>70</v>
          </cell>
          <cell r="B1829" t="str">
            <v>98</v>
          </cell>
          <cell r="C1829" t="str">
            <v>1</v>
          </cell>
          <cell r="D1829" t="str">
            <v>B</v>
          </cell>
          <cell r="E1829">
            <v>1</v>
          </cell>
          <cell r="F1829">
            <v>0</v>
          </cell>
          <cell r="G1829" t="str">
            <v>Felh.célú pe.átvétel vállalkozásoktól</v>
          </cell>
        </row>
        <row r="1830">
          <cell r="A1830" t="str">
            <v>71</v>
          </cell>
          <cell r="B1830" t="str">
            <v>98</v>
          </cell>
          <cell r="C1830" t="str">
            <v>1</v>
          </cell>
          <cell r="D1830" t="str">
            <v>B</v>
          </cell>
          <cell r="E1830">
            <v>1</v>
          </cell>
          <cell r="F1830">
            <v>0</v>
          </cell>
          <cell r="G1830" t="str">
            <v>Felh.célú pe.átvétel pénzügyi vállalkozásoktól</v>
          </cell>
        </row>
        <row r="1831">
          <cell r="A1831" t="str">
            <v>72</v>
          </cell>
          <cell r="B1831" t="str">
            <v>98</v>
          </cell>
          <cell r="C1831" t="str">
            <v>1</v>
          </cell>
          <cell r="D1831" t="str">
            <v>B</v>
          </cell>
          <cell r="E1831">
            <v>1</v>
          </cell>
          <cell r="F1831">
            <v>0</v>
          </cell>
          <cell r="G1831" t="str">
            <v>Felh.célú pe.átvétel háztartásoktól</v>
          </cell>
        </row>
        <row r="1832">
          <cell r="A1832" t="str">
            <v>73</v>
          </cell>
          <cell r="B1832" t="str">
            <v>98</v>
          </cell>
          <cell r="C1832" t="str">
            <v>1</v>
          </cell>
          <cell r="D1832" t="str">
            <v>B</v>
          </cell>
          <cell r="E1832">
            <v>1</v>
          </cell>
          <cell r="F1832">
            <v>0</v>
          </cell>
          <cell r="G1832" t="str">
            <v>Felh.célú pe.átvétel non-profit szervezetektől</v>
          </cell>
        </row>
        <row r="1833">
          <cell r="A1833" t="str">
            <v>74</v>
          </cell>
          <cell r="B1833" t="str">
            <v>98</v>
          </cell>
          <cell r="C1833" t="str">
            <v>1</v>
          </cell>
          <cell r="D1833" t="str">
            <v>B</v>
          </cell>
          <cell r="E1833">
            <v>1</v>
          </cell>
          <cell r="F1833">
            <v>0</v>
          </cell>
          <cell r="G1833" t="str">
            <v>Felh.célú pe.átvétel nemzetközi szervezetektől</v>
          </cell>
        </row>
        <row r="1834">
          <cell r="A1834" t="str">
            <v>75</v>
          </cell>
          <cell r="B1834" t="str">
            <v>98</v>
          </cell>
          <cell r="C1834" t="str">
            <v>1</v>
          </cell>
          <cell r="D1834" t="str">
            <v>B</v>
          </cell>
          <cell r="E1834">
            <v>1</v>
          </cell>
          <cell r="F1834">
            <v>0</v>
          </cell>
          <cell r="G1834" t="str">
            <v>Felh.célú pe.átvétel egyéb külföldi forrásból</v>
          </cell>
        </row>
        <row r="1835">
          <cell r="A1835" t="str">
            <v>76</v>
          </cell>
          <cell r="B1835" t="str">
            <v>98</v>
          </cell>
          <cell r="C1835" t="str">
            <v>1</v>
          </cell>
          <cell r="D1835" t="str">
            <v>B</v>
          </cell>
          <cell r="E1835">
            <v>1</v>
          </cell>
          <cell r="F1835">
            <v>3</v>
          </cell>
          <cell r="G1835" t="str">
            <v>Egyéb felh.célú pénzeszközátvétel, bevételek (66+...+75)</v>
          </cell>
        </row>
        <row r="1836">
          <cell r="A1836" t="str">
            <v>77</v>
          </cell>
          <cell r="B1836" t="str">
            <v>98</v>
          </cell>
          <cell r="C1836" t="str">
            <v>1</v>
          </cell>
          <cell r="D1836" t="str">
            <v>B</v>
          </cell>
          <cell r="E1836">
            <v>1</v>
          </cell>
          <cell r="F1836">
            <v>0</v>
          </cell>
          <cell r="G1836" t="str">
            <v>Kölcsönök visszatérülése államháztartáson belülről</v>
          </cell>
        </row>
        <row r="1837">
          <cell r="A1837" t="str">
            <v>78</v>
          </cell>
          <cell r="B1837" t="str">
            <v>98</v>
          </cell>
          <cell r="C1837" t="str">
            <v>1</v>
          </cell>
          <cell r="D1837" t="str">
            <v>B</v>
          </cell>
          <cell r="E1837">
            <v>1</v>
          </cell>
          <cell r="F1837">
            <v>0</v>
          </cell>
          <cell r="G1837" t="str">
            <v>Kölcsönök visszatérülése államháztartáson kivülről</v>
          </cell>
        </row>
        <row r="1838">
          <cell r="A1838" t="str">
            <v>79</v>
          </cell>
          <cell r="B1838" t="str">
            <v>98</v>
          </cell>
          <cell r="C1838" t="str">
            <v>1</v>
          </cell>
          <cell r="D1838" t="str">
            <v>B</v>
          </cell>
          <cell r="E1838">
            <v>1</v>
          </cell>
          <cell r="F1838">
            <v>0</v>
          </cell>
          <cell r="G1838" t="str">
            <v>Kölcsönök igénybevétele államháztartáson belülről</v>
          </cell>
        </row>
        <row r="1839">
          <cell r="A1839" t="str">
            <v>80</v>
          </cell>
          <cell r="B1839" t="str">
            <v>98</v>
          </cell>
          <cell r="C1839" t="str">
            <v>1</v>
          </cell>
          <cell r="D1839" t="str">
            <v>B</v>
          </cell>
          <cell r="E1839">
            <v>1</v>
          </cell>
          <cell r="F1839">
            <v>0</v>
          </cell>
          <cell r="G1839" t="str">
            <v>Osztalékok</v>
          </cell>
        </row>
        <row r="1840">
          <cell r="A1840" t="str">
            <v>81</v>
          </cell>
          <cell r="B1840" t="str">
            <v>98</v>
          </cell>
          <cell r="C1840" t="str">
            <v>1</v>
          </cell>
          <cell r="D1840" t="str">
            <v>B</v>
          </cell>
          <cell r="E1840">
            <v>1</v>
          </cell>
          <cell r="F1840">
            <v>0</v>
          </cell>
          <cell r="G1840" t="str">
            <v>Pénzügyi befektetések bevételeiből részesedések</v>
          </cell>
        </row>
        <row r="1841">
          <cell r="A1841" t="str">
            <v>82</v>
          </cell>
          <cell r="B1841" t="str">
            <v>98</v>
          </cell>
          <cell r="C1841" t="str">
            <v>1</v>
          </cell>
          <cell r="D1841" t="str">
            <v>B</v>
          </cell>
          <cell r="E1841">
            <v>1</v>
          </cell>
          <cell r="F1841">
            <v>0</v>
          </cell>
          <cell r="G1841" t="str">
            <v>Sajátos bevételek</v>
          </cell>
        </row>
        <row r="1842">
          <cell r="A1842" t="str">
            <v>83</v>
          </cell>
          <cell r="B1842" t="str">
            <v>98</v>
          </cell>
          <cell r="C1842" t="str">
            <v>1</v>
          </cell>
          <cell r="D1842" t="str">
            <v>B</v>
          </cell>
          <cell r="E1842">
            <v>1</v>
          </cell>
          <cell r="F1842">
            <v>3</v>
          </cell>
          <cell r="G1842" t="str">
            <v>Törvény szerinti bevételek (48+..+52+63+64+65+76+..+82)</v>
          </cell>
        </row>
        <row r="1843">
          <cell r="A1843" t="str">
            <v>84</v>
          </cell>
          <cell r="B1843" t="str">
            <v>98</v>
          </cell>
          <cell r="C1843" t="str">
            <v>1</v>
          </cell>
          <cell r="D1843" t="str">
            <v>B</v>
          </cell>
          <cell r="E1843">
            <v>1</v>
          </cell>
          <cell r="F1843">
            <v>3</v>
          </cell>
          <cell r="G1843" t="str">
            <v>Törvény szerinti kiadások és bevételek egyenlege(47-83)</v>
          </cell>
        </row>
        <row r="1844">
          <cell r="A1844" t="str">
            <v>85</v>
          </cell>
          <cell r="B1844" t="str">
            <v>98</v>
          </cell>
          <cell r="C1844" t="str">
            <v>1</v>
          </cell>
          <cell r="D1844" t="str">
            <v>B</v>
          </cell>
          <cell r="E1844">
            <v>1</v>
          </cell>
          <cell r="F1844">
            <v>0</v>
          </cell>
          <cell r="G1844" t="str">
            <v>Működési költségvetés támogatása</v>
          </cell>
        </row>
        <row r="1845">
          <cell r="A1845" t="str">
            <v>86</v>
          </cell>
          <cell r="B1845" t="str">
            <v>98</v>
          </cell>
          <cell r="C1845" t="str">
            <v>1</v>
          </cell>
          <cell r="D1845" t="str">
            <v>B</v>
          </cell>
          <cell r="E1845">
            <v>1</v>
          </cell>
          <cell r="F1845">
            <v>0</v>
          </cell>
          <cell r="G1845" t="str">
            <v>Intézményi felhalmozási kiadások támogatása</v>
          </cell>
        </row>
        <row r="1846">
          <cell r="A1846" t="str">
            <v>87</v>
          </cell>
          <cell r="B1846" t="str">
            <v>98</v>
          </cell>
          <cell r="C1846" t="str">
            <v>1</v>
          </cell>
          <cell r="D1846" t="str">
            <v>B</v>
          </cell>
          <cell r="E1846">
            <v>1</v>
          </cell>
          <cell r="F1846">
            <v>0</v>
          </cell>
          <cell r="G1846" t="str">
            <v>Központi felhalmozási kiadások támogatása</v>
          </cell>
        </row>
        <row r="1847">
          <cell r="A1847" t="str">
            <v>88</v>
          </cell>
          <cell r="B1847" t="str">
            <v>98</v>
          </cell>
          <cell r="C1847" t="str">
            <v>1</v>
          </cell>
          <cell r="D1847" t="str">
            <v>B</v>
          </cell>
          <cell r="E1847">
            <v>1</v>
          </cell>
          <cell r="F1847">
            <v>0</v>
          </cell>
          <cell r="G1847" t="str">
            <v>Fejezeti kezelésű előirányzatok támogatása</v>
          </cell>
        </row>
        <row r="1848">
          <cell r="A1848" t="str">
            <v>89</v>
          </cell>
          <cell r="B1848" t="str">
            <v>98</v>
          </cell>
          <cell r="C1848" t="str">
            <v>1</v>
          </cell>
          <cell r="D1848" t="str">
            <v>B</v>
          </cell>
          <cell r="E1848">
            <v>1</v>
          </cell>
          <cell r="F1848">
            <v>3</v>
          </cell>
          <cell r="G1848" t="str">
            <v>Költségvetési támogatás                     (85+...+88)</v>
          </cell>
        </row>
        <row r="1849">
          <cell r="A1849" t="str">
            <v>90</v>
          </cell>
          <cell r="B1849" t="str">
            <v>98</v>
          </cell>
          <cell r="C1849" t="str">
            <v>1</v>
          </cell>
          <cell r="D1849" t="str">
            <v>B</v>
          </cell>
          <cell r="E1849">
            <v>1</v>
          </cell>
          <cell r="F1849">
            <v>3</v>
          </cell>
          <cell r="G1849" t="str">
            <v>Kiadások és bevételek egyenlege (költ.tám.-sal) (84-89)</v>
          </cell>
        </row>
        <row r="1850">
          <cell r="A1850" t="str">
            <v>91</v>
          </cell>
          <cell r="B1850" t="str">
            <v>98</v>
          </cell>
          <cell r="C1850" t="str">
            <v>1</v>
          </cell>
          <cell r="D1850" t="str">
            <v>B</v>
          </cell>
          <cell r="E1850">
            <v>1</v>
          </cell>
          <cell r="F1850">
            <v>0</v>
          </cell>
          <cell r="G1850" t="str">
            <v>Kiadásból:működésből felhalmozás keresztfinanszírozása</v>
          </cell>
        </row>
        <row r="1851">
          <cell r="A1851" t="str">
            <v>92</v>
          </cell>
          <cell r="B1851" t="str">
            <v>98</v>
          </cell>
          <cell r="C1851" t="str">
            <v>1</v>
          </cell>
          <cell r="D1851" t="str">
            <v>B</v>
          </cell>
          <cell r="E1851">
            <v>1</v>
          </cell>
          <cell r="F1851">
            <v>0</v>
          </cell>
          <cell r="G1851" t="str">
            <v>Kiadásból:felhalmozásból működés keresztfinanszírozása</v>
          </cell>
        </row>
        <row r="1852">
          <cell r="A1852" t="str">
            <v>93</v>
          </cell>
          <cell r="B1852" t="str">
            <v>98</v>
          </cell>
          <cell r="C1852" t="str">
            <v>1</v>
          </cell>
          <cell r="D1852" t="str">
            <v>B</v>
          </cell>
          <cell r="E1852">
            <v>1</v>
          </cell>
          <cell r="F1852">
            <v>0</v>
          </cell>
          <cell r="G1852" t="str">
            <v>Műk.költségvetés előir.-maradv.pénzmar.igénybevétele</v>
          </cell>
        </row>
        <row r="1853">
          <cell r="A1853" t="str">
            <v>94</v>
          </cell>
          <cell r="B1853" t="str">
            <v>98</v>
          </cell>
          <cell r="C1853" t="str">
            <v>1</v>
          </cell>
          <cell r="D1853" t="str">
            <v>B</v>
          </cell>
          <cell r="E1853">
            <v>1</v>
          </cell>
          <cell r="F1853">
            <v>0</v>
          </cell>
          <cell r="G1853" t="str">
            <v>Intézm.felhalmozási kiadások előir.-maradv. igénybevétele</v>
          </cell>
        </row>
        <row r="1854">
          <cell r="A1854" t="str">
            <v>95</v>
          </cell>
          <cell r="B1854" t="str">
            <v>98</v>
          </cell>
          <cell r="C1854" t="str">
            <v>1</v>
          </cell>
          <cell r="D1854" t="str">
            <v>B</v>
          </cell>
          <cell r="E1854">
            <v>1</v>
          </cell>
          <cell r="F1854">
            <v>0</v>
          </cell>
          <cell r="G1854" t="str">
            <v>Központi felhalmozási kiadások előir.-maradv. igénybevétele</v>
          </cell>
        </row>
        <row r="1855">
          <cell r="A1855" t="str">
            <v>96</v>
          </cell>
          <cell r="B1855" t="str">
            <v>98</v>
          </cell>
          <cell r="C1855" t="str">
            <v>1</v>
          </cell>
          <cell r="D1855" t="str">
            <v>B</v>
          </cell>
          <cell r="E1855">
            <v>1</v>
          </cell>
          <cell r="F1855">
            <v>0</v>
          </cell>
          <cell r="G1855" t="str">
            <v>Fejezeti kez.(spec.)előirányzatok előir.-maradv. igénybev.</v>
          </cell>
        </row>
        <row r="1856">
          <cell r="A1856" t="str">
            <v>97</v>
          </cell>
          <cell r="B1856" t="str">
            <v>98</v>
          </cell>
          <cell r="C1856" t="str">
            <v>1</v>
          </cell>
          <cell r="D1856" t="str">
            <v>B</v>
          </cell>
          <cell r="E1856">
            <v>1</v>
          </cell>
          <cell r="F1856">
            <v>3</v>
          </cell>
          <cell r="G1856" t="str">
            <v>Előző évi előir.-maradv.,pénzm.igénybevétele  (93+..+96)</v>
          </cell>
        </row>
        <row r="1857">
          <cell r="A1857" t="str">
            <v>98</v>
          </cell>
          <cell r="B1857" t="str">
            <v>98</v>
          </cell>
          <cell r="C1857" t="str">
            <v>1</v>
          </cell>
          <cell r="D1857" t="str">
            <v>B</v>
          </cell>
          <cell r="E1857">
            <v>1</v>
          </cell>
          <cell r="F1857">
            <v>0</v>
          </cell>
          <cell r="G1857" t="str">
            <v>Rövid lejáratú hitelek törlesztése</v>
          </cell>
        </row>
        <row r="1858">
          <cell r="A1858" t="str">
            <v>99</v>
          </cell>
          <cell r="B1858" t="str">
            <v>98</v>
          </cell>
          <cell r="C1858" t="str">
            <v>1</v>
          </cell>
          <cell r="D1858" t="str">
            <v>B</v>
          </cell>
          <cell r="E1858">
            <v>1</v>
          </cell>
          <cell r="F1858">
            <v>0</v>
          </cell>
          <cell r="G1858" t="str">
            <v>Hosszú lejáratú hitelek törlesztése</v>
          </cell>
        </row>
        <row r="1859">
          <cell r="A1859" t="str">
            <v>100</v>
          </cell>
          <cell r="B1859" t="str">
            <v>98</v>
          </cell>
          <cell r="C1859" t="str">
            <v>1</v>
          </cell>
          <cell r="D1859" t="str">
            <v>B</v>
          </cell>
          <cell r="E1859">
            <v>1</v>
          </cell>
          <cell r="F1859">
            <v>0</v>
          </cell>
          <cell r="G1859" t="str">
            <v>Rövid lejáratú értékpapírok beváltása</v>
          </cell>
        </row>
        <row r="1860">
          <cell r="A1860" t="str">
            <v>101</v>
          </cell>
          <cell r="B1860" t="str">
            <v>98</v>
          </cell>
          <cell r="C1860" t="str">
            <v>1</v>
          </cell>
          <cell r="D1860" t="str">
            <v>B</v>
          </cell>
          <cell r="E1860">
            <v>1</v>
          </cell>
          <cell r="F1860">
            <v>0</v>
          </cell>
          <cell r="G1860" t="str">
            <v>Rövid lejáratú értékpapírok vásárlása</v>
          </cell>
        </row>
        <row r="1861">
          <cell r="A1861" t="str">
            <v>102</v>
          </cell>
          <cell r="B1861" t="str">
            <v>98</v>
          </cell>
          <cell r="C1861" t="str">
            <v>1</v>
          </cell>
          <cell r="D1861" t="str">
            <v>B</v>
          </cell>
          <cell r="E1861">
            <v>1</v>
          </cell>
          <cell r="F1861">
            <v>0</v>
          </cell>
          <cell r="G1861" t="str">
            <v>Hosszú lejáratú belföldi értékpapírok beváltása</v>
          </cell>
        </row>
        <row r="1862">
          <cell r="A1862" t="str">
            <v>103</v>
          </cell>
          <cell r="B1862" t="str">
            <v>98</v>
          </cell>
          <cell r="C1862" t="str">
            <v>1</v>
          </cell>
          <cell r="D1862" t="str">
            <v>B</v>
          </cell>
          <cell r="E1862">
            <v>1</v>
          </cell>
          <cell r="F1862">
            <v>0</v>
          </cell>
          <cell r="G1862" t="str">
            <v>Hosszú lejáratú értékpapírok vásárlása</v>
          </cell>
        </row>
        <row r="1863">
          <cell r="A1863" t="str">
            <v>104</v>
          </cell>
          <cell r="B1863" t="str">
            <v>98</v>
          </cell>
          <cell r="C1863" t="str">
            <v>1</v>
          </cell>
          <cell r="D1863" t="str">
            <v>B</v>
          </cell>
          <cell r="E1863">
            <v>1</v>
          </cell>
          <cell r="F1863">
            <v>0</v>
          </cell>
          <cell r="G1863" t="str">
            <v>Hosszú lejáratú külföldi értékpapírok beváltása</v>
          </cell>
        </row>
        <row r="1864">
          <cell r="A1864" t="str">
            <v>105</v>
          </cell>
          <cell r="B1864" t="str">
            <v>98</v>
          </cell>
          <cell r="C1864" t="str">
            <v>1</v>
          </cell>
          <cell r="D1864" t="str">
            <v>B</v>
          </cell>
          <cell r="E1864">
            <v>1</v>
          </cell>
          <cell r="F1864">
            <v>0</v>
          </cell>
          <cell r="G1864" t="str">
            <v>Hiteltörlesztés külföldre</v>
          </cell>
        </row>
        <row r="1865">
          <cell r="A1865" t="str">
            <v>106</v>
          </cell>
          <cell r="B1865" t="str">
            <v>98</v>
          </cell>
          <cell r="C1865" t="str">
            <v>1</v>
          </cell>
          <cell r="D1865" t="str">
            <v>B</v>
          </cell>
          <cell r="E1865">
            <v>1</v>
          </cell>
          <cell r="F1865">
            <v>0</v>
          </cell>
          <cell r="G1865" t="str">
            <v>Egyéb finanszírozás kiadásai</v>
          </cell>
        </row>
        <row r="1866">
          <cell r="A1866" t="str">
            <v>107</v>
          </cell>
          <cell r="B1866" t="str">
            <v>98</v>
          </cell>
          <cell r="C1866" t="str">
            <v>1</v>
          </cell>
          <cell r="D1866" t="str">
            <v>B</v>
          </cell>
          <cell r="E1866">
            <v>1</v>
          </cell>
          <cell r="F1866">
            <v>3</v>
          </cell>
          <cell r="G1866" t="str">
            <v>Finanszírozási kiadások                   (98+...+106)</v>
          </cell>
        </row>
        <row r="1867">
          <cell r="A1867" t="str">
            <v>108</v>
          </cell>
          <cell r="B1867" t="str">
            <v>98</v>
          </cell>
          <cell r="C1867" t="str">
            <v>1</v>
          </cell>
          <cell r="D1867" t="str">
            <v>B</v>
          </cell>
          <cell r="E1867">
            <v>1</v>
          </cell>
          <cell r="F1867">
            <v>0</v>
          </cell>
          <cell r="G1867" t="str">
            <v>Rövid lejáratú hitelek bevételei</v>
          </cell>
        </row>
        <row r="1868">
          <cell r="A1868" t="str">
            <v>109</v>
          </cell>
          <cell r="B1868" t="str">
            <v>98</v>
          </cell>
          <cell r="C1868" t="str">
            <v>1</v>
          </cell>
          <cell r="D1868" t="str">
            <v>B</v>
          </cell>
          <cell r="E1868">
            <v>1</v>
          </cell>
          <cell r="F1868">
            <v>0</v>
          </cell>
          <cell r="G1868" t="str">
            <v>Hosszú lejáratú hitelek bevételei</v>
          </cell>
        </row>
        <row r="1869">
          <cell r="A1869" t="str">
            <v>110</v>
          </cell>
          <cell r="B1869" t="str">
            <v>98</v>
          </cell>
          <cell r="C1869" t="str">
            <v>1</v>
          </cell>
          <cell r="D1869" t="str">
            <v>B</v>
          </cell>
          <cell r="E1869">
            <v>1</v>
          </cell>
          <cell r="F1869">
            <v>0</v>
          </cell>
          <cell r="G1869" t="str">
            <v>Rövid lejáratú értékpapírok kibocsátása</v>
          </cell>
        </row>
        <row r="1870">
          <cell r="A1870" t="str">
            <v>111</v>
          </cell>
          <cell r="B1870" t="str">
            <v>98</v>
          </cell>
          <cell r="C1870" t="str">
            <v>1</v>
          </cell>
          <cell r="D1870" t="str">
            <v>B</v>
          </cell>
          <cell r="E1870">
            <v>1</v>
          </cell>
          <cell r="F1870">
            <v>0</v>
          </cell>
          <cell r="G1870" t="str">
            <v>Rövid lejáratú értékpapírok értékesítése</v>
          </cell>
        </row>
        <row r="1871">
          <cell r="A1871" t="str">
            <v>112</v>
          </cell>
          <cell r="B1871" t="str">
            <v>98</v>
          </cell>
          <cell r="C1871" t="str">
            <v>1</v>
          </cell>
          <cell r="D1871" t="str">
            <v>B</v>
          </cell>
          <cell r="E1871">
            <v>1</v>
          </cell>
          <cell r="F1871">
            <v>0</v>
          </cell>
          <cell r="G1871" t="str">
            <v>Hosszú lejáratú belföldi értékpapírok kibocsátása</v>
          </cell>
        </row>
        <row r="1872">
          <cell r="A1872" t="str">
            <v>113</v>
          </cell>
          <cell r="B1872" t="str">
            <v>98</v>
          </cell>
          <cell r="C1872" t="str">
            <v>1</v>
          </cell>
          <cell r="D1872" t="str">
            <v>B</v>
          </cell>
          <cell r="E1872">
            <v>1</v>
          </cell>
          <cell r="F1872">
            <v>0</v>
          </cell>
          <cell r="G1872" t="str">
            <v>Hosszú lejáratú értékpapírok értékesítése</v>
          </cell>
        </row>
        <row r="1873">
          <cell r="A1873" t="str">
            <v>114</v>
          </cell>
          <cell r="B1873" t="str">
            <v>98</v>
          </cell>
          <cell r="C1873" t="str">
            <v>1</v>
          </cell>
          <cell r="D1873" t="str">
            <v>B</v>
          </cell>
          <cell r="E1873">
            <v>1</v>
          </cell>
          <cell r="F1873">
            <v>0</v>
          </cell>
          <cell r="G1873" t="str">
            <v>Hosszú lejáratú külföldi értékpapírok kibocsátása</v>
          </cell>
        </row>
        <row r="1874">
          <cell r="A1874" t="str">
            <v>115</v>
          </cell>
          <cell r="B1874" t="str">
            <v>98</v>
          </cell>
          <cell r="C1874" t="str">
            <v>1</v>
          </cell>
          <cell r="D1874" t="str">
            <v>B</v>
          </cell>
          <cell r="E1874">
            <v>1</v>
          </cell>
          <cell r="F1874">
            <v>0</v>
          </cell>
          <cell r="G1874" t="str">
            <v>Hitelfelvétel külföldről</v>
          </cell>
        </row>
        <row r="1875">
          <cell r="A1875" t="str">
            <v>116</v>
          </cell>
          <cell r="B1875" t="str">
            <v>98</v>
          </cell>
          <cell r="C1875" t="str">
            <v>1</v>
          </cell>
          <cell r="D1875" t="str">
            <v>B</v>
          </cell>
          <cell r="E1875">
            <v>1</v>
          </cell>
          <cell r="F1875">
            <v>0</v>
          </cell>
          <cell r="G1875" t="str">
            <v>Egyéb finanszírozás bevételei</v>
          </cell>
        </row>
        <row r="1876">
          <cell r="A1876" t="str">
            <v>117</v>
          </cell>
          <cell r="B1876" t="str">
            <v>98</v>
          </cell>
          <cell r="C1876" t="str">
            <v>1</v>
          </cell>
          <cell r="D1876" t="str">
            <v>B</v>
          </cell>
          <cell r="E1876">
            <v>1</v>
          </cell>
          <cell r="F1876">
            <v>3</v>
          </cell>
          <cell r="G1876" t="str">
            <v>Finanszírozási bevételek                 (108+...+116)</v>
          </cell>
        </row>
        <row r="1877">
          <cell r="A1877" t="str">
            <v>118</v>
          </cell>
          <cell r="B1877" t="str">
            <v>98</v>
          </cell>
          <cell r="C1877" t="str">
            <v>1</v>
          </cell>
          <cell r="D1877" t="str">
            <v>B</v>
          </cell>
          <cell r="E1877">
            <v>1</v>
          </cell>
          <cell r="F1877">
            <v>4</v>
          </cell>
          <cell r="G1877" t="str">
            <v>Finanszírozás összesen              (97-107+117)=(90)</v>
          </cell>
        </row>
        <row r="1878">
          <cell r="A1878" t="str">
            <v>119</v>
          </cell>
          <cell r="B1878" t="str">
            <v>98</v>
          </cell>
          <cell r="C1878" t="str">
            <v>1</v>
          </cell>
          <cell r="D1878" t="str">
            <v>B</v>
          </cell>
          <cell r="E1878">
            <v>1</v>
          </cell>
          <cell r="F1878">
            <v>0</v>
          </cell>
          <cell r="G1878" t="str">
            <v>Foglalkoztatottak létszáma(fő) - időszakra</v>
          </cell>
        </row>
        <row r="1879">
          <cell r="A1879" t="str">
            <v>1</v>
          </cell>
          <cell r="B1879" t="str">
            <v>75</v>
          </cell>
          <cell r="C1879" t="str">
            <v>1</v>
          </cell>
          <cell r="D1879" t="str">
            <v>B</v>
          </cell>
          <cell r="E1879">
            <v>1</v>
          </cell>
          <cell r="F1879">
            <v>0</v>
          </cell>
          <cell r="G1879" t="str">
            <v>1. Intézményi beruházási kiadások</v>
          </cell>
        </row>
        <row r="1880">
          <cell r="A1880" t="str">
            <v>2</v>
          </cell>
          <cell r="B1880" t="str">
            <v>75</v>
          </cell>
          <cell r="C1880" t="str">
            <v>1</v>
          </cell>
          <cell r="D1880" t="str">
            <v>B</v>
          </cell>
          <cell r="E1880">
            <v>1</v>
          </cell>
          <cell r="F1880">
            <v>0</v>
          </cell>
          <cell r="G1880" t="str">
            <v>2. Felújítás</v>
          </cell>
        </row>
        <row r="1881">
          <cell r="A1881" t="str">
            <v>3</v>
          </cell>
          <cell r="B1881" t="str">
            <v>75</v>
          </cell>
          <cell r="C1881" t="str">
            <v>1</v>
          </cell>
          <cell r="D1881" t="str">
            <v>B</v>
          </cell>
          <cell r="E1881">
            <v>1</v>
          </cell>
          <cell r="F1881">
            <v>0</v>
          </cell>
          <cell r="G1881" t="str">
            <v>3. Központi beruházás</v>
          </cell>
        </row>
        <row r="1882">
          <cell r="A1882" t="str">
            <v>4</v>
          </cell>
          <cell r="B1882" t="str">
            <v>75</v>
          </cell>
          <cell r="C1882" t="str">
            <v>1</v>
          </cell>
          <cell r="D1882" t="str">
            <v>B</v>
          </cell>
          <cell r="E1882">
            <v>1</v>
          </cell>
          <cell r="F1882">
            <v>0</v>
          </cell>
          <cell r="G1882" t="str">
            <v>4. Lakástámogatás</v>
          </cell>
        </row>
        <row r="1883">
          <cell r="A1883" t="str">
            <v>5</v>
          </cell>
          <cell r="B1883" t="str">
            <v>75</v>
          </cell>
          <cell r="C1883" t="str">
            <v>1</v>
          </cell>
          <cell r="D1883" t="str">
            <v>B</v>
          </cell>
          <cell r="E1883">
            <v>1</v>
          </cell>
          <cell r="F1883">
            <v>0</v>
          </cell>
          <cell r="G1883" t="str">
            <v>5. Lakásépítés</v>
          </cell>
        </row>
        <row r="1884">
          <cell r="A1884" t="str">
            <v>6</v>
          </cell>
          <cell r="B1884" t="str">
            <v>75</v>
          </cell>
          <cell r="C1884" t="str">
            <v>1</v>
          </cell>
          <cell r="D1884" t="str">
            <v>B</v>
          </cell>
          <cell r="E1884">
            <v>1</v>
          </cell>
          <cell r="F1884">
            <v>0</v>
          </cell>
          <cell r="G1884" t="str">
            <v>6. Állami készletek, tartalékok</v>
          </cell>
        </row>
        <row r="1885">
          <cell r="A1885" t="str">
            <v>7</v>
          </cell>
          <cell r="B1885" t="str">
            <v>75</v>
          </cell>
          <cell r="C1885" t="str">
            <v>1</v>
          </cell>
          <cell r="D1885" t="str">
            <v>B</v>
          </cell>
          <cell r="E1885">
            <v>1</v>
          </cell>
          <cell r="F1885">
            <v>0</v>
          </cell>
          <cell r="G1885" t="str">
            <v>7. Beruházás, felújítás általános forgalmi adója</v>
          </cell>
        </row>
        <row r="1886">
          <cell r="A1886" t="str">
            <v>8</v>
          </cell>
          <cell r="B1886" t="str">
            <v>75</v>
          </cell>
          <cell r="C1886" t="str">
            <v>1</v>
          </cell>
          <cell r="D1886" t="str">
            <v>B</v>
          </cell>
          <cell r="E1886">
            <v>1</v>
          </cell>
          <cell r="F1886">
            <v>0</v>
          </cell>
          <cell r="G1886" t="str">
            <v>Felhalmozási kiadások (01+...+07)</v>
          </cell>
        </row>
        <row r="1887">
          <cell r="A1887" t="str">
            <v>9</v>
          </cell>
          <cell r="B1887" t="str">
            <v>75</v>
          </cell>
          <cell r="C1887" t="str">
            <v>1</v>
          </cell>
          <cell r="D1887" t="str">
            <v>B</v>
          </cell>
          <cell r="E1887">
            <v>1</v>
          </cell>
          <cell r="F1887">
            <v>0</v>
          </cell>
          <cell r="G1887" t="str">
            <v>1. Tartósan adott kölcsönök (visszterhesen adott pénzeszk.)</v>
          </cell>
        </row>
        <row r="1888">
          <cell r="A1888" t="str">
            <v>10</v>
          </cell>
          <cell r="B1888" t="str">
            <v>75</v>
          </cell>
          <cell r="C1888" t="str">
            <v>1</v>
          </cell>
          <cell r="D1888" t="str">
            <v>B</v>
          </cell>
          <cell r="E1888">
            <v>1</v>
          </cell>
          <cell r="F1888">
            <v>0</v>
          </cell>
          <cell r="G1888" t="str">
            <v>2. Rövid lejáratú támogatási kölcsönök</v>
          </cell>
        </row>
        <row r="1889">
          <cell r="A1889" t="str">
            <v>11</v>
          </cell>
          <cell r="B1889" t="str">
            <v>75</v>
          </cell>
          <cell r="C1889" t="str">
            <v>1</v>
          </cell>
          <cell r="D1889" t="str">
            <v>B</v>
          </cell>
          <cell r="E1889">
            <v>1</v>
          </cell>
          <cell r="F1889">
            <v>0</v>
          </cell>
          <cell r="G1889" t="str">
            <v>3. Végleges pénzeszközátadás (12+15)</v>
          </cell>
        </row>
        <row r="1890">
          <cell r="A1890" t="str">
            <v>12</v>
          </cell>
          <cell r="B1890" t="str">
            <v>75</v>
          </cell>
          <cell r="C1890" t="str">
            <v>1</v>
          </cell>
          <cell r="D1890" t="str">
            <v>B</v>
          </cell>
          <cell r="E1890">
            <v>1</v>
          </cell>
          <cell r="F1890">
            <v>0</v>
          </cell>
          <cell r="G1890" t="str">
            <v>3.1. Felhalmozási célú végleges pénzeszközátadás (13+14)</v>
          </cell>
        </row>
        <row r="1891">
          <cell r="A1891" t="str">
            <v>13</v>
          </cell>
          <cell r="B1891" t="str">
            <v>75</v>
          </cell>
          <cell r="C1891" t="str">
            <v>1</v>
          </cell>
          <cell r="D1891" t="str">
            <v>B</v>
          </cell>
          <cell r="E1891">
            <v>1</v>
          </cell>
          <cell r="F1891">
            <v>0</v>
          </cell>
          <cell r="G1891" t="str">
            <v>3.1.1. Felhalm-i célú áht-n belüli végleges pénzeszközátadás</v>
          </cell>
        </row>
        <row r="1892">
          <cell r="A1892" t="str">
            <v>14</v>
          </cell>
          <cell r="B1892" t="str">
            <v>75</v>
          </cell>
          <cell r="C1892" t="str">
            <v>1</v>
          </cell>
          <cell r="D1892" t="str">
            <v>B</v>
          </cell>
          <cell r="E1892">
            <v>1</v>
          </cell>
          <cell r="F1892">
            <v>0</v>
          </cell>
          <cell r="G1892" t="str">
            <v>3.1.2. Felhalm-i célú áht-n kívüli végleges pénzeszközátadás</v>
          </cell>
        </row>
        <row r="1893">
          <cell r="A1893" t="str">
            <v>15</v>
          </cell>
          <cell r="B1893" t="str">
            <v>75</v>
          </cell>
          <cell r="C1893" t="str">
            <v>1</v>
          </cell>
          <cell r="D1893" t="str">
            <v>B</v>
          </cell>
          <cell r="E1893">
            <v>1</v>
          </cell>
          <cell r="F1893">
            <v>0</v>
          </cell>
          <cell r="G1893" t="str">
            <v>3.2. Működési célú végleges pénzeszközátadás (16+17)</v>
          </cell>
        </row>
        <row r="1894">
          <cell r="A1894" t="str">
            <v>16</v>
          </cell>
          <cell r="B1894" t="str">
            <v>75</v>
          </cell>
          <cell r="C1894" t="str">
            <v>1</v>
          </cell>
          <cell r="D1894" t="str">
            <v>B</v>
          </cell>
          <cell r="E1894">
            <v>1</v>
          </cell>
          <cell r="F1894">
            <v>0</v>
          </cell>
          <cell r="G1894" t="str">
            <v>3.2.1. Működési célú áht-n belüli végleges pénzeszközátadás</v>
          </cell>
        </row>
        <row r="1895">
          <cell r="A1895" t="str">
            <v>17</v>
          </cell>
          <cell r="B1895" t="str">
            <v>75</v>
          </cell>
          <cell r="C1895" t="str">
            <v>1</v>
          </cell>
          <cell r="D1895" t="str">
            <v>B</v>
          </cell>
          <cell r="E1895">
            <v>1</v>
          </cell>
          <cell r="F1895">
            <v>0</v>
          </cell>
          <cell r="G1895" t="str">
            <v>3.2.2. Működési célú áht-n kívüli végleges pénzeszközátadás</v>
          </cell>
        </row>
        <row r="1896">
          <cell r="A1896" t="str">
            <v>18</v>
          </cell>
          <cell r="B1896" t="str">
            <v>75</v>
          </cell>
          <cell r="C1896" t="str">
            <v>1</v>
          </cell>
          <cell r="D1896" t="str">
            <v>B</v>
          </cell>
          <cell r="E1896">
            <v>1</v>
          </cell>
          <cell r="F1896">
            <v>0</v>
          </cell>
          <cell r="G1896" t="str">
            <v>4. Társadalom- szociálpol-i, egyéb társ.biztosítási juttatás</v>
          </cell>
        </row>
        <row r="1897">
          <cell r="A1897" t="str">
            <v>19</v>
          </cell>
          <cell r="B1897" t="str">
            <v>75</v>
          </cell>
          <cell r="C1897" t="str">
            <v>1</v>
          </cell>
          <cell r="D1897" t="str">
            <v>B</v>
          </cell>
          <cell r="E1897">
            <v>1</v>
          </cell>
          <cell r="F1897">
            <v>0</v>
          </cell>
          <cell r="G1897" t="str">
            <v>Pénzeszközátadások (09+10+11+18)</v>
          </cell>
        </row>
        <row r="1898">
          <cell r="A1898" t="str">
            <v>20</v>
          </cell>
          <cell r="B1898" t="str">
            <v>75</v>
          </cell>
          <cell r="C1898" t="str">
            <v>1</v>
          </cell>
          <cell r="D1898" t="str">
            <v>B</v>
          </cell>
          <cell r="E1898">
            <v>1</v>
          </cell>
          <cell r="F1898">
            <v>0</v>
          </cell>
          <cell r="G1898" t="str">
            <v>1. Személyi juttatások</v>
          </cell>
        </row>
        <row r="1899">
          <cell r="A1899" t="str">
            <v>21</v>
          </cell>
          <cell r="B1899" t="str">
            <v>75</v>
          </cell>
          <cell r="C1899" t="str">
            <v>1</v>
          </cell>
          <cell r="D1899" t="str">
            <v>B</v>
          </cell>
          <cell r="E1899">
            <v>1</v>
          </cell>
          <cell r="F1899">
            <v>0</v>
          </cell>
          <cell r="G1899" t="str">
            <v>2. Munkaadókat terhelő járulékok</v>
          </cell>
        </row>
        <row r="1900">
          <cell r="A1900" t="str">
            <v>22</v>
          </cell>
          <cell r="B1900" t="str">
            <v>75</v>
          </cell>
          <cell r="C1900" t="str">
            <v>1</v>
          </cell>
          <cell r="D1900" t="str">
            <v>B</v>
          </cell>
          <cell r="E1900">
            <v>1</v>
          </cell>
          <cell r="F1900">
            <v>0</v>
          </cell>
          <cell r="G1900" t="str">
            <v>3. Dologi és egyéb folyó kiadások</v>
          </cell>
        </row>
        <row r="1901">
          <cell r="A1901" t="str">
            <v>23</v>
          </cell>
          <cell r="B1901" t="str">
            <v>75</v>
          </cell>
          <cell r="C1901" t="str">
            <v>1</v>
          </cell>
          <cell r="D1901" t="str">
            <v>B</v>
          </cell>
          <cell r="E1901">
            <v>1</v>
          </cell>
          <cell r="F1901">
            <v>0</v>
          </cell>
          <cell r="G1901" t="str">
            <v>4. Ellátottak pénzbeli juttatásai</v>
          </cell>
        </row>
        <row r="1902">
          <cell r="A1902" t="str">
            <v>24</v>
          </cell>
          <cell r="B1902" t="str">
            <v>75</v>
          </cell>
          <cell r="C1902" t="str">
            <v>1</v>
          </cell>
          <cell r="D1902" t="str">
            <v>B</v>
          </cell>
          <cell r="E1902">
            <v>1</v>
          </cell>
          <cell r="F1902">
            <v>0</v>
          </cell>
          <cell r="G1902" t="str">
            <v>Működési kiadások (20+...+23)</v>
          </cell>
        </row>
        <row r="1903">
          <cell r="A1903" t="str">
            <v>25</v>
          </cell>
          <cell r="B1903" t="str">
            <v>75</v>
          </cell>
          <cell r="C1903" t="str">
            <v>1</v>
          </cell>
          <cell r="D1903" t="str">
            <v>B</v>
          </cell>
          <cell r="E1903">
            <v>1</v>
          </cell>
          <cell r="F1903">
            <v>0</v>
          </cell>
          <cell r="G1903" t="str">
            <v>1. Hosszú lej.hitel, kapott kölcsön, kötvénykibocs. kiadásai</v>
          </cell>
        </row>
        <row r="1904">
          <cell r="A1904" t="str">
            <v>26</v>
          </cell>
          <cell r="B1904" t="str">
            <v>75</v>
          </cell>
          <cell r="C1904" t="str">
            <v>1</v>
          </cell>
          <cell r="D1904" t="str">
            <v>B</v>
          </cell>
          <cell r="E1904">
            <v>1</v>
          </cell>
          <cell r="F1904">
            <v>0</v>
          </cell>
          <cell r="G1904" t="str">
            <v>2. Rövid lej. hitel, kapott kölcsön, kötvénykibocs. kiadásai</v>
          </cell>
        </row>
        <row r="1905">
          <cell r="A1905" t="str">
            <v>27</v>
          </cell>
          <cell r="B1905" t="str">
            <v>75</v>
          </cell>
          <cell r="C1905" t="str">
            <v>1</v>
          </cell>
          <cell r="D1905" t="str">
            <v>B</v>
          </cell>
          <cell r="E1905">
            <v>1</v>
          </cell>
          <cell r="F1905">
            <v>0</v>
          </cell>
          <cell r="G1905" t="str">
            <v>Hitelek, kapott kölcsön, kötvénykibocsátás kiadásai (25+26)</v>
          </cell>
        </row>
        <row r="1906">
          <cell r="A1906" t="str">
            <v>28</v>
          </cell>
          <cell r="B1906" t="str">
            <v>75</v>
          </cell>
          <cell r="C1906" t="str">
            <v>1</v>
          </cell>
          <cell r="D1906" t="str">
            <v>B</v>
          </cell>
          <cell r="E1906">
            <v>1</v>
          </cell>
          <cell r="F1906">
            <v>0</v>
          </cell>
          <cell r="G1906" t="str">
            <v>1. Részvények, részesedések vásárlása</v>
          </cell>
        </row>
        <row r="1907">
          <cell r="A1907" t="str">
            <v>29</v>
          </cell>
          <cell r="B1907" t="str">
            <v>75</v>
          </cell>
          <cell r="C1907" t="str">
            <v>1</v>
          </cell>
          <cell r="D1907" t="str">
            <v>B</v>
          </cell>
          <cell r="E1907">
            <v>1</v>
          </cell>
          <cell r="F1907">
            <v>0</v>
          </cell>
          <cell r="G1907" t="str">
            <v>2. Tartós hitelviszonyt megtestesítő értékpapírok vásárlása</v>
          </cell>
        </row>
        <row r="1908">
          <cell r="A1908" t="str">
            <v>30</v>
          </cell>
          <cell r="B1908" t="str">
            <v>75</v>
          </cell>
          <cell r="C1908" t="str">
            <v>1</v>
          </cell>
          <cell r="D1908" t="str">
            <v>B</v>
          </cell>
          <cell r="E1908">
            <v>1</v>
          </cell>
          <cell r="F1908">
            <v>0</v>
          </cell>
          <cell r="G1908" t="str">
            <v>3. Forgatási célú hitelviszonyt megtest. értékpapír vásárlás</v>
          </cell>
        </row>
        <row r="1909">
          <cell r="A1909" t="str">
            <v>31</v>
          </cell>
          <cell r="B1909" t="str">
            <v>75</v>
          </cell>
          <cell r="C1909" t="str">
            <v>1</v>
          </cell>
          <cell r="D1909" t="str">
            <v>B</v>
          </cell>
          <cell r="E1909">
            <v>1</v>
          </cell>
          <cell r="F1909">
            <v>0</v>
          </cell>
          <cell r="G1909" t="str">
            <v>Pénzügyi befektetések, értékpapírok kiadásai (28+29+30)</v>
          </cell>
        </row>
        <row r="1910">
          <cell r="A1910" t="str">
            <v>32</v>
          </cell>
          <cell r="B1910" t="str">
            <v>75</v>
          </cell>
          <cell r="C1910" t="str">
            <v>1</v>
          </cell>
          <cell r="D1910" t="str">
            <v>B</v>
          </cell>
          <cell r="E1910">
            <v>1</v>
          </cell>
          <cell r="F1910">
            <v>0</v>
          </cell>
          <cell r="G1910" t="str">
            <v>Kiadások összesen (08+19+24+27+31)</v>
          </cell>
        </row>
        <row r="1911">
          <cell r="A1911" t="str">
            <v>1</v>
          </cell>
          <cell r="B1911" t="str">
            <v>25</v>
          </cell>
          <cell r="C1911" t="str">
            <v>1</v>
          </cell>
          <cell r="D1911" t="str">
            <v>B</v>
          </cell>
          <cell r="E1911">
            <v>1</v>
          </cell>
          <cell r="F1911">
            <v>0</v>
          </cell>
          <cell r="G1911" t="str">
            <v>Illetékek</v>
          </cell>
        </row>
        <row r="1912">
          <cell r="A1912" t="str">
            <v>2</v>
          </cell>
          <cell r="B1912" t="str">
            <v>25</v>
          </cell>
          <cell r="C1912" t="str">
            <v>1</v>
          </cell>
          <cell r="D1912" t="str">
            <v>B</v>
          </cell>
          <cell r="E1912">
            <v>1</v>
          </cell>
          <cell r="F1912">
            <v>0</v>
          </cell>
          <cell r="G1912" t="str">
            <v>Helyi adók</v>
          </cell>
        </row>
        <row r="1913">
          <cell r="A1913" t="str">
            <v>3</v>
          </cell>
          <cell r="B1913" t="str">
            <v>25</v>
          </cell>
          <cell r="C1913" t="str">
            <v>1</v>
          </cell>
          <cell r="D1913" t="str">
            <v>B</v>
          </cell>
          <cell r="E1913">
            <v>1</v>
          </cell>
          <cell r="F1913">
            <v>0</v>
          </cell>
          <cell r="G1913" t="str">
            <v>Kamatbevételek</v>
          </cell>
        </row>
        <row r="1914">
          <cell r="A1914" t="str">
            <v>4</v>
          </cell>
          <cell r="B1914" t="str">
            <v>25</v>
          </cell>
          <cell r="C1914" t="str">
            <v>1</v>
          </cell>
          <cell r="D1914" t="str">
            <v>B</v>
          </cell>
          <cell r="E1914">
            <v>1</v>
          </cell>
          <cell r="F1914">
            <v>0</v>
          </cell>
          <cell r="G1914" t="str">
            <v>Környezetvédelmi bírság</v>
          </cell>
        </row>
        <row r="1915">
          <cell r="A1915" t="str">
            <v>5</v>
          </cell>
          <cell r="B1915" t="str">
            <v>25</v>
          </cell>
          <cell r="C1915" t="str">
            <v>1</v>
          </cell>
          <cell r="D1915" t="str">
            <v>B</v>
          </cell>
          <cell r="E1915">
            <v>1</v>
          </cell>
          <cell r="F1915">
            <v>0</v>
          </cell>
          <cell r="G1915" t="str">
            <v>Egyéb sajátos bevételek</v>
          </cell>
        </row>
        <row r="1916">
          <cell r="A1916" t="str">
            <v>6</v>
          </cell>
          <cell r="B1916" t="str">
            <v>25</v>
          </cell>
          <cell r="C1916" t="str">
            <v>1</v>
          </cell>
          <cell r="D1916" t="str">
            <v>B</v>
          </cell>
          <cell r="E1916">
            <v>1</v>
          </cell>
          <cell r="F1916">
            <v>3</v>
          </cell>
          <cell r="G1916" t="str">
            <v>Saját folyó bevételek(01+..+05)</v>
          </cell>
        </row>
        <row r="1917">
          <cell r="A1917" t="str">
            <v>7</v>
          </cell>
          <cell r="B1917" t="str">
            <v>25</v>
          </cell>
          <cell r="C1917" t="str">
            <v>1</v>
          </cell>
          <cell r="D1917" t="str">
            <v>B</v>
          </cell>
          <cell r="E1917">
            <v>1</v>
          </cell>
          <cell r="F1917">
            <v>3</v>
          </cell>
          <cell r="G1917" t="str">
            <v>Előző években keletk.tárgyévet terhelő fiz.köt(08+..+14)</v>
          </cell>
        </row>
        <row r="1918">
          <cell r="A1918" t="str">
            <v>8</v>
          </cell>
          <cell r="B1918" t="str">
            <v>25</v>
          </cell>
          <cell r="C1918" t="str">
            <v>1</v>
          </cell>
          <cell r="D1918" t="str">
            <v>B</v>
          </cell>
          <cell r="E1918">
            <v>1</v>
          </cell>
          <cell r="F1918">
            <v>1</v>
          </cell>
          <cell r="G1918" t="str">
            <v>- Támogatási kölcsönök törlesztése ÁH-n belülre</v>
          </cell>
        </row>
        <row r="1919">
          <cell r="A1919" t="str">
            <v>9</v>
          </cell>
          <cell r="B1919" t="str">
            <v>25</v>
          </cell>
          <cell r="C1919" t="str">
            <v>1</v>
          </cell>
          <cell r="D1919" t="str">
            <v>B</v>
          </cell>
          <cell r="E1919">
            <v>1</v>
          </cell>
          <cell r="F1919">
            <v>1</v>
          </cell>
          <cell r="G1919" t="str">
            <v>- Hosszú lejáratú hitelek visszafizetése</v>
          </cell>
        </row>
        <row r="1920">
          <cell r="A1920" t="str">
            <v>10</v>
          </cell>
          <cell r="B1920" t="str">
            <v>25</v>
          </cell>
          <cell r="C1920" t="str">
            <v>1</v>
          </cell>
          <cell r="D1920" t="str">
            <v>B</v>
          </cell>
          <cell r="E1920">
            <v>1</v>
          </cell>
          <cell r="F1920">
            <v>1</v>
          </cell>
          <cell r="G1920" t="str">
            <v>- Rövid lejáratú hitelek visszafizetése</v>
          </cell>
        </row>
        <row r="1921">
          <cell r="A1921" t="str">
            <v>11</v>
          </cell>
          <cell r="B1921" t="str">
            <v>25</v>
          </cell>
          <cell r="C1921" t="str">
            <v>1</v>
          </cell>
          <cell r="D1921" t="str">
            <v>B</v>
          </cell>
          <cell r="E1921">
            <v>1</v>
          </cell>
          <cell r="F1921">
            <v>1</v>
          </cell>
          <cell r="G1921" t="str">
            <v>- Külföldi finanszirozás kiadásai</v>
          </cell>
        </row>
        <row r="1922">
          <cell r="A1922" t="str">
            <v>12</v>
          </cell>
          <cell r="B1922" t="str">
            <v>25</v>
          </cell>
          <cell r="C1922" t="str">
            <v>1</v>
          </cell>
          <cell r="D1922" t="str">
            <v>B</v>
          </cell>
          <cell r="E1922">
            <v>1</v>
          </cell>
          <cell r="F1922">
            <v>1</v>
          </cell>
          <cell r="G1922" t="str">
            <v>- Kötvény kibocsátásból származó fizetési kötelezettség</v>
          </cell>
        </row>
        <row r="1923">
          <cell r="A1923" t="str">
            <v>13</v>
          </cell>
          <cell r="B1923" t="str">
            <v>25</v>
          </cell>
          <cell r="C1923" t="str">
            <v>1</v>
          </cell>
          <cell r="D1923" t="str">
            <v>B</v>
          </cell>
          <cell r="E1923">
            <v>1</v>
          </cell>
          <cell r="F1923">
            <v>1</v>
          </cell>
          <cell r="G1923" t="str">
            <v>- Lízingdíj</v>
          </cell>
        </row>
        <row r="1924">
          <cell r="A1924" t="str">
            <v>14</v>
          </cell>
          <cell r="B1924" t="str">
            <v>25</v>
          </cell>
          <cell r="C1924" t="str">
            <v>1</v>
          </cell>
          <cell r="D1924" t="str">
            <v>B</v>
          </cell>
          <cell r="E1924">
            <v>1</v>
          </cell>
          <cell r="F1924">
            <v>1</v>
          </cell>
          <cell r="G1924" t="str">
            <v>- Garancia és kezes.váll.ból származó fiz.kötelezetts.</v>
          </cell>
        </row>
        <row r="1925">
          <cell r="A1925" t="str">
            <v>15</v>
          </cell>
          <cell r="B1925" t="str">
            <v>25</v>
          </cell>
          <cell r="C1925" t="str">
            <v>1</v>
          </cell>
          <cell r="D1925" t="str">
            <v>B</v>
          </cell>
          <cell r="E1925">
            <v>1</v>
          </cell>
          <cell r="F1925">
            <v>0</v>
          </cell>
          <cell r="G1925" t="str">
            <v>Kamatfizetési kötelezettség 08-14 sorok után</v>
          </cell>
        </row>
        <row r="1926">
          <cell r="A1926" t="str">
            <v>16</v>
          </cell>
          <cell r="B1926" t="str">
            <v>25</v>
          </cell>
          <cell r="C1926" t="str">
            <v>1</v>
          </cell>
          <cell r="D1926" t="str">
            <v>B</v>
          </cell>
          <cell r="E1926">
            <v>1</v>
          </cell>
          <cell r="F1926">
            <v>3</v>
          </cell>
          <cell r="G1926" t="str">
            <v>Rövid lejáratú kötelezettségek (07+15)</v>
          </cell>
        </row>
        <row r="1927">
          <cell r="A1927" t="str">
            <v>17</v>
          </cell>
          <cell r="B1927" t="str">
            <v>25</v>
          </cell>
          <cell r="C1927" t="str">
            <v>1</v>
          </cell>
          <cell r="D1927" t="str">
            <v>B</v>
          </cell>
          <cell r="E1927">
            <v>1</v>
          </cell>
          <cell r="F1927">
            <v>3</v>
          </cell>
          <cell r="G1927" t="str">
            <v>H.önk. adósságot keletkeztető köt.váll.f.hat. (06-16)x0,7</v>
          </cell>
        </row>
        <row r="1928">
          <cell r="A1928" t="str">
            <v>18</v>
          </cell>
          <cell r="B1928" t="str">
            <v>25</v>
          </cell>
          <cell r="C1928" t="str">
            <v>1</v>
          </cell>
          <cell r="D1928" t="str">
            <v>B</v>
          </cell>
          <cell r="E1928">
            <v>1</v>
          </cell>
          <cell r="F1928">
            <v>3</v>
          </cell>
          <cell r="G1928" t="str">
            <v>Tárgyévben keletk.tárgyévet terhelő fiz.köt.(19+..+25)</v>
          </cell>
        </row>
        <row r="1929">
          <cell r="A1929" t="str">
            <v>19</v>
          </cell>
          <cell r="B1929" t="str">
            <v>25</v>
          </cell>
          <cell r="C1929" t="str">
            <v>1</v>
          </cell>
          <cell r="D1929" t="str">
            <v>B</v>
          </cell>
          <cell r="E1929">
            <v>1</v>
          </cell>
          <cell r="F1929">
            <v>1</v>
          </cell>
          <cell r="G1929" t="str">
            <v>- Támogatási kölcsönök törl.ÁH-n belülre</v>
          </cell>
        </row>
        <row r="1930">
          <cell r="A1930" t="str">
            <v>20</v>
          </cell>
          <cell r="B1930" t="str">
            <v>25</v>
          </cell>
          <cell r="C1930" t="str">
            <v>1</v>
          </cell>
          <cell r="D1930" t="str">
            <v>B</v>
          </cell>
          <cell r="E1930">
            <v>1</v>
          </cell>
          <cell r="F1930">
            <v>1</v>
          </cell>
          <cell r="G1930" t="str">
            <v>- Hosszú lejáratú hitelek visszafizetése</v>
          </cell>
        </row>
        <row r="1931">
          <cell r="A1931" t="str">
            <v>21</v>
          </cell>
          <cell r="B1931" t="str">
            <v>25</v>
          </cell>
          <cell r="C1931" t="str">
            <v>1</v>
          </cell>
          <cell r="D1931" t="str">
            <v>B</v>
          </cell>
          <cell r="E1931">
            <v>1</v>
          </cell>
          <cell r="F1931">
            <v>1</v>
          </cell>
          <cell r="G1931" t="str">
            <v>- Rövid lejáratú hitelek visszafizetése</v>
          </cell>
        </row>
        <row r="1932">
          <cell r="A1932" t="str">
            <v>22</v>
          </cell>
          <cell r="B1932" t="str">
            <v>25</v>
          </cell>
          <cell r="C1932" t="str">
            <v>1</v>
          </cell>
          <cell r="D1932" t="str">
            <v>B</v>
          </cell>
          <cell r="E1932">
            <v>1</v>
          </cell>
          <cell r="F1932">
            <v>1</v>
          </cell>
          <cell r="G1932" t="str">
            <v>- Külföldi finanszírozás kiadásai</v>
          </cell>
        </row>
        <row r="1933">
          <cell r="A1933" t="str">
            <v>23</v>
          </cell>
          <cell r="B1933" t="str">
            <v>25</v>
          </cell>
          <cell r="C1933" t="str">
            <v>1</v>
          </cell>
          <cell r="D1933" t="str">
            <v>B</v>
          </cell>
          <cell r="E1933">
            <v>1</v>
          </cell>
          <cell r="F1933">
            <v>1</v>
          </cell>
          <cell r="G1933" t="str">
            <v>- Kötvény kibocsátásból származó fizetési kötelezettség</v>
          </cell>
        </row>
        <row r="1934">
          <cell r="A1934" t="str">
            <v>24</v>
          </cell>
          <cell r="B1934" t="str">
            <v>25</v>
          </cell>
          <cell r="C1934" t="str">
            <v>1</v>
          </cell>
          <cell r="D1934" t="str">
            <v>B</v>
          </cell>
          <cell r="E1934">
            <v>1</v>
          </cell>
          <cell r="F1934">
            <v>1</v>
          </cell>
          <cell r="G1934" t="str">
            <v>- Lízingdíj</v>
          </cell>
        </row>
        <row r="1935">
          <cell r="A1935" t="str">
            <v>25</v>
          </cell>
          <cell r="B1935" t="str">
            <v>25</v>
          </cell>
          <cell r="C1935" t="str">
            <v>1</v>
          </cell>
          <cell r="D1935" t="str">
            <v>B</v>
          </cell>
          <cell r="E1935">
            <v>1</v>
          </cell>
          <cell r="F1935">
            <v>1</v>
          </cell>
          <cell r="G1935" t="str">
            <v>- Garancia és kezesség.váll.ból származó fiz.kötelezetts.</v>
          </cell>
        </row>
        <row r="1936">
          <cell r="A1936" t="str">
            <v>26</v>
          </cell>
          <cell r="B1936" t="str">
            <v>25</v>
          </cell>
          <cell r="C1936" t="str">
            <v>1</v>
          </cell>
          <cell r="D1936" t="str">
            <v>B</v>
          </cell>
          <cell r="E1936">
            <v>1</v>
          </cell>
          <cell r="F1936">
            <v>0</v>
          </cell>
          <cell r="G1936" t="str">
            <v>Kamatfizetési kötelezettség 19-25 sorok után</v>
          </cell>
        </row>
        <row r="1937">
          <cell r="A1937" t="str">
            <v>27</v>
          </cell>
          <cell r="B1937" t="str">
            <v>25</v>
          </cell>
          <cell r="C1937" t="str">
            <v>1</v>
          </cell>
          <cell r="D1937" t="str">
            <v>B</v>
          </cell>
          <cell r="E1937">
            <v>1</v>
          </cell>
          <cell r="F1937">
            <v>3</v>
          </cell>
          <cell r="G1937" t="str">
            <v>Hitelképesség vizs.figy.tárgyévi kötelezettség(18+26)</v>
          </cell>
        </row>
        <row r="1938">
          <cell r="A1938" t="str">
            <v>28</v>
          </cell>
          <cell r="B1938" t="str">
            <v>25</v>
          </cell>
          <cell r="C1938" t="str">
            <v>1</v>
          </cell>
          <cell r="D1938" t="str">
            <v>B</v>
          </cell>
          <cell r="E1938">
            <v>1</v>
          </cell>
          <cell r="F1938">
            <v>0</v>
          </cell>
          <cell r="G1938" t="str">
            <v>Hitelképességi megfelelés (27/17%-a)</v>
          </cell>
        </row>
        <row r="1939">
          <cell r="A1939" t="str">
            <v>1</v>
          </cell>
          <cell r="B1939" t="str">
            <v>58</v>
          </cell>
          <cell r="C1939" t="str">
            <v>1</v>
          </cell>
          <cell r="D1939" t="str">
            <v>B</v>
          </cell>
          <cell r="E1939">
            <v>1</v>
          </cell>
          <cell r="F1939">
            <v>0</v>
          </cell>
          <cell r="G1939" t="str">
            <v>Tartósan adott kölcsönök</v>
          </cell>
        </row>
        <row r="1940">
          <cell r="A1940" t="str">
            <v>2</v>
          </cell>
          <cell r="B1940" t="str">
            <v>58</v>
          </cell>
          <cell r="C1940" t="str">
            <v>1</v>
          </cell>
          <cell r="D1940" t="str">
            <v>B</v>
          </cell>
          <cell r="E1940">
            <v>1</v>
          </cell>
          <cell r="F1940">
            <v>0</v>
          </cell>
          <cell r="G1940" t="str">
            <v>Egyéb hosszú lejáratú követelések</v>
          </cell>
        </row>
        <row r="1941">
          <cell r="A1941" t="str">
            <v>3</v>
          </cell>
          <cell r="B1941" t="str">
            <v>58</v>
          </cell>
          <cell r="C1941" t="str">
            <v>1</v>
          </cell>
          <cell r="D1941" t="str">
            <v>B</v>
          </cell>
          <cell r="E1941">
            <v>1</v>
          </cell>
          <cell r="F1941">
            <v>0</v>
          </cell>
          <cell r="G1941" t="str">
            <v>Intézményi működési bevételekkel kapcsolatos követelések</v>
          </cell>
        </row>
        <row r="1942">
          <cell r="A1942" t="str">
            <v>4</v>
          </cell>
          <cell r="B1942" t="str">
            <v>58</v>
          </cell>
          <cell r="C1942" t="str">
            <v>1</v>
          </cell>
          <cell r="D1942" t="str">
            <v>B</v>
          </cell>
          <cell r="E1942">
            <v>1</v>
          </cell>
          <cell r="F1942">
            <v>0</v>
          </cell>
          <cell r="G1942" t="str">
            <v>Önkormányzatok sajátos működési bevételeivel kapcsolatos követelések</v>
          </cell>
        </row>
        <row r="1943">
          <cell r="A1943" t="str">
            <v>5</v>
          </cell>
          <cell r="B1943" t="str">
            <v>58</v>
          </cell>
          <cell r="C1943" t="str">
            <v>1</v>
          </cell>
          <cell r="D1943" t="str">
            <v>B</v>
          </cell>
          <cell r="E1943">
            <v>1</v>
          </cell>
          <cell r="F1943">
            <v>0</v>
          </cell>
          <cell r="G1943" t="str">
            <v>Ebből:- illetékkel kapcsolatos követelések</v>
          </cell>
        </row>
        <row r="1944">
          <cell r="A1944" t="str">
            <v>6</v>
          </cell>
          <cell r="B1944" t="str">
            <v>58</v>
          </cell>
          <cell r="C1944" t="str">
            <v>1</v>
          </cell>
          <cell r="D1944" t="str">
            <v>B</v>
          </cell>
          <cell r="E1944">
            <v>1</v>
          </cell>
          <cell r="F1944">
            <v>4</v>
          </cell>
          <cell r="G1944" t="str">
            <v>- gépjárműadóval kapcsolatos követelések</v>
          </cell>
        </row>
        <row r="1945">
          <cell r="A1945" t="str">
            <v>7</v>
          </cell>
          <cell r="B1945" t="str">
            <v>58</v>
          </cell>
          <cell r="C1945" t="str">
            <v>1</v>
          </cell>
          <cell r="D1945" t="str">
            <v>B</v>
          </cell>
          <cell r="E1945">
            <v>1</v>
          </cell>
          <cell r="F1945">
            <v>4</v>
          </cell>
          <cell r="G1945" t="str">
            <v>- helyi adókkal kapcsolatos követelések</v>
          </cell>
        </row>
        <row r="1946">
          <cell r="A1946" t="str">
            <v>8</v>
          </cell>
          <cell r="B1946" t="str">
            <v>58</v>
          </cell>
          <cell r="C1946" t="str">
            <v>1</v>
          </cell>
          <cell r="D1946" t="str">
            <v>B</v>
          </cell>
          <cell r="E1946">
            <v>1</v>
          </cell>
          <cell r="F1946">
            <v>0</v>
          </cell>
          <cell r="G1946" t="str">
            <v>Befektetett eszközökkel kapcsolatos követelések</v>
          </cell>
        </row>
        <row r="1947">
          <cell r="A1947" t="str">
            <v>9</v>
          </cell>
          <cell r="B1947" t="str">
            <v>58</v>
          </cell>
          <cell r="C1947" t="str">
            <v>1</v>
          </cell>
          <cell r="D1947" t="str">
            <v>B</v>
          </cell>
          <cell r="E1947">
            <v>1</v>
          </cell>
          <cell r="F1947">
            <v>0</v>
          </cell>
          <cell r="G1947" t="str">
            <v>Rövid lejáratú kölcsönök</v>
          </cell>
        </row>
        <row r="1948">
          <cell r="A1948" t="str">
            <v>10</v>
          </cell>
          <cell r="B1948" t="str">
            <v>58</v>
          </cell>
          <cell r="C1948" t="str">
            <v>1</v>
          </cell>
          <cell r="D1948" t="str">
            <v>B</v>
          </cell>
          <cell r="E1948">
            <v>1</v>
          </cell>
          <cell r="F1948">
            <v>0</v>
          </cell>
          <cell r="G1948" t="str">
            <v>Egyéb rövid lejáratú követelések</v>
          </cell>
        </row>
        <row r="1949">
          <cell r="A1949" t="str">
            <v>11</v>
          </cell>
          <cell r="B1949" t="str">
            <v>58</v>
          </cell>
          <cell r="C1949" t="str">
            <v>1</v>
          </cell>
          <cell r="D1949" t="str">
            <v>B</v>
          </cell>
          <cell r="E1949">
            <v>1</v>
          </cell>
          <cell r="F1949">
            <v>0</v>
          </cell>
          <cell r="G1949" t="str">
            <v>Követelések összesen(01+...+04+08+09+10)</v>
          </cell>
        </row>
        <row r="1950">
          <cell r="A1950" t="str">
            <v>1</v>
          </cell>
          <cell r="B1950" t="str">
            <v>59</v>
          </cell>
          <cell r="C1950" t="str">
            <v>1</v>
          </cell>
          <cell r="D1950" t="str">
            <v>B</v>
          </cell>
          <cell r="E1950">
            <v>1</v>
          </cell>
          <cell r="F1950">
            <v>0</v>
          </cell>
          <cell r="G1950" t="str">
            <v>Hosszú lejáratú kötelezettségek (02+...+04)</v>
          </cell>
        </row>
        <row r="1951">
          <cell r="A1951" t="str">
            <v>2</v>
          </cell>
          <cell r="B1951" t="str">
            <v>59</v>
          </cell>
          <cell r="C1951" t="str">
            <v>1</v>
          </cell>
          <cell r="D1951" t="str">
            <v>B</v>
          </cell>
          <cell r="E1951">
            <v>1</v>
          </cell>
          <cell r="F1951">
            <v>0</v>
          </cell>
          <cell r="G1951" t="str">
            <v>Ebből:- Hosszú lejáratra kapott kölcs.és beruh. és fejl.hitelek</v>
          </cell>
        </row>
        <row r="1952">
          <cell r="A1952" t="str">
            <v>3</v>
          </cell>
          <cell r="B1952" t="str">
            <v>59</v>
          </cell>
          <cell r="C1952" t="str">
            <v>1</v>
          </cell>
          <cell r="D1952" t="str">
            <v>B</v>
          </cell>
          <cell r="E1952">
            <v>1</v>
          </cell>
          <cell r="F1952">
            <v>4</v>
          </cell>
          <cell r="G1952" t="str">
            <v>- tartozás értékpapír kibocsátásból</v>
          </cell>
        </row>
        <row r="1953">
          <cell r="A1953" t="str">
            <v>4</v>
          </cell>
          <cell r="B1953" t="str">
            <v>59</v>
          </cell>
          <cell r="C1953" t="str">
            <v>1</v>
          </cell>
          <cell r="D1953" t="str">
            <v>B</v>
          </cell>
          <cell r="E1953">
            <v>1</v>
          </cell>
          <cell r="F1953">
            <v>4</v>
          </cell>
          <cell r="G1953" t="str">
            <v>- egyéb hosszú lejáratú kötelezettségek</v>
          </cell>
        </row>
        <row r="1954">
          <cell r="A1954" t="str">
            <v>5</v>
          </cell>
          <cell r="B1954" t="str">
            <v>59</v>
          </cell>
          <cell r="C1954" t="str">
            <v>1</v>
          </cell>
          <cell r="D1954" t="str">
            <v>B</v>
          </cell>
          <cell r="E1954">
            <v>1</v>
          </cell>
          <cell r="F1954">
            <v>0</v>
          </cell>
          <cell r="G1954" t="str">
            <v>Rövid lejáratú kötelezettségek (06+07+12)</v>
          </cell>
        </row>
        <row r="1955">
          <cell r="A1955" t="str">
            <v>6</v>
          </cell>
          <cell r="B1955" t="str">
            <v>59</v>
          </cell>
          <cell r="C1955" t="str">
            <v>1</v>
          </cell>
          <cell r="D1955" t="str">
            <v>B</v>
          </cell>
          <cell r="E1955">
            <v>1</v>
          </cell>
          <cell r="F1955">
            <v>1</v>
          </cell>
          <cell r="G1955" t="str">
            <v>- Rövid lejáratú hitelek kölcsönök</v>
          </cell>
        </row>
        <row r="1956">
          <cell r="A1956" t="str">
            <v>7</v>
          </cell>
          <cell r="B1956" t="str">
            <v>59</v>
          </cell>
          <cell r="C1956" t="str">
            <v>1</v>
          </cell>
          <cell r="D1956" t="str">
            <v>B</v>
          </cell>
          <cell r="E1956">
            <v>1</v>
          </cell>
          <cell r="F1956">
            <v>1</v>
          </cell>
          <cell r="G1956" t="str">
            <v>- Kötelezettségek áruszállításból és szolg.-ból (08+...+11)</v>
          </cell>
        </row>
        <row r="1957">
          <cell r="A1957" t="str">
            <v>8</v>
          </cell>
          <cell r="B1957" t="str">
            <v>59</v>
          </cell>
          <cell r="C1957" t="str">
            <v>1</v>
          </cell>
          <cell r="D1957" t="str">
            <v>B</v>
          </cell>
          <cell r="E1957">
            <v>1</v>
          </cell>
          <cell r="F1957">
            <v>1</v>
          </cell>
          <cell r="G1957" t="str">
            <v>Ebből:- beruházással kapcsolatos szállítók</v>
          </cell>
        </row>
        <row r="1958">
          <cell r="A1958" t="str">
            <v>9</v>
          </cell>
          <cell r="B1958" t="str">
            <v>59</v>
          </cell>
          <cell r="C1958" t="str">
            <v>1</v>
          </cell>
          <cell r="D1958" t="str">
            <v>B</v>
          </cell>
          <cell r="E1958">
            <v>1</v>
          </cell>
          <cell r="F1958">
            <v>4</v>
          </cell>
          <cell r="G1958" t="str">
            <v>- felújítással kapcsolatos szállítók</v>
          </cell>
        </row>
        <row r="1959">
          <cell r="A1959" t="str">
            <v>10</v>
          </cell>
          <cell r="B1959" t="str">
            <v>59</v>
          </cell>
          <cell r="C1959" t="str">
            <v>1</v>
          </cell>
          <cell r="D1959" t="str">
            <v>B</v>
          </cell>
          <cell r="E1959">
            <v>1</v>
          </cell>
          <cell r="F1959">
            <v>4</v>
          </cell>
          <cell r="G1959" t="str">
            <v>- termékvásárlással kapcsolatos szállítók</v>
          </cell>
        </row>
        <row r="1960">
          <cell r="A1960" t="str">
            <v>11</v>
          </cell>
          <cell r="B1960" t="str">
            <v>59</v>
          </cell>
          <cell r="C1960" t="str">
            <v>1</v>
          </cell>
          <cell r="D1960" t="str">
            <v>B</v>
          </cell>
          <cell r="E1960">
            <v>1</v>
          </cell>
          <cell r="F1960">
            <v>4</v>
          </cell>
          <cell r="G1960" t="str">
            <v>- szolgáltatás-vásárlással kapcsolatos szállítók</v>
          </cell>
        </row>
        <row r="1961">
          <cell r="A1961" t="str">
            <v>12</v>
          </cell>
          <cell r="B1961" t="str">
            <v>59</v>
          </cell>
          <cell r="C1961" t="str">
            <v>1</v>
          </cell>
          <cell r="D1961" t="str">
            <v>B</v>
          </cell>
          <cell r="E1961">
            <v>1</v>
          </cell>
          <cell r="F1961">
            <v>1</v>
          </cell>
          <cell r="G1961" t="str">
            <v>- Egyéb rövid lejáratú kötelezettségek (13+14+16+17+18)</v>
          </cell>
        </row>
        <row r="1962">
          <cell r="A1962" t="str">
            <v>13</v>
          </cell>
          <cell r="B1962" t="str">
            <v>59</v>
          </cell>
          <cell r="C1962" t="str">
            <v>1</v>
          </cell>
          <cell r="D1962" t="str">
            <v>B</v>
          </cell>
          <cell r="E1962">
            <v>1</v>
          </cell>
          <cell r="F1962">
            <v>1</v>
          </cell>
          <cell r="G1962" t="str">
            <v>Ebből:- személyi kiadások miatt</v>
          </cell>
        </row>
        <row r="1963">
          <cell r="A1963" t="str">
            <v>14</v>
          </cell>
          <cell r="B1963" t="str">
            <v>59</v>
          </cell>
          <cell r="C1963" t="str">
            <v>1</v>
          </cell>
          <cell r="D1963" t="str">
            <v>B</v>
          </cell>
          <cell r="E1963">
            <v>1</v>
          </cell>
          <cell r="F1963">
            <v>4</v>
          </cell>
          <cell r="G1963" t="str">
            <v>- köztartozások miatt</v>
          </cell>
        </row>
        <row r="1964">
          <cell r="A1964" t="str">
            <v>15</v>
          </cell>
          <cell r="B1964" t="str">
            <v>59</v>
          </cell>
          <cell r="C1964" t="str">
            <v>1</v>
          </cell>
          <cell r="D1964" t="str">
            <v>B</v>
          </cell>
          <cell r="E1964">
            <v>1</v>
          </cell>
          <cell r="F1964">
            <v>4</v>
          </cell>
          <cell r="G1964" t="str">
            <v>ebböl:iparűzési adó felt.köt.eredő túlfizetés miatt</v>
          </cell>
        </row>
        <row r="1965">
          <cell r="A1965" t="str">
            <v>16</v>
          </cell>
          <cell r="B1965" t="str">
            <v>59</v>
          </cell>
          <cell r="C1965" t="str">
            <v>1</v>
          </cell>
          <cell r="D1965" t="str">
            <v>B</v>
          </cell>
          <cell r="E1965">
            <v>1</v>
          </cell>
          <cell r="F1965">
            <v>4</v>
          </cell>
          <cell r="G1965" t="str">
            <v>- tartozás működési célú kötvénykibocsátásból</v>
          </cell>
        </row>
        <row r="1966">
          <cell r="A1966" t="str">
            <v>17</v>
          </cell>
          <cell r="B1966" t="str">
            <v>59</v>
          </cell>
          <cell r="C1966" t="str">
            <v>1</v>
          </cell>
          <cell r="D1966" t="str">
            <v>B</v>
          </cell>
          <cell r="E1966">
            <v>1</v>
          </cell>
          <cell r="F1966">
            <v>4</v>
          </cell>
          <cell r="G1966" t="str">
            <v>- hosszú lejáratú köt.következő évi törlesztő részlete</v>
          </cell>
        </row>
        <row r="1967">
          <cell r="A1967" t="str">
            <v>18</v>
          </cell>
          <cell r="B1967" t="str">
            <v>59</v>
          </cell>
          <cell r="C1967" t="str">
            <v>1</v>
          </cell>
          <cell r="D1967" t="str">
            <v>B</v>
          </cell>
          <cell r="E1967">
            <v>1</v>
          </cell>
          <cell r="F1967">
            <v>4</v>
          </cell>
          <cell r="G1967" t="str">
            <v>- különféle egyéb kötelezettség miatti tartozás</v>
          </cell>
        </row>
        <row r="1968">
          <cell r="A1968" t="str">
            <v>19</v>
          </cell>
          <cell r="B1968" t="str">
            <v>59</v>
          </cell>
          <cell r="C1968" t="str">
            <v>1</v>
          </cell>
          <cell r="D1968" t="str">
            <v>B</v>
          </cell>
          <cell r="E1968">
            <v>1</v>
          </cell>
          <cell r="F1968">
            <v>0</v>
          </cell>
          <cell r="G1968" t="str">
            <v>Kötelezettségek összesen          (01+05)</v>
          </cell>
        </row>
        <row r="1969">
          <cell r="A1969" t="str">
            <v>1</v>
          </cell>
          <cell r="B1969" t="str">
            <v>76</v>
          </cell>
          <cell r="C1969" t="str">
            <v>1</v>
          </cell>
          <cell r="D1969" t="str">
            <v>B</v>
          </cell>
          <cell r="E1969">
            <v>1</v>
          </cell>
          <cell r="F1969">
            <v>0</v>
          </cell>
          <cell r="G1969" t="str">
            <v>1. Intézményi beruházási kiadások</v>
          </cell>
        </row>
        <row r="1970">
          <cell r="A1970" t="str">
            <v>2</v>
          </cell>
          <cell r="B1970" t="str">
            <v>76</v>
          </cell>
          <cell r="C1970" t="str">
            <v>1</v>
          </cell>
          <cell r="D1970" t="str">
            <v>B</v>
          </cell>
          <cell r="E1970">
            <v>1</v>
          </cell>
          <cell r="F1970">
            <v>0</v>
          </cell>
          <cell r="G1970" t="str">
            <v>2. Felújítás</v>
          </cell>
        </row>
        <row r="1971">
          <cell r="A1971" t="str">
            <v>3</v>
          </cell>
          <cell r="B1971" t="str">
            <v>76</v>
          </cell>
          <cell r="C1971" t="str">
            <v>1</v>
          </cell>
          <cell r="D1971" t="str">
            <v>B</v>
          </cell>
          <cell r="E1971">
            <v>1</v>
          </cell>
          <cell r="F1971">
            <v>0</v>
          </cell>
          <cell r="G1971" t="str">
            <v>3. Központi beruházás</v>
          </cell>
        </row>
        <row r="1972">
          <cell r="A1972" t="str">
            <v>4</v>
          </cell>
          <cell r="B1972" t="str">
            <v>76</v>
          </cell>
          <cell r="C1972" t="str">
            <v>1</v>
          </cell>
          <cell r="D1972" t="str">
            <v>B</v>
          </cell>
          <cell r="E1972">
            <v>1</v>
          </cell>
          <cell r="F1972">
            <v>0</v>
          </cell>
          <cell r="G1972" t="str">
            <v>4. Lakástámogatás</v>
          </cell>
        </row>
        <row r="1973">
          <cell r="A1973" t="str">
            <v>5</v>
          </cell>
          <cell r="B1973" t="str">
            <v>76</v>
          </cell>
          <cell r="C1973" t="str">
            <v>1</v>
          </cell>
          <cell r="D1973" t="str">
            <v>B</v>
          </cell>
          <cell r="E1973">
            <v>1</v>
          </cell>
          <cell r="F1973">
            <v>0</v>
          </cell>
          <cell r="G1973" t="str">
            <v>5. Lakásépítés</v>
          </cell>
        </row>
        <row r="1974">
          <cell r="A1974" t="str">
            <v>6</v>
          </cell>
          <cell r="B1974" t="str">
            <v>76</v>
          </cell>
          <cell r="C1974" t="str">
            <v>1</v>
          </cell>
          <cell r="D1974" t="str">
            <v>B</v>
          </cell>
          <cell r="E1974">
            <v>1</v>
          </cell>
          <cell r="F1974">
            <v>0</v>
          </cell>
          <cell r="G1974" t="str">
            <v>6. Beruházás, felújítás általános forgalmi adója</v>
          </cell>
        </row>
        <row r="1975">
          <cell r="A1975" t="str">
            <v>7</v>
          </cell>
          <cell r="B1975" t="str">
            <v>76</v>
          </cell>
          <cell r="C1975" t="str">
            <v>1</v>
          </cell>
          <cell r="D1975" t="str">
            <v>B</v>
          </cell>
          <cell r="E1975">
            <v>1</v>
          </cell>
          <cell r="F1975">
            <v>0</v>
          </cell>
          <cell r="G1975" t="str">
            <v>Felhalmozási kiadások (01+...+06)</v>
          </cell>
        </row>
        <row r="1976">
          <cell r="A1976" t="str">
            <v>8</v>
          </cell>
          <cell r="B1976" t="str">
            <v>76</v>
          </cell>
          <cell r="C1976" t="str">
            <v>1</v>
          </cell>
          <cell r="D1976" t="str">
            <v>B</v>
          </cell>
          <cell r="E1976">
            <v>1</v>
          </cell>
          <cell r="F1976">
            <v>0</v>
          </cell>
          <cell r="G1976" t="str">
            <v>1. Tartósan adott kölcsönök (visszterhesen adott pénzeszk.)</v>
          </cell>
        </row>
        <row r="1977">
          <cell r="A1977" t="str">
            <v>9</v>
          </cell>
          <cell r="B1977" t="str">
            <v>76</v>
          </cell>
          <cell r="C1977" t="str">
            <v>1</v>
          </cell>
          <cell r="D1977" t="str">
            <v>B</v>
          </cell>
          <cell r="E1977">
            <v>1</v>
          </cell>
          <cell r="F1977">
            <v>0</v>
          </cell>
          <cell r="G1977" t="str">
            <v>2. Rövid lejáratú támogatási kölcsönök</v>
          </cell>
        </row>
        <row r="1978">
          <cell r="A1978" t="str">
            <v>10</v>
          </cell>
          <cell r="B1978" t="str">
            <v>76</v>
          </cell>
          <cell r="C1978" t="str">
            <v>1</v>
          </cell>
          <cell r="D1978" t="str">
            <v>B</v>
          </cell>
          <cell r="E1978">
            <v>1</v>
          </cell>
          <cell r="F1978">
            <v>0</v>
          </cell>
          <cell r="G1978" t="str">
            <v>3. Végleges pénzeszközátadás (11+14)</v>
          </cell>
        </row>
        <row r="1979">
          <cell r="A1979" t="str">
            <v>11</v>
          </cell>
          <cell r="B1979" t="str">
            <v>76</v>
          </cell>
          <cell r="C1979" t="str">
            <v>1</v>
          </cell>
          <cell r="D1979" t="str">
            <v>B</v>
          </cell>
          <cell r="E1979">
            <v>1</v>
          </cell>
          <cell r="F1979">
            <v>0</v>
          </cell>
          <cell r="G1979" t="str">
            <v>3.1. Felhalmozási célú végleges pénzeszközátadás (12+13)</v>
          </cell>
        </row>
        <row r="1980">
          <cell r="A1980" t="str">
            <v>12</v>
          </cell>
          <cell r="B1980" t="str">
            <v>76</v>
          </cell>
          <cell r="C1980" t="str">
            <v>1</v>
          </cell>
          <cell r="D1980" t="str">
            <v>B</v>
          </cell>
          <cell r="E1980">
            <v>1</v>
          </cell>
          <cell r="F1980">
            <v>0</v>
          </cell>
          <cell r="G1980" t="str">
            <v>3.1.1. Felhalm-i célú áht-n belüli végleges pénzeszközátadás</v>
          </cell>
        </row>
        <row r="1981">
          <cell r="A1981" t="str">
            <v>13</v>
          </cell>
          <cell r="B1981" t="str">
            <v>76</v>
          </cell>
          <cell r="C1981" t="str">
            <v>1</v>
          </cell>
          <cell r="D1981" t="str">
            <v>B</v>
          </cell>
          <cell r="E1981">
            <v>1</v>
          </cell>
          <cell r="F1981">
            <v>0</v>
          </cell>
          <cell r="G1981" t="str">
            <v>3.1.2. Felhalm-i célú áht-n kívüli végleges pénzeszközátadás</v>
          </cell>
        </row>
        <row r="1982">
          <cell r="A1982" t="str">
            <v>14</v>
          </cell>
          <cell r="B1982" t="str">
            <v>76</v>
          </cell>
          <cell r="C1982" t="str">
            <v>1</v>
          </cell>
          <cell r="D1982" t="str">
            <v>B</v>
          </cell>
          <cell r="E1982">
            <v>1</v>
          </cell>
          <cell r="F1982">
            <v>0</v>
          </cell>
          <cell r="G1982" t="str">
            <v>3.2. Működési célú végleges pénzeszközátadás (15+16)</v>
          </cell>
        </row>
        <row r="1983">
          <cell r="A1983" t="str">
            <v>15</v>
          </cell>
          <cell r="B1983" t="str">
            <v>76</v>
          </cell>
          <cell r="C1983" t="str">
            <v>1</v>
          </cell>
          <cell r="D1983" t="str">
            <v>B</v>
          </cell>
          <cell r="E1983">
            <v>1</v>
          </cell>
          <cell r="F1983">
            <v>0</v>
          </cell>
          <cell r="G1983" t="str">
            <v>3.2.1. Működési célú áht-n belüli végleges pénzeszközátadás</v>
          </cell>
        </row>
        <row r="1984">
          <cell r="A1984" t="str">
            <v>16</v>
          </cell>
          <cell r="B1984" t="str">
            <v>76</v>
          </cell>
          <cell r="C1984" t="str">
            <v>1</v>
          </cell>
          <cell r="D1984" t="str">
            <v>B</v>
          </cell>
          <cell r="E1984">
            <v>1</v>
          </cell>
          <cell r="F1984">
            <v>0</v>
          </cell>
          <cell r="G1984" t="str">
            <v>3.2.2. Működési célú áht-n kívüli végleges pénzeszközátadás</v>
          </cell>
        </row>
        <row r="1985">
          <cell r="A1985" t="str">
            <v>17</v>
          </cell>
          <cell r="B1985" t="str">
            <v>76</v>
          </cell>
          <cell r="C1985" t="str">
            <v>1</v>
          </cell>
          <cell r="D1985" t="str">
            <v>B</v>
          </cell>
          <cell r="E1985">
            <v>1</v>
          </cell>
          <cell r="F1985">
            <v>0</v>
          </cell>
          <cell r="G1985" t="str">
            <v>Pénzeszközátadások (08+09+10)</v>
          </cell>
        </row>
        <row r="1986">
          <cell r="A1986" t="str">
            <v>18</v>
          </cell>
          <cell r="B1986" t="str">
            <v>76</v>
          </cell>
          <cell r="C1986" t="str">
            <v>1</v>
          </cell>
          <cell r="D1986" t="str">
            <v>B</v>
          </cell>
          <cell r="E1986">
            <v>1</v>
          </cell>
          <cell r="F1986">
            <v>0</v>
          </cell>
          <cell r="G1986" t="str">
            <v>1. Személyi juttatások</v>
          </cell>
        </row>
        <row r="1987">
          <cell r="A1987" t="str">
            <v>19</v>
          </cell>
          <cell r="B1987" t="str">
            <v>76</v>
          </cell>
          <cell r="C1987" t="str">
            <v>1</v>
          </cell>
          <cell r="D1987" t="str">
            <v>B</v>
          </cell>
          <cell r="E1987">
            <v>1</v>
          </cell>
          <cell r="F1987">
            <v>0</v>
          </cell>
          <cell r="G1987" t="str">
            <v>2. Munkaadókat terhelő járulékok</v>
          </cell>
        </row>
        <row r="1988">
          <cell r="A1988" t="str">
            <v>20</v>
          </cell>
          <cell r="B1988" t="str">
            <v>76</v>
          </cell>
          <cell r="C1988" t="str">
            <v>1</v>
          </cell>
          <cell r="D1988" t="str">
            <v>B</v>
          </cell>
          <cell r="E1988">
            <v>1</v>
          </cell>
          <cell r="F1988">
            <v>0</v>
          </cell>
          <cell r="G1988" t="str">
            <v>3. Dologi és egyéb folyó kiadások</v>
          </cell>
        </row>
        <row r="1989">
          <cell r="A1989" t="str">
            <v>21</v>
          </cell>
          <cell r="B1989" t="str">
            <v>76</v>
          </cell>
          <cell r="C1989" t="str">
            <v>1</v>
          </cell>
          <cell r="D1989" t="str">
            <v>B</v>
          </cell>
          <cell r="E1989">
            <v>1</v>
          </cell>
          <cell r="F1989">
            <v>0</v>
          </cell>
          <cell r="G1989" t="str">
            <v>Működési kiadások (18+...+20)</v>
          </cell>
        </row>
        <row r="1990">
          <cell r="A1990" t="str">
            <v>22</v>
          </cell>
          <cell r="B1990" t="str">
            <v>76</v>
          </cell>
          <cell r="C1990" t="str">
            <v>1</v>
          </cell>
          <cell r="D1990" t="str">
            <v>B</v>
          </cell>
          <cell r="E1990">
            <v>1</v>
          </cell>
          <cell r="F1990">
            <v>0</v>
          </cell>
          <cell r="G1990" t="str">
            <v>1. Hosszú lejáratra kapott kölcsönök kiadásai</v>
          </cell>
        </row>
        <row r="1991">
          <cell r="A1991" t="str">
            <v>23</v>
          </cell>
          <cell r="B1991" t="str">
            <v>76</v>
          </cell>
          <cell r="C1991" t="str">
            <v>1</v>
          </cell>
          <cell r="D1991" t="str">
            <v>B</v>
          </cell>
          <cell r="E1991">
            <v>1</v>
          </cell>
          <cell r="F1991">
            <v>0</v>
          </cell>
          <cell r="G1991" t="str">
            <v>2. Rövid lejáratra kapott kölcsönök kiadásai</v>
          </cell>
        </row>
        <row r="1992">
          <cell r="A1992" t="str">
            <v>24</v>
          </cell>
          <cell r="B1992" t="str">
            <v>76</v>
          </cell>
          <cell r="C1992" t="str">
            <v>1</v>
          </cell>
          <cell r="D1992" t="str">
            <v>B</v>
          </cell>
          <cell r="E1992">
            <v>1</v>
          </cell>
          <cell r="F1992">
            <v>0</v>
          </cell>
          <cell r="G1992" t="str">
            <v>Kapott kölcsönök kiadásai (22+23)</v>
          </cell>
        </row>
        <row r="1993">
          <cell r="A1993" t="str">
            <v>25</v>
          </cell>
          <cell r="B1993" t="str">
            <v>76</v>
          </cell>
          <cell r="C1993" t="str">
            <v>1</v>
          </cell>
          <cell r="D1993" t="str">
            <v>B</v>
          </cell>
          <cell r="E1993">
            <v>1</v>
          </cell>
          <cell r="F1993">
            <v>0</v>
          </cell>
          <cell r="G1993" t="str">
            <v>Kiadások összesen (07+17+21+24)</v>
          </cell>
        </row>
        <row r="1994">
          <cell r="A1994" t="str">
            <v>1</v>
          </cell>
          <cell r="B1994" t="str">
            <v>77</v>
          </cell>
          <cell r="C1994" t="str">
            <v>1</v>
          </cell>
          <cell r="D1994" t="str">
            <v>B</v>
          </cell>
          <cell r="E1994">
            <v>1</v>
          </cell>
          <cell r="F1994">
            <v>0</v>
          </cell>
          <cell r="G1994" t="str">
            <v>1. Intézményi beruházási kiadások</v>
          </cell>
        </row>
        <row r="1995">
          <cell r="A1995" t="str">
            <v>2</v>
          </cell>
          <cell r="B1995" t="str">
            <v>77</v>
          </cell>
          <cell r="C1995" t="str">
            <v>1</v>
          </cell>
          <cell r="D1995" t="str">
            <v>B</v>
          </cell>
          <cell r="E1995">
            <v>1</v>
          </cell>
          <cell r="F1995">
            <v>0</v>
          </cell>
          <cell r="G1995" t="str">
            <v>2. Felújítás</v>
          </cell>
        </row>
        <row r="1996">
          <cell r="A1996" t="str">
            <v>3</v>
          </cell>
          <cell r="B1996" t="str">
            <v>77</v>
          </cell>
          <cell r="C1996" t="str">
            <v>1</v>
          </cell>
          <cell r="D1996" t="str">
            <v>B</v>
          </cell>
          <cell r="E1996">
            <v>1</v>
          </cell>
          <cell r="F1996">
            <v>0</v>
          </cell>
          <cell r="G1996" t="str">
            <v>3. Központi beruházás</v>
          </cell>
        </row>
        <row r="1997">
          <cell r="A1997" t="str">
            <v>4</v>
          </cell>
          <cell r="B1997" t="str">
            <v>77</v>
          </cell>
          <cell r="C1997" t="str">
            <v>1</v>
          </cell>
          <cell r="D1997" t="str">
            <v>B</v>
          </cell>
          <cell r="E1997">
            <v>1</v>
          </cell>
          <cell r="F1997">
            <v>0</v>
          </cell>
          <cell r="G1997" t="str">
            <v>4. Beruházás, felújítás általános forgalmi adója</v>
          </cell>
        </row>
        <row r="1998">
          <cell r="A1998" t="str">
            <v>5</v>
          </cell>
          <cell r="B1998" t="str">
            <v>77</v>
          </cell>
          <cell r="C1998" t="str">
            <v>1</v>
          </cell>
          <cell r="D1998" t="str">
            <v>B</v>
          </cell>
          <cell r="E1998">
            <v>1</v>
          </cell>
          <cell r="F1998">
            <v>0</v>
          </cell>
          <cell r="G1998" t="str">
            <v>Felhalmozási kiadások (01+...+04)</v>
          </cell>
        </row>
        <row r="1999">
          <cell r="A1999" t="str">
            <v>6</v>
          </cell>
          <cell r="B1999" t="str">
            <v>77</v>
          </cell>
          <cell r="C1999" t="str">
            <v>1</v>
          </cell>
          <cell r="D1999" t="str">
            <v>B</v>
          </cell>
          <cell r="E1999">
            <v>1</v>
          </cell>
          <cell r="F1999">
            <v>0</v>
          </cell>
          <cell r="G1999" t="str">
            <v>1. Tartósan adott kölcsönök (visszterhesen adott pénzeszk.)</v>
          </cell>
        </row>
        <row r="2000">
          <cell r="A2000" t="str">
            <v>7</v>
          </cell>
          <cell r="B2000" t="str">
            <v>77</v>
          </cell>
          <cell r="C2000" t="str">
            <v>1</v>
          </cell>
          <cell r="D2000" t="str">
            <v>B</v>
          </cell>
          <cell r="E2000">
            <v>1</v>
          </cell>
          <cell r="F2000">
            <v>0</v>
          </cell>
          <cell r="G2000" t="str">
            <v>2. Rövid lejáratú támogatási kölcsönök</v>
          </cell>
        </row>
        <row r="2001">
          <cell r="A2001" t="str">
            <v>8</v>
          </cell>
          <cell r="B2001" t="str">
            <v>77</v>
          </cell>
          <cell r="C2001" t="str">
            <v>1</v>
          </cell>
          <cell r="D2001" t="str">
            <v>B</v>
          </cell>
          <cell r="E2001">
            <v>1</v>
          </cell>
          <cell r="F2001">
            <v>0</v>
          </cell>
          <cell r="G2001" t="str">
            <v>3. Végleges pénzeszközátadás (09+12)</v>
          </cell>
        </row>
        <row r="2002">
          <cell r="A2002" t="str">
            <v>9</v>
          </cell>
          <cell r="B2002" t="str">
            <v>77</v>
          </cell>
          <cell r="C2002" t="str">
            <v>1</v>
          </cell>
          <cell r="D2002" t="str">
            <v>B</v>
          </cell>
          <cell r="E2002">
            <v>1</v>
          </cell>
          <cell r="F2002">
            <v>0</v>
          </cell>
          <cell r="G2002" t="str">
            <v>3.1. Felhalmozási célú végleges pénzeszközátadás (10+11)</v>
          </cell>
        </row>
        <row r="2003">
          <cell r="A2003" t="str">
            <v>10</v>
          </cell>
          <cell r="B2003" t="str">
            <v>77</v>
          </cell>
          <cell r="C2003" t="str">
            <v>1</v>
          </cell>
          <cell r="D2003" t="str">
            <v>B</v>
          </cell>
          <cell r="E2003">
            <v>1</v>
          </cell>
          <cell r="F2003">
            <v>0</v>
          </cell>
          <cell r="G2003" t="str">
            <v>3.1.1. Felhalm-i célú áht-n belüli végleges pénzeszközátadás</v>
          </cell>
        </row>
        <row r="2004">
          <cell r="A2004" t="str">
            <v>11</v>
          </cell>
          <cell r="B2004" t="str">
            <v>77</v>
          </cell>
          <cell r="C2004" t="str">
            <v>1</v>
          </cell>
          <cell r="D2004" t="str">
            <v>B</v>
          </cell>
          <cell r="E2004">
            <v>1</v>
          </cell>
          <cell r="F2004">
            <v>0</v>
          </cell>
          <cell r="G2004" t="str">
            <v>3.1.2. Felhalm-i célú áht-n kívüli végleges pénzeszközátadás</v>
          </cell>
        </row>
        <row r="2005">
          <cell r="A2005" t="str">
            <v>12</v>
          </cell>
          <cell r="B2005" t="str">
            <v>77</v>
          </cell>
          <cell r="C2005" t="str">
            <v>1</v>
          </cell>
          <cell r="D2005" t="str">
            <v>B</v>
          </cell>
          <cell r="E2005">
            <v>1</v>
          </cell>
          <cell r="F2005">
            <v>0</v>
          </cell>
          <cell r="G2005" t="str">
            <v>3.2. Működési célú végleges pénzeszközátadás (13+14)</v>
          </cell>
        </row>
        <row r="2006">
          <cell r="A2006" t="str">
            <v>13</v>
          </cell>
          <cell r="B2006" t="str">
            <v>77</v>
          </cell>
          <cell r="C2006" t="str">
            <v>1</v>
          </cell>
          <cell r="D2006" t="str">
            <v>B</v>
          </cell>
          <cell r="E2006">
            <v>1</v>
          </cell>
          <cell r="F2006">
            <v>0</v>
          </cell>
          <cell r="G2006" t="str">
            <v>3.2.1. Működési célú áht-n belüli végleges pénzeszközátadás</v>
          </cell>
        </row>
        <row r="2007">
          <cell r="A2007" t="str">
            <v>14</v>
          </cell>
          <cell r="B2007" t="str">
            <v>77</v>
          </cell>
          <cell r="C2007" t="str">
            <v>1</v>
          </cell>
          <cell r="D2007" t="str">
            <v>B</v>
          </cell>
          <cell r="E2007">
            <v>1</v>
          </cell>
          <cell r="F2007">
            <v>0</v>
          </cell>
          <cell r="G2007" t="str">
            <v>3.2.2. Működési célú áht-n kívüli végleges pénzeszközátadás</v>
          </cell>
        </row>
        <row r="2008">
          <cell r="A2008" t="str">
            <v>15</v>
          </cell>
          <cell r="B2008" t="str">
            <v>77</v>
          </cell>
          <cell r="C2008" t="str">
            <v>1</v>
          </cell>
          <cell r="D2008" t="str">
            <v>B</v>
          </cell>
          <cell r="E2008">
            <v>1</v>
          </cell>
          <cell r="F2008">
            <v>0</v>
          </cell>
          <cell r="G2008" t="str">
            <v>Pénzeszközátadások (06+07+08)</v>
          </cell>
        </row>
        <row r="2009">
          <cell r="A2009" t="str">
            <v>16</v>
          </cell>
          <cell r="B2009" t="str">
            <v>77</v>
          </cell>
          <cell r="C2009" t="str">
            <v>1</v>
          </cell>
          <cell r="D2009" t="str">
            <v>B</v>
          </cell>
          <cell r="E2009">
            <v>1</v>
          </cell>
          <cell r="F2009">
            <v>0</v>
          </cell>
          <cell r="G2009" t="str">
            <v>1. Személyi juttatások</v>
          </cell>
        </row>
        <row r="2010">
          <cell r="A2010" t="str">
            <v>17</v>
          </cell>
          <cell r="B2010" t="str">
            <v>77</v>
          </cell>
          <cell r="C2010" t="str">
            <v>1</v>
          </cell>
          <cell r="D2010" t="str">
            <v>B</v>
          </cell>
          <cell r="E2010">
            <v>1</v>
          </cell>
          <cell r="F2010">
            <v>0</v>
          </cell>
          <cell r="G2010" t="str">
            <v>2. Munkaadókat terhelő járulékok</v>
          </cell>
        </row>
        <row r="2011">
          <cell r="A2011" t="str">
            <v>18</v>
          </cell>
          <cell r="B2011" t="str">
            <v>77</v>
          </cell>
          <cell r="C2011" t="str">
            <v>1</v>
          </cell>
          <cell r="D2011" t="str">
            <v>B</v>
          </cell>
          <cell r="E2011">
            <v>1</v>
          </cell>
          <cell r="F2011">
            <v>0</v>
          </cell>
          <cell r="G2011" t="str">
            <v>3. Dologi és egyéb folyó kiadások</v>
          </cell>
        </row>
        <row r="2012">
          <cell r="A2012" t="str">
            <v>19</v>
          </cell>
          <cell r="B2012" t="str">
            <v>77</v>
          </cell>
          <cell r="C2012" t="str">
            <v>1</v>
          </cell>
          <cell r="D2012" t="str">
            <v>B</v>
          </cell>
          <cell r="E2012">
            <v>1</v>
          </cell>
          <cell r="F2012">
            <v>0</v>
          </cell>
          <cell r="G2012" t="str">
            <v>Működési kiadások (16+...+18)</v>
          </cell>
        </row>
        <row r="2013">
          <cell r="A2013" t="str">
            <v>20</v>
          </cell>
          <cell r="B2013" t="str">
            <v>77</v>
          </cell>
          <cell r="C2013" t="str">
            <v>1</v>
          </cell>
          <cell r="D2013" t="str">
            <v>B</v>
          </cell>
          <cell r="E2013">
            <v>1</v>
          </cell>
          <cell r="F2013">
            <v>0</v>
          </cell>
          <cell r="G2013" t="str">
            <v>1. Hosszú lejáratra kapott kölcsönök kiadásai</v>
          </cell>
        </row>
        <row r="2014">
          <cell r="A2014" t="str">
            <v>21</v>
          </cell>
          <cell r="B2014" t="str">
            <v>77</v>
          </cell>
          <cell r="C2014" t="str">
            <v>1</v>
          </cell>
          <cell r="D2014" t="str">
            <v>B</v>
          </cell>
          <cell r="E2014">
            <v>1</v>
          </cell>
          <cell r="F2014">
            <v>0</v>
          </cell>
          <cell r="G2014" t="str">
            <v>2. Rövid lejáratra kapott kölcsönök kiadásai</v>
          </cell>
        </row>
        <row r="2015">
          <cell r="A2015" t="str">
            <v>22</v>
          </cell>
          <cell r="B2015" t="str">
            <v>77</v>
          </cell>
          <cell r="C2015" t="str">
            <v>1</v>
          </cell>
          <cell r="D2015" t="str">
            <v>B</v>
          </cell>
          <cell r="E2015">
            <v>1</v>
          </cell>
          <cell r="F2015">
            <v>0</v>
          </cell>
          <cell r="G2015" t="str">
            <v>Kapott kölcsönök kiadásai (20+21)</v>
          </cell>
        </row>
        <row r="2016">
          <cell r="A2016" t="str">
            <v>23</v>
          </cell>
          <cell r="B2016" t="str">
            <v>77</v>
          </cell>
          <cell r="C2016" t="str">
            <v>1</v>
          </cell>
          <cell r="D2016" t="str">
            <v>B</v>
          </cell>
          <cell r="E2016">
            <v>1</v>
          </cell>
          <cell r="F2016">
            <v>0</v>
          </cell>
          <cell r="G2016" t="str">
            <v>Kiadások összesen (05+15+19+22)</v>
          </cell>
        </row>
        <row r="2017">
          <cell r="A2017" t="str">
            <v>1</v>
          </cell>
          <cell r="B2017" t="str">
            <v>78</v>
          </cell>
          <cell r="C2017" t="str">
            <v>1</v>
          </cell>
          <cell r="D2017" t="str">
            <v>B</v>
          </cell>
          <cell r="E2017">
            <v>1</v>
          </cell>
          <cell r="F2017">
            <v>0</v>
          </cell>
          <cell r="G2017" t="str">
            <v>1. Intézményi beruházási kiadások</v>
          </cell>
        </row>
        <row r="2018">
          <cell r="A2018" t="str">
            <v>2</v>
          </cell>
          <cell r="B2018" t="str">
            <v>78</v>
          </cell>
          <cell r="C2018" t="str">
            <v>1</v>
          </cell>
          <cell r="D2018" t="str">
            <v>B</v>
          </cell>
          <cell r="E2018">
            <v>1</v>
          </cell>
          <cell r="F2018">
            <v>0</v>
          </cell>
          <cell r="G2018" t="str">
            <v>2. Felújítás</v>
          </cell>
        </row>
        <row r="2019">
          <cell r="A2019" t="str">
            <v>3</v>
          </cell>
          <cell r="B2019" t="str">
            <v>78</v>
          </cell>
          <cell r="C2019" t="str">
            <v>1</v>
          </cell>
          <cell r="D2019" t="str">
            <v>B</v>
          </cell>
          <cell r="E2019">
            <v>1</v>
          </cell>
          <cell r="F2019">
            <v>0</v>
          </cell>
          <cell r="G2019" t="str">
            <v>3. Központi beruházás</v>
          </cell>
        </row>
        <row r="2020">
          <cell r="A2020" t="str">
            <v>4</v>
          </cell>
          <cell r="B2020" t="str">
            <v>78</v>
          </cell>
          <cell r="C2020" t="str">
            <v>1</v>
          </cell>
          <cell r="D2020" t="str">
            <v>B</v>
          </cell>
          <cell r="E2020">
            <v>1</v>
          </cell>
          <cell r="F2020">
            <v>0</v>
          </cell>
          <cell r="G2020" t="str">
            <v>4. Beruházás, felújítás általános forgalmi adója</v>
          </cell>
        </row>
        <row r="2021">
          <cell r="A2021" t="str">
            <v>5</v>
          </cell>
          <cell r="B2021" t="str">
            <v>78</v>
          </cell>
          <cell r="C2021" t="str">
            <v>1</v>
          </cell>
          <cell r="D2021" t="str">
            <v>B</v>
          </cell>
          <cell r="E2021">
            <v>1</v>
          </cell>
          <cell r="F2021">
            <v>0</v>
          </cell>
          <cell r="G2021" t="str">
            <v>Felhalmozási kiadások (01+...+04)</v>
          </cell>
        </row>
        <row r="2022">
          <cell r="A2022" t="str">
            <v>6</v>
          </cell>
          <cell r="B2022" t="str">
            <v>78</v>
          </cell>
          <cell r="C2022" t="str">
            <v>1</v>
          </cell>
          <cell r="D2022" t="str">
            <v>B</v>
          </cell>
          <cell r="E2022">
            <v>1</v>
          </cell>
          <cell r="F2022">
            <v>0</v>
          </cell>
          <cell r="G2022" t="str">
            <v>1. Tartósan adott kölcsönök (visszterhesen adott pénzeszk.)</v>
          </cell>
        </row>
        <row r="2023">
          <cell r="A2023" t="str">
            <v>7</v>
          </cell>
          <cell r="B2023" t="str">
            <v>78</v>
          </cell>
          <cell r="C2023" t="str">
            <v>1</v>
          </cell>
          <cell r="D2023" t="str">
            <v>B</v>
          </cell>
          <cell r="E2023">
            <v>1</v>
          </cell>
          <cell r="F2023">
            <v>0</v>
          </cell>
          <cell r="G2023" t="str">
            <v>2. Rövid lejáratú támogatási kölcsönök</v>
          </cell>
        </row>
        <row r="2024">
          <cell r="A2024" t="str">
            <v>8</v>
          </cell>
          <cell r="B2024" t="str">
            <v>78</v>
          </cell>
          <cell r="C2024" t="str">
            <v>1</v>
          </cell>
          <cell r="D2024" t="str">
            <v>B</v>
          </cell>
          <cell r="E2024">
            <v>1</v>
          </cell>
          <cell r="F2024">
            <v>0</v>
          </cell>
          <cell r="G2024" t="str">
            <v>3. Végleges pénzeszközátadás (09+12)</v>
          </cell>
        </row>
        <row r="2025">
          <cell r="A2025" t="str">
            <v>9</v>
          </cell>
          <cell r="B2025" t="str">
            <v>78</v>
          </cell>
          <cell r="C2025" t="str">
            <v>1</v>
          </cell>
          <cell r="D2025" t="str">
            <v>B</v>
          </cell>
          <cell r="E2025">
            <v>1</v>
          </cell>
          <cell r="F2025">
            <v>0</v>
          </cell>
          <cell r="G2025" t="str">
            <v>3.1. Felhalmozási célú végleges pénzeszközátadás (10+11)</v>
          </cell>
        </row>
        <row r="2026">
          <cell r="A2026" t="str">
            <v>10</v>
          </cell>
          <cell r="B2026" t="str">
            <v>78</v>
          </cell>
          <cell r="C2026" t="str">
            <v>1</v>
          </cell>
          <cell r="D2026" t="str">
            <v>B</v>
          </cell>
          <cell r="E2026">
            <v>1</v>
          </cell>
          <cell r="F2026">
            <v>0</v>
          </cell>
          <cell r="G2026" t="str">
            <v>3.1.1. Felhalm-i célú áht-n belüli végleges pénzeszközátadás</v>
          </cell>
        </row>
        <row r="2027">
          <cell r="A2027" t="str">
            <v>11</v>
          </cell>
          <cell r="B2027" t="str">
            <v>78</v>
          </cell>
          <cell r="C2027" t="str">
            <v>1</v>
          </cell>
          <cell r="D2027" t="str">
            <v>B</v>
          </cell>
          <cell r="E2027">
            <v>1</v>
          </cell>
          <cell r="F2027">
            <v>0</v>
          </cell>
          <cell r="G2027" t="str">
            <v>3.1.2. Felhalm-i célú áht-n kívüli végleges pénzeszközátadás</v>
          </cell>
        </row>
        <row r="2028">
          <cell r="A2028" t="str">
            <v>12</v>
          </cell>
          <cell r="B2028" t="str">
            <v>78</v>
          </cell>
          <cell r="C2028" t="str">
            <v>1</v>
          </cell>
          <cell r="D2028" t="str">
            <v>B</v>
          </cell>
          <cell r="E2028">
            <v>1</v>
          </cell>
          <cell r="F2028">
            <v>0</v>
          </cell>
          <cell r="G2028" t="str">
            <v>3.2. Működési célú végleges pénzeszközátadás (13+14)</v>
          </cell>
        </row>
        <row r="2029">
          <cell r="A2029" t="str">
            <v>13</v>
          </cell>
          <cell r="B2029" t="str">
            <v>78</v>
          </cell>
          <cell r="C2029" t="str">
            <v>1</v>
          </cell>
          <cell r="D2029" t="str">
            <v>B</v>
          </cell>
          <cell r="E2029">
            <v>1</v>
          </cell>
          <cell r="F2029">
            <v>0</v>
          </cell>
          <cell r="G2029" t="str">
            <v>3.2.1. Működési célú áht-n belüli végleges pénzeszközátadás</v>
          </cell>
        </row>
        <row r="2030">
          <cell r="A2030" t="str">
            <v>14</v>
          </cell>
          <cell r="B2030" t="str">
            <v>78</v>
          </cell>
          <cell r="C2030" t="str">
            <v>1</v>
          </cell>
          <cell r="D2030" t="str">
            <v>B</v>
          </cell>
          <cell r="E2030">
            <v>1</v>
          </cell>
          <cell r="F2030">
            <v>0</v>
          </cell>
          <cell r="G2030" t="str">
            <v>3.2.2. Működési célú áht-n kívüli végleges pénzeszközátadás</v>
          </cell>
        </row>
        <row r="2031">
          <cell r="A2031" t="str">
            <v>15</v>
          </cell>
          <cell r="B2031" t="str">
            <v>78</v>
          </cell>
          <cell r="C2031" t="str">
            <v>1</v>
          </cell>
          <cell r="D2031" t="str">
            <v>B</v>
          </cell>
          <cell r="E2031">
            <v>1</v>
          </cell>
          <cell r="F2031">
            <v>0</v>
          </cell>
          <cell r="G2031" t="str">
            <v>Pénzeszközátadások (06+07+08)</v>
          </cell>
        </row>
        <row r="2032">
          <cell r="A2032" t="str">
            <v>16</v>
          </cell>
          <cell r="B2032" t="str">
            <v>78</v>
          </cell>
          <cell r="C2032" t="str">
            <v>1</v>
          </cell>
          <cell r="D2032" t="str">
            <v>B</v>
          </cell>
          <cell r="E2032">
            <v>1</v>
          </cell>
          <cell r="F2032">
            <v>0</v>
          </cell>
          <cell r="G2032" t="str">
            <v>1. Személyi juttatások</v>
          </cell>
        </row>
        <row r="2033">
          <cell r="A2033" t="str">
            <v>17</v>
          </cell>
          <cell r="B2033" t="str">
            <v>78</v>
          </cell>
          <cell r="C2033" t="str">
            <v>1</v>
          </cell>
          <cell r="D2033" t="str">
            <v>B</v>
          </cell>
          <cell r="E2033">
            <v>1</v>
          </cell>
          <cell r="F2033">
            <v>0</v>
          </cell>
          <cell r="G2033" t="str">
            <v>2. Munkaadókat terhelő járulékok</v>
          </cell>
        </row>
        <row r="2034">
          <cell r="A2034" t="str">
            <v>18</v>
          </cell>
          <cell r="B2034" t="str">
            <v>78</v>
          </cell>
          <cell r="C2034" t="str">
            <v>1</v>
          </cell>
          <cell r="D2034" t="str">
            <v>B</v>
          </cell>
          <cell r="E2034">
            <v>1</v>
          </cell>
          <cell r="F2034">
            <v>0</v>
          </cell>
          <cell r="G2034" t="str">
            <v>3. Dologi és egyéb folyó kiadások</v>
          </cell>
        </row>
        <row r="2035">
          <cell r="A2035" t="str">
            <v>19</v>
          </cell>
          <cell r="B2035" t="str">
            <v>78</v>
          </cell>
          <cell r="C2035" t="str">
            <v>1</v>
          </cell>
          <cell r="D2035" t="str">
            <v>B</v>
          </cell>
          <cell r="E2035">
            <v>1</v>
          </cell>
          <cell r="F2035">
            <v>0</v>
          </cell>
          <cell r="G2035" t="str">
            <v>Működési kiadások (16+...+18)</v>
          </cell>
        </row>
        <row r="2036">
          <cell r="A2036" t="str">
            <v>20</v>
          </cell>
          <cell r="B2036" t="str">
            <v>78</v>
          </cell>
          <cell r="C2036" t="str">
            <v>1</v>
          </cell>
          <cell r="D2036" t="str">
            <v>B</v>
          </cell>
          <cell r="E2036">
            <v>1</v>
          </cell>
          <cell r="F2036">
            <v>0</v>
          </cell>
          <cell r="G2036" t="str">
            <v>1. Hosszú lejáratra kapott kölcsönök kiadásai</v>
          </cell>
        </row>
        <row r="2037">
          <cell r="A2037" t="str">
            <v>21</v>
          </cell>
          <cell r="B2037" t="str">
            <v>78</v>
          </cell>
          <cell r="C2037" t="str">
            <v>1</v>
          </cell>
          <cell r="D2037" t="str">
            <v>B</v>
          </cell>
          <cell r="E2037">
            <v>1</v>
          </cell>
          <cell r="F2037">
            <v>0</v>
          </cell>
          <cell r="G2037" t="str">
            <v>2. Rövid lejáratra kapott kölcsönök kiadásai</v>
          </cell>
        </row>
        <row r="2038">
          <cell r="A2038" t="str">
            <v>22</v>
          </cell>
          <cell r="B2038" t="str">
            <v>78</v>
          </cell>
          <cell r="C2038" t="str">
            <v>1</v>
          </cell>
          <cell r="D2038" t="str">
            <v>B</v>
          </cell>
          <cell r="E2038">
            <v>1</v>
          </cell>
          <cell r="F2038">
            <v>0</v>
          </cell>
          <cell r="G2038" t="str">
            <v>Kapott kölcsönök kiadásai (20+21)</v>
          </cell>
        </row>
        <row r="2039">
          <cell r="A2039" t="str">
            <v>23</v>
          </cell>
          <cell r="B2039" t="str">
            <v>78</v>
          </cell>
          <cell r="C2039" t="str">
            <v>1</v>
          </cell>
          <cell r="D2039" t="str">
            <v>B</v>
          </cell>
          <cell r="E2039">
            <v>1</v>
          </cell>
          <cell r="F2039">
            <v>0</v>
          </cell>
          <cell r="G2039" t="str">
            <v>Kiadások összesen (05+15+19+22)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P10"/>
      <sheetName val="JO"/>
      <sheetName val="PAR10"/>
      <sheetName val="PAR13"/>
      <sheetName val="Munka6"/>
      <sheetName val="MHIV"/>
      <sheetName val="MÖNK"/>
      <sheetName val="MINT"/>
      <sheetName val="EszkM"/>
      <sheetName val="ForrM"/>
      <sheetName val="38"/>
      <sheetName val="Munka2"/>
      <sheetName val="PMHIV"/>
      <sheetName val="PMINT"/>
      <sheetName val="pmelsz"/>
      <sheetName val="48"/>
      <sheetName val="48 (2)"/>
      <sheetName val="49"/>
      <sheetName val="49 (2)"/>
      <sheetName val="31"/>
      <sheetName val="31 (2)"/>
      <sheetName val="51"/>
      <sheetName val="51 (2)"/>
      <sheetName val="31+51"/>
      <sheetName val="33"/>
      <sheetName val="52"/>
      <sheetName val="55"/>
      <sheetName val="EGYM"/>
      <sheetName val="EGYPF"/>
      <sheetName val="EGYSZ032"/>
      <sheetName val="EGYPM"/>
      <sheetName val="51MUNK"/>
      <sheetName val="LAKAL"/>
      <sheetName val="PMrész"/>
      <sheetName val="Létszám2004"/>
      <sheetName val="HITEL2003"/>
      <sheetName val="Iszi"/>
      <sheetName val="Munka1"/>
    </sheetNames>
    <sheetDataSet>
      <sheetData sheetId="0">
        <row r="1">
          <cell r="A1" t="str">
            <v>SORSZAM</v>
          </cell>
          <cell r="B1" t="str">
            <v>URSZ</v>
          </cell>
          <cell r="C1" t="str">
            <v>SORF</v>
          </cell>
          <cell r="D1" t="str">
            <v>BJ</v>
          </cell>
          <cell r="E1" t="str">
            <v>VJEL</v>
          </cell>
          <cell r="F1" t="str">
            <v>SOR</v>
          </cell>
          <cell r="G1" t="str">
            <v>SZOV</v>
          </cell>
        </row>
        <row r="2">
          <cell r="A2" t="str">
            <v>0</v>
          </cell>
          <cell r="B2" t="str">
            <v>E1</v>
          </cell>
          <cell r="C2" t="str">
            <v>0</v>
          </cell>
          <cell r="D2" t="str">
            <v>B</v>
          </cell>
          <cell r="E2">
            <v>0</v>
          </cell>
          <cell r="F2">
            <v>0</v>
          </cell>
          <cell r="G2" t="str">
            <v>E s z k ö z ö k</v>
          </cell>
        </row>
        <row r="3">
          <cell r="A3" t="str">
            <v>1</v>
          </cell>
          <cell r="B3" t="str">
            <v>E1</v>
          </cell>
          <cell r="C3" t="str">
            <v>1</v>
          </cell>
          <cell r="D3" t="str">
            <v>B</v>
          </cell>
          <cell r="E3">
            <v>2</v>
          </cell>
          <cell r="F3">
            <v>1</v>
          </cell>
          <cell r="G3" t="str">
            <v>A.) Befektetett eszközök összesen                      01/25</v>
          </cell>
        </row>
        <row r="4">
          <cell r="A4" t="str">
            <v>2</v>
          </cell>
          <cell r="B4" t="str">
            <v>E1</v>
          </cell>
          <cell r="C4" t="str">
            <v>1</v>
          </cell>
          <cell r="D4" t="str">
            <v>B</v>
          </cell>
          <cell r="E4">
            <v>1</v>
          </cell>
          <cell r="F4">
            <v>2</v>
          </cell>
          <cell r="G4" t="str">
            <v>I.   Immateriális javak                                01/07</v>
          </cell>
        </row>
        <row r="5">
          <cell r="A5" t="str">
            <v>3</v>
          </cell>
          <cell r="B5" t="str">
            <v>E1</v>
          </cell>
          <cell r="C5" t="str">
            <v>1</v>
          </cell>
          <cell r="D5" t="str">
            <v>B</v>
          </cell>
          <cell r="E5">
            <v>1</v>
          </cell>
          <cell r="F5">
            <v>3</v>
          </cell>
          <cell r="G5" t="str">
            <v>II.  Tárgyi eszközök                                   01/15</v>
          </cell>
        </row>
        <row r="6">
          <cell r="A6" t="str">
            <v>4</v>
          </cell>
          <cell r="B6" t="str">
            <v>E1</v>
          </cell>
          <cell r="C6" t="str">
            <v>1</v>
          </cell>
          <cell r="D6" t="str">
            <v>B</v>
          </cell>
          <cell r="E6">
            <v>1</v>
          </cell>
          <cell r="F6">
            <v>4</v>
          </cell>
          <cell r="G6" t="str">
            <v>III. Befektetett pénzügyi eszközök                     01/22</v>
          </cell>
        </row>
        <row r="7">
          <cell r="A7" t="str">
            <v>5</v>
          </cell>
          <cell r="B7" t="str">
            <v>E1</v>
          </cell>
          <cell r="C7" t="str">
            <v>1</v>
          </cell>
          <cell r="D7" t="str">
            <v>B</v>
          </cell>
          <cell r="E7">
            <v>1</v>
          </cell>
          <cell r="F7">
            <v>5</v>
          </cell>
          <cell r="G7" t="str">
            <v>IV.  Üzemeltetésre, kezelésre átadott eszközök      01/23+24</v>
          </cell>
        </row>
        <row r="8">
          <cell r="A8" t="str">
            <v>6</v>
          </cell>
          <cell r="B8" t="str">
            <v>E1</v>
          </cell>
          <cell r="C8" t="str">
            <v>1</v>
          </cell>
          <cell r="D8" t="str">
            <v>B</v>
          </cell>
          <cell r="E8">
            <v>2</v>
          </cell>
          <cell r="F8">
            <v>6</v>
          </cell>
          <cell r="G8" t="str">
            <v>B.) Forgóeszközök összesen                             01/52</v>
          </cell>
        </row>
        <row r="9">
          <cell r="A9" t="str">
            <v>7</v>
          </cell>
          <cell r="B9" t="str">
            <v>E1</v>
          </cell>
          <cell r="C9" t="str">
            <v>1</v>
          </cell>
          <cell r="D9" t="str">
            <v>B</v>
          </cell>
          <cell r="E9">
            <v>1</v>
          </cell>
          <cell r="F9">
            <v>7</v>
          </cell>
          <cell r="G9" t="str">
            <v>I.   Készletek                                         01/32</v>
          </cell>
        </row>
        <row r="10">
          <cell r="A10" t="str">
            <v>8</v>
          </cell>
          <cell r="B10" t="str">
            <v>E1</v>
          </cell>
          <cell r="C10" t="str">
            <v>1</v>
          </cell>
          <cell r="D10" t="str">
            <v>B</v>
          </cell>
          <cell r="E10">
            <v>1</v>
          </cell>
          <cell r="F10">
            <v>8</v>
          </cell>
          <cell r="G10" t="str">
            <v>II.  Követelések                                       01/38</v>
          </cell>
        </row>
        <row r="11">
          <cell r="A11" t="str">
            <v>9</v>
          </cell>
          <cell r="B11" t="str">
            <v>E1</v>
          </cell>
          <cell r="C11" t="str">
            <v>1</v>
          </cell>
          <cell r="D11" t="str">
            <v>B</v>
          </cell>
          <cell r="E11">
            <v>1</v>
          </cell>
          <cell r="F11">
            <v>9</v>
          </cell>
          <cell r="G11" t="str">
            <v>III. Értékpapirok                                      01/41</v>
          </cell>
        </row>
        <row r="12">
          <cell r="A12" t="str">
            <v>10</v>
          </cell>
          <cell r="B12" t="str">
            <v>E1</v>
          </cell>
          <cell r="C12" t="str">
            <v>1</v>
          </cell>
          <cell r="D12" t="str">
            <v>B</v>
          </cell>
          <cell r="E12">
            <v>1</v>
          </cell>
          <cell r="F12">
            <v>10</v>
          </cell>
          <cell r="G12" t="str">
            <v>IV.  Pénzeszközök                                      01/46</v>
          </cell>
        </row>
        <row r="13">
          <cell r="A13" t="str">
            <v>11</v>
          </cell>
          <cell r="B13" t="str">
            <v>E1</v>
          </cell>
          <cell r="C13" t="str">
            <v>1</v>
          </cell>
          <cell r="D13" t="str">
            <v>B</v>
          </cell>
          <cell r="E13">
            <v>1</v>
          </cell>
          <cell r="F13">
            <v>11</v>
          </cell>
          <cell r="G13" t="str">
            <v>V.   Egyéb aktiv pénzügyi elszámolások                 01/51</v>
          </cell>
        </row>
        <row r="14">
          <cell r="A14" t="str">
            <v>12</v>
          </cell>
          <cell r="B14" t="str">
            <v>E1</v>
          </cell>
          <cell r="C14" t="str">
            <v>1</v>
          </cell>
          <cell r="D14" t="str">
            <v>B</v>
          </cell>
          <cell r="E14">
            <v>2</v>
          </cell>
          <cell r="F14">
            <v>12</v>
          </cell>
          <cell r="G14" t="str">
            <v>E s z k ö z ö k    ö s s z e s e n                     01/53</v>
          </cell>
        </row>
        <row r="15">
          <cell r="A15" t="str">
            <v>0</v>
          </cell>
          <cell r="B15" t="str">
            <v>E1</v>
          </cell>
          <cell r="C15" t="str">
            <v>0</v>
          </cell>
          <cell r="D15" t="str">
            <v>J</v>
          </cell>
          <cell r="E15">
            <v>2</v>
          </cell>
          <cell r="F15">
            <v>0</v>
          </cell>
          <cell r="G15" t="str">
            <v>F o r r á s o k</v>
          </cell>
        </row>
        <row r="16">
          <cell r="A16" t="str">
            <v>13</v>
          </cell>
          <cell r="B16" t="str">
            <v>E1</v>
          </cell>
          <cell r="C16" t="str">
            <v>1</v>
          </cell>
          <cell r="D16" t="str">
            <v>J</v>
          </cell>
          <cell r="E16">
            <v>2</v>
          </cell>
          <cell r="F16">
            <v>13</v>
          </cell>
          <cell r="G16" t="str">
            <v>D.) Saját töke összesen                                01/57</v>
          </cell>
        </row>
        <row r="17">
          <cell r="A17" t="str">
            <v>14</v>
          </cell>
          <cell r="B17" t="str">
            <v>E1</v>
          </cell>
          <cell r="C17" t="str">
            <v>1</v>
          </cell>
          <cell r="D17" t="str">
            <v>J</v>
          </cell>
          <cell r="E17">
            <v>1</v>
          </cell>
          <cell r="F17">
            <v>14</v>
          </cell>
          <cell r="G17" t="str">
            <v>1.   Induló töke                                       01/54</v>
          </cell>
        </row>
        <row r="18">
          <cell r="A18" t="str">
            <v>15</v>
          </cell>
          <cell r="B18" t="str">
            <v>E1</v>
          </cell>
          <cell r="C18" t="str">
            <v>1</v>
          </cell>
          <cell r="D18" t="str">
            <v>J</v>
          </cell>
          <cell r="E18">
            <v>1</v>
          </cell>
          <cell r="F18">
            <v>15</v>
          </cell>
          <cell r="G18" t="str">
            <v>2.   Tökeváltozások                                    01/55</v>
          </cell>
        </row>
        <row r="19">
          <cell r="A19" t="str">
            <v>16</v>
          </cell>
          <cell r="B19" t="str">
            <v>E1</v>
          </cell>
          <cell r="C19" t="str">
            <v>1</v>
          </cell>
          <cell r="D19" t="str">
            <v>J</v>
          </cell>
          <cell r="E19">
            <v>1</v>
          </cell>
          <cell r="F19">
            <v>16</v>
          </cell>
          <cell r="G19" t="str">
            <v>3.   Értékelési tartalék                               01/56</v>
          </cell>
        </row>
        <row r="20">
          <cell r="A20" t="str">
            <v>17</v>
          </cell>
          <cell r="B20" t="str">
            <v>E1</v>
          </cell>
          <cell r="C20" t="str">
            <v>1</v>
          </cell>
          <cell r="D20" t="str">
            <v>J</v>
          </cell>
          <cell r="E20">
            <v>2</v>
          </cell>
          <cell r="F20">
            <v>17</v>
          </cell>
          <cell r="G20" t="str">
            <v>E.) Tartalékok összesen                                01/73</v>
          </cell>
        </row>
        <row r="21">
          <cell r="A21" t="str">
            <v>18</v>
          </cell>
          <cell r="B21" t="str">
            <v>E1</v>
          </cell>
          <cell r="C21" t="str">
            <v>1</v>
          </cell>
          <cell r="D21" t="str">
            <v>J</v>
          </cell>
          <cell r="E21">
            <v>1</v>
          </cell>
          <cell r="F21">
            <v>18</v>
          </cell>
          <cell r="G21" t="str">
            <v>I.   Költségvetési tartalékok                          01/65</v>
          </cell>
        </row>
        <row r="22">
          <cell r="A22" t="str">
            <v>19</v>
          </cell>
          <cell r="B22" t="str">
            <v>E1</v>
          </cell>
          <cell r="C22" t="str">
            <v>1</v>
          </cell>
          <cell r="D22" t="str">
            <v>J</v>
          </cell>
          <cell r="E22">
            <v>1</v>
          </cell>
          <cell r="F22">
            <v>19</v>
          </cell>
          <cell r="G22" t="str">
            <v>II.  Vállalkozási tartalékok                           01/72</v>
          </cell>
        </row>
        <row r="23">
          <cell r="A23" t="str">
            <v>10</v>
          </cell>
          <cell r="B23" t="str">
            <v>E1</v>
          </cell>
          <cell r="C23" t="str">
            <v>1</v>
          </cell>
          <cell r="D23" t="str">
            <v>J</v>
          </cell>
          <cell r="E23">
            <v>2</v>
          </cell>
          <cell r="F23">
            <v>10</v>
          </cell>
          <cell r="G23" t="str">
            <v>F.) Kötelezettségek összesen                           01/97</v>
          </cell>
        </row>
        <row r="24">
          <cell r="A24" t="str">
            <v>21</v>
          </cell>
          <cell r="B24" t="str">
            <v>E1</v>
          </cell>
          <cell r="C24" t="str">
            <v>1</v>
          </cell>
          <cell r="D24" t="str">
            <v>J</v>
          </cell>
          <cell r="E24">
            <v>1</v>
          </cell>
          <cell r="F24">
            <v>21</v>
          </cell>
          <cell r="G24" t="str">
            <v>I.   Hosszúlejáratú kötelezettségek                    01/78</v>
          </cell>
        </row>
        <row r="25">
          <cell r="A25" t="str">
            <v>22</v>
          </cell>
          <cell r="B25" t="str">
            <v>E1</v>
          </cell>
          <cell r="C25" t="str">
            <v>1</v>
          </cell>
          <cell r="D25" t="str">
            <v>J</v>
          </cell>
          <cell r="E25">
            <v>1</v>
          </cell>
          <cell r="F25">
            <v>22</v>
          </cell>
          <cell r="G25" t="str">
            <v>II.  Rövidlejáratú kötelezettségek                     01/89</v>
          </cell>
        </row>
        <row r="26">
          <cell r="A26" t="str">
            <v>23</v>
          </cell>
          <cell r="B26" t="str">
            <v>E1</v>
          </cell>
          <cell r="C26" t="str">
            <v>1</v>
          </cell>
          <cell r="D26" t="str">
            <v>J</v>
          </cell>
          <cell r="E26">
            <v>1</v>
          </cell>
          <cell r="F26">
            <v>23</v>
          </cell>
          <cell r="G26" t="str">
            <v>III. Egyéb passziv pénzügyi elszámolások               01/96</v>
          </cell>
        </row>
        <row r="27">
          <cell r="A27" t="str">
            <v>24</v>
          </cell>
          <cell r="B27" t="str">
            <v>E1</v>
          </cell>
          <cell r="C27" t="str">
            <v>1</v>
          </cell>
          <cell r="D27" t="str">
            <v>J</v>
          </cell>
          <cell r="E27">
            <v>2</v>
          </cell>
          <cell r="F27">
            <v>24</v>
          </cell>
          <cell r="G27" t="str">
            <v>F o r r á s o k    ö s s z e s e n                    01/106</v>
          </cell>
        </row>
        <row r="28">
          <cell r="A28" t="str">
            <v>1</v>
          </cell>
          <cell r="B28" t="str">
            <v>E2</v>
          </cell>
          <cell r="C28" t="str">
            <v>1</v>
          </cell>
          <cell r="D28" t="str">
            <v>B</v>
          </cell>
          <cell r="E28">
            <v>1</v>
          </cell>
          <cell r="F28">
            <v>1</v>
          </cell>
          <cell r="G28" t="str">
            <v>Személyi juttatások                                    80/04</v>
          </cell>
        </row>
        <row r="29">
          <cell r="A29" t="str">
            <v>2</v>
          </cell>
          <cell r="B29" t="str">
            <v>E2</v>
          </cell>
          <cell r="C29" t="str">
            <v>1</v>
          </cell>
          <cell r="D29" t="str">
            <v>B</v>
          </cell>
          <cell r="E29">
            <v>1</v>
          </cell>
          <cell r="F29">
            <v>2</v>
          </cell>
          <cell r="G29" t="str">
            <v>Munkaadót terhelő járulékok                         80/05+06</v>
          </cell>
        </row>
        <row r="30">
          <cell r="A30" t="str">
            <v>3</v>
          </cell>
          <cell r="B30" t="str">
            <v>E2</v>
          </cell>
          <cell r="C30" t="str">
            <v>1</v>
          </cell>
          <cell r="D30" t="str">
            <v>B</v>
          </cell>
          <cell r="E30">
            <v>1</v>
          </cell>
          <cell r="F30">
            <v>3</v>
          </cell>
          <cell r="G30" t="str">
            <v>Dologi és egyéb folyó kiadások                   80/07+08+28</v>
          </cell>
        </row>
        <row r="31">
          <cell r="A31" t="str">
            <v>4</v>
          </cell>
          <cell r="B31" t="str">
            <v>E2</v>
          </cell>
          <cell r="C31" t="str">
            <v>1</v>
          </cell>
          <cell r="D31" t="str">
            <v>B</v>
          </cell>
          <cell r="E31">
            <v>1</v>
          </cell>
          <cell r="F31">
            <v>4</v>
          </cell>
          <cell r="G31" t="str">
            <v>Végleges pénzeszközátadás,egyéb támog.  80/27-26+47-29-30-46</v>
          </cell>
        </row>
        <row r="32">
          <cell r="A32" t="str">
            <v>5</v>
          </cell>
          <cell r="B32" t="str">
            <v>E2</v>
          </cell>
          <cell r="C32" t="str">
            <v>1</v>
          </cell>
          <cell r="D32" t="str">
            <v>B</v>
          </cell>
          <cell r="E32">
            <v>1</v>
          </cell>
          <cell r="F32">
            <v>5</v>
          </cell>
          <cell r="G32" t="str">
            <v>Ellátottak juttatásai                                  80/09</v>
          </cell>
        </row>
        <row r="33">
          <cell r="A33" t="str">
            <v>6</v>
          </cell>
          <cell r="B33" t="str">
            <v>E2</v>
          </cell>
          <cell r="C33" t="str">
            <v>1</v>
          </cell>
          <cell r="D33" t="str">
            <v>B</v>
          </cell>
          <cell r="E33">
            <v>1</v>
          </cell>
          <cell r="F33">
            <v>6</v>
          </cell>
          <cell r="G33" t="str">
            <v>Felújitás                                              80/29</v>
          </cell>
        </row>
        <row r="34">
          <cell r="A34" t="str">
            <v>7</v>
          </cell>
          <cell r="B34" t="str">
            <v>E2</v>
          </cell>
          <cell r="C34" t="str">
            <v>1</v>
          </cell>
          <cell r="D34" t="str">
            <v>B</v>
          </cell>
          <cell r="E34">
            <v>1</v>
          </cell>
          <cell r="F34">
            <v>7</v>
          </cell>
          <cell r="G34" t="str">
            <v>Felhalmozási kiadások                            80/30+51+46</v>
          </cell>
        </row>
        <row r="35">
          <cell r="A35" t="str">
            <v>8</v>
          </cell>
          <cell r="B35" t="str">
            <v>E2</v>
          </cell>
          <cell r="C35" t="str">
            <v>1</v>
          </cell>
          <cell r="D35" t="str">
            <v>B</v>
          </cell>
          <cell r="E35">
            <v>1</v>
          </cell>
          <cell r="F35">
            <v>8</v>
          </cell>
          <cell r="G35" t="str">
            <v>Költségvetési pénzforgalmi kiadások összesen (01+...+07)</v>
          </cell>
        </row>
        <row r="36">
          <cell r="A36" t="str">
            <v>9</v>
          </cell>
          <cell r="B36" t="str">
            <v>E2</v>
          </cell>
          <cell r="C36" t="str">
            <v>1</v>
          </cell>
          <cell r="D36" t="str">
            <v>B</v>
          </cell>
          <cell r="E36">
            <v>2</v>
          </cell>
          <cell r="F36">
            <v>9</v>
          </cell>
          <cell r="G36" t="str">
            <v>Hitelek és kölcsönök kiadásai        80/48+49+50+105+106+109</v>
          </cell>
        </row>
        <row r="37">
          <cell r="A37" t="str">
            <v>10</v>
          </cell>
          <cell r="B37" t="str">
            <v>E2</v>
          </cell>
          <cell r="C37" t="str">
            <v>1</v>
          </cell>
          <cell r="D37" t="str">
            <v>B</v>
          </cell>
          <cell r="E37">
            <v>1</v>
          </cell>
          <cell r="F37">
            <v>10</v>
          </cell>
          <cell r="G37" t="str">
            <v>Értékpapirok kiadásai                             80/107+108</v>
          </cell>
        </row>
        <row r="38">
          <cell r="A38" t="str">
            <v>11</v>
          </cell>
          <cell r="B38" t="str">
            <v>E2</v>
          </cell>
          <cell r="C38" t="str">
            <v>1</v>
          </cell>
          <cell r="D38" t="str">
            <v>B</v>
          </cell>
          <cell r="E38">
            <v>1</v>
          </cell>
          <cell r="F38">
            <v>11</v>
          </cell>
          <cell r="G38" t="str">
            <v>Finanszirozási kiadások összesen (09+10)</v>
          </cell>
        </row>
        <row r="39">
          <cell r="A39" t="str">
            <v>12</v>
          </cell>
          <cell r="B39" t="str">
            <v>E2</v>
          </cell>
          <cell r="C39" t="str">
            <v>1</v>
          </cell>
          <cell r="D39" t="str">
            <v>B</v>
          </cell>
          <cell r="E39">
            <v>2</v>
          </cell>
          <cell r="F39">
            <v>12</v>
          </cell>
          <cell r="G39" t="str">
            <v>Pénzforgalmi kiadások  (08+11)</v>
          </cell>
        </row>
        <row r="40">
          <cell r="A40" t="str">
            <v>13</v>
          </cell>
          <cell r="B40" t="str">
            <v>E2</v>
          </cell>
          <cell r="C40" t="str">
            <v>1</v>
          </cell>
          <cell r="D40" t="str">
            <v>B</v>
          </cell>
          <cell r="E40">
            <v>2</v>
          </cell>
          <cell r="F40">
            <v>13</v>
          </cell>
          <cell r="G40" t="str">
            <v>Pénzforgalom nélküli kiadások                          80/26</v>
          </cell>
        </row>
        <row r="41">
          <cell r="A41" t="str">
            <v>14</v>
          </cell>
          <cell r="B41" t="str">
            <v>E2</v>
          </cell>
          <cell r="C41" t="str">
            <v>1</v>
          </cell>
          <cell r="D41" t="str">
            <v>B</v>
          </cell>
          <cell r="E41">
            <v>1</v>
          </cell>
          <cell r="F41">
            <v>14</v>
          </cell>
          <cell r="G41" t="str">
            <v>Kiegyenlitö, függö, átfutó kiadások összesen          80/110</v>
          </cell>
        </row>
        <row r="42">
          <cell r="A42" t="str">
            <v>15</v>
          </cell>
          <cell r="B42" t="str">
            <v>E2</v>
          </cell>
          <cell r="C42" t="str">
            <v>1</v>
          </cell>
          <cell r="D42" t="str">
            <v>B</v>
          </cell>
          <cell r="E42">
            <v>2</v>
          </cell>
          <cell r="F42">
            <v>15</v>
          </cell>
          <cell r="G42" t="str">
            <v>Kiadások összesen      (12+13+14)</v>
          </cell>
        </row>
        <row r="43">
          <cell r="A43" t="str">
            <v>16</v>
          </cell>
          <cell r="B43" t="str">
            <v>E2</v>
          </cell>
          <cell r="C43" t="str">
            <v>1</v>
          </cell>
          <cell r="D43" t="str">
            <v>B</v>
          </cell>
          <cell r="E43">
            <v>2</v>
          </cell>
          <cell r="F43">
            <v>16</v>
          </cell>
          <cell r="G43" t="str">
            <v>Intézményi müködési bevételek                       80/54+55</v>
          </cell>
        </row>
        <row r="44">
          <cell r="A44" t="str">
            <v>17</v>
          </cell>
          <cell r="B44" t="str">
            <v>E2</v>
          </cell>
          <cell r="C44" t="str">
            <v>1</v>
          </cell>
          <cell r="D44" t="str">
            <v>B</v>
          </cell>
          <cell r="E44">
            <v>1</v>
          </cell>
          <cell r="F44">
            <v>17</v>
          </cell>
          <cell r="G44" t="str">
            <v>Önkormányzatok sajátos müködési bevételei       80/56+...+61</v>
          </cell>
        </row>
        <row r="45">
          <cell r="A45" t="str">
            <v>18</v>
          </cell>
          <cell r="B45" t="str">
            <v>E2</v>
          </cell>
          <cell r="C45" t="str">
            <v>1</v>
          </cell>
          <cell r="D45" t="str">
            <v>B</v>
          </cell>
          <cell r="E45">
            <v>1</v>
          </cell>
          <cell r="F45">
            <v>18</v>
          </cell>
          <cell r="G45" t="str">
            <v>Felhalmozási és töke jellegü bevételek  80/77+90+..+93+98+99</v>
          </cell>
        </row>
        <row r="46">
          <cell r="A46" t="str">
            <v>19</v>
          </cell>
          <cell r="B46" t="str">
            <v>E2</v>
          </cell>
          <cell r="C46" t="str">
            <v>1</v>
          </cell>
          <cell r="D46" t="str">
            <v>B</v>
          </cell>
          <cell r="E46">
            <v>1</v>
          </cell>
          <cell r="F46">
            <v>19</v>
          </cell>
          <cell r="G46" t="str">
            <v>18-ból Önkorm. sajátos felhalm-i és tökebev-ei   80/90+..+93</v>
          </cell>
        </row>
        <row r="47">
          <cell r="A47" t="str">
            <v>0</v>
          </cell>
          <cell r="B47" t="str">
            <v>E2</v>
          </cell>
          <cell r="C47" t="str">
            <v>0</v>
          </cell>
          <cell r="D47" t="str">
            <v>B</v>
          </cell>
          <cell r="E47">
            <v>1</v>
          </cell>
          <cell r="F47">
            <v>0</v>
          </cell>
          <cell r="G47" t="str">
            <v>Támogatás, kiegészítő és/vagy átvett pénzeszközök</v>
          </cell>
        </row>
        <row r="48">
          <cell r="A48" t="str">
            <v>20</v>
          </cell>
          <cell r="B48" t="str">
            <v>E2</v>
          </cell>
          <cell r="C48" t="str">
            <v>1</v>
          </cell>
          <cell r="D48" t="str">
            <v>B</v>
          </cell>
          <cell r="E48">
            <v>1</v>
          </cell>
          <cell r="F48">
            <v>20</v>
          </cell>
          <cell r="G48" t="str">
            <v>80/62+63+74+75+76+94-77-90-..-93+101</v>
          </cell>
        </row>
        <row r="49">
          <cell r="A49" t="str">
            <v>21</v>
          </cell>
          <cell r="B49" t="str">
            <v>E2</v>
          </cell>
          <cell r="C49" t="str">
            <v>1</v>
          </cell>
          <cell r="D49" t="str">
            <v>B</v>
          </cell>
          <cell r="E49">
            <v>1</v>
          </cell>
          <cell r="F49">
            <v>21</v>
          </cell>
          <cell r="G49" t="str">
            <v>20-ból Önkormányzatok költségvetési támogatása        80/101</v>
          </cell>
        </row>
        <row r="50">
          <cell r="A50" t="str">
            <v>22</v>
          </cell>
          <cell r="B50" t="str">
            <v>E2</v>
          </cell>
          <cell r="C50" t="str">
            <v>1</v>
          </cell>
          <cell r="D50" t="str">
            <v>B</v>
          </cell>
          <cell r="E50">
            <v>1</v>
          </cell>
          <cell r="F50">
            <v>22</v>
          </cell>
          <cell r="G50" t="str">
            <v>Költségvetési pénzforgalmi bevételek összesen (16+17+18+20)</v>
          </cell>
        </row>
        <row r="51">
          <cell r="A51" t="str">
            <v>23</v>
          </cell>
          <cell r="B51" t="str">
            <v>E2</v>
          </cell>
          <cell r="C51" t="str">
            <v>1</v>
          </cell>
          <cell r="D51" t="str">
            <v>B</v>
          </cell>
          <cell r="E51">
            <v>2</v>
          </cell>
          <cell r="F51">
            <v>23</v>
          </cell>
          <cell r="G51" t="str">
            <v>Hitelek, kölcsönök bevételei  80/95+96+97+112+113+116 +08/12</v>
          </cell>
        </row>
        <row r="52">
          <cell r="A52" t="str">
            <v>24</v>
          </cell>
          <cell r="B52" t="str">
            <v>E2</v>
          </cell>
          <cell r="C52" t="str">
            <v>1</v>
          </cell>
          <cell r="D52" t="str">
            <v>B</v>
          </cell>
          <cell r="E52">
            <v>1</v>
          </cell>
          <cell r="F52">
            <v>24</v>
          </cell>
          <cell r="G52" t="str">
            <v>Értékpapirok bevételei                            80/114+115</v>
          </cell>
        </row>
        <row r="53">
          <cell r="A53" t="str">
            <v>25</v>
          </cell>
          <cell r="B53" t="str">
            <v>E2</v>
          </cell>
          <cell r="C53" t="str">
            <v>1</v>
          </cell>
          <cell r="D53" t="str">
            <v>B</v>
          </cell>
          <cell r="E53">
            <v>1</v>
          </cell>
          <cell r="F53">
            <v>25</v>
          </cell>
          <cell r="G53" t="str">
            <v>Finanszirozási bevételek összesen (23+24)</v>
          </cell>
        </row>
        <row r="54">
          <cell r="A54" t="str">
            <v>26</v>
          </cell>
          <cell r="B54" t="str">
            <v>E2</v>
          </cell>
          <cell r="C54" t="str">
            <v>1</v>
          </cell>
          <cell r="D54" t="str">
            <v>B</v>
          </cell>
          <cell r="E54">
            <v>2</v>
          </cell>
          <cell r="F54">
            <v>26</v>
          </cell>
          <cell r="G54" t="str">
            <v>Pénzforgalmi bevételek (22+25)</v>
          </cell>
        </row>
        <row r="55">
          <cell r="A55" t="str">
            <v>27</v>
          </cell>
          <cell r="B55" t="str">
            <v>E2</v>
          </cell>
          <cell r="C55" t="str">
            <v>1</v>
          </cell>
          <cell r="D55" t="str">
            <v>B</v>
          </cell>
          <cell r="E55">
            <v>2</v>
          </cell>
          <cell r="F55">
            <v>27</v>
          </cell>
          <cell r="G55" t="str">
            <v>Pénzforgalom nélküli bevételek                        80/104</v>
          </cell>
        </row>
        <row r="56">
          <cell r="A56" t="str">
            <v>28</v>
          </cell>
          <cell r="B56" t="str">
            <v>E2</v>
          </cell>
          <cell r="C56" t="str">
            <v>1</v>
          </cell>
          <cell r="D56" t="str">
            <v>B</v>
          </cell>
          <cell r="E56">
            <v>1</v>
          </cell>
          <cell r="F56">
            <v>28</v>
          </cell>
          <cell r="G56" t="str">
            <v>Kiegyenlitö, átfutó, függö bevételek összesen          10/77</v>
          </cell>
        </row>
        <row r="57">
          <cell r="A57" t="str">
            <v>29</v>
          </cell>
          <cell r="B57" t="str">
            <v>E2</v>
          </cell>
          <cell r="C57" t="str">
            <v>1</v>
          </cell>
          <cell r="D57" t="str">
            <v>B</v>
          </cell>
          <cell r="E57">
            <v>2</v>
          </cell>
          <cell r="F57">
            <v>29</v>
          </cell>
          <cell r="G57" t="str">
            <v>Bevételek összesen (26+27+28)</v>
          </cell>
        </row>
        <row r="58">
          <cell r="A58" t="str">
            <v>30</v>
          </cell>
          <cell r="B58" t="str">
            <v>E2</v>
          </cell>
          <cell r="C58" t="str">
            <v>1</v>
          </cell>
          <cell r="D58" t="str">
            <v>B</v>
          </cell>
          <cell r="E58">
            <v>2</v>
          </cell>
          <cell r="F58">
            <v>30</v>
          </cell>
          <cell r="G58" t="str">
            <v>Költségvetési bevételek és Kiadások különbsége (22+27-8-13)</v>
          </cell>
        </row>
        <row r="59">
          <cell r="A59" t="str">
            <v>31</v>
          </cell>
          <cell r="B59" t="str">
            <v>E2</v>
          </cell>
          <cell r="C59" t="str">
            <v>1</v>
          </cell>
          <cell r="D59" t="str">
            <v>B</v>
          </cell>
          <cell r="E59">
            <v>1</v>
          </cell>
          <cell r="F59">
            <v>31</v>
          </cell>
          <cell r="G59" t="str">
            <v>Finanszirozási műveletek eredménye (25-11)</v>
          </cell>
        </row>
        <row r="60">
          <cell r="A60" t="str">
            <v>32</v>
          </cell>
          <cell r="B60" t="str">
            <v>E2</v>
          </cell>
          <cell r="C60" t="str">
            <v>1</v>
          </cell>
          <cell r="D60" t="str">
            <v>B</v>
          </cell>
          <cell r="E60">
            <v>1</v>
          </cell>
          <cell r="F60">
            <v>32</v>
          </cell>
          <cell r="G60" t="str">
            <v>Aktiv és pasziv pénzügyi műveletek eredménye (28-14)</v>
          </cell>
        </row>
        <row r="61">
          <cell r="A61" t="str">
            <v>1</v>
          </cell>
          <cell r="B61" t="str">
            <v>E3</v>
          </cell>
          <cell r="C61" t="str">
            <v>1</v>
          </cell>
          <cell r="D61" t="str">
            <v>B</v>
          </cell>
          <cell r="E61">
            <v>1</v>
          </cell>
          <cell r="F61">
            <v>1</v>
          </cell>
          <cell r="G61" t="str">
            <v>Záró pénzkészlet                                             29/03</v>
          </cell>
        </row>
        <row r="62">
          <cell r="A62" t="str">
            <v>2</v>
          </cell>
          <cell r="B62" t="str">
            <v>E3</v>
          </cell>
          <cell r="C62" t="str">
            <v>1</v>
          </cell>
          <cell r="D62" t="str">
            <v>B</v>
          </cell>
          <cell r="E62">
            <v>2</v>
          </cell>
          <cell r="F62">
            <v>2</v>
          </cell>
          <cell r="G62" t="str">
            <v>Egyéb aktiv és passziv pü-i elszám. összev.záróegyenl (+,-)  29/10</v>
          </cell>
        </row>
        <row r="63">
          <cell r="A63" t="str">
            <v>3</v>
          </cell>
          <cell r="B63" t="str">
            <v>E3</v>
          </cell>
          <cell r="C63" t="str">
            <v>1</v>
          </cell>
          <cell r="D63" t="str">
            <v>B</v>
          </cell>
          <cell r="E63">
            <v>2</v>
          </cell>
          <cell r="F63">
            <v>3</v>
          </cell>
          <cell r="G63" t="str">
            <v>Elözö év(ek)ben képzett tartalékok maradványa (-)            29/11</v>
          </cell>
        </row>
        <row r="64">
          <cell r="A64" t="str">
            <v>4</v>
          </cell>
          <cell r="B64" t="str">
            <v>E3</v>
          </cell>
          <cell r="C64" t="str">
            <v>1</v>
          </cell>
          <cell r="D64" t="str">
            <v>B</v>
          </cell>
          <cell r="E64">
            <v>2</v>
          </cell>
          <cell r="F64">
            <v>4</v>
          </cell>
          <cell r="G64" t="str">
            <v>Vállalkozási tevékenység pénzforgalmi eredménye (-)          29/12</v>
          </cell>
        </row>
        <row r="65">
          <cell r="A65" t="str">
            <v>5</v>
          </cell>
          <cell r="B65" t="str">
            <v>E3</v>
          </cell>
          <cell r="C65" t="str">
            <v>1</v>
          </cell>
          <cell r="D65" t="str">
            <v>B</v>
          </cell>
          <cell r="E65">
            <v>2</v>
          </cell>
          <cell r="F65">
            <v>5</v>
          </cell>
          <cell r="G65" t="str">
            <v>Tárgyévi helyesbitett pénzmaradvány (1+-2-3-4)               29/13</v>
          </cell>
        </row>
        <row r="66">
          <cell r="A66" t="str">
            <v>6</v>
          </cell>
          <cell r="B66" t="str">
            <v>E3</v>
          </cell>
          <cell r="C66" t="str">
            <v>1</v>
          </cell>
          <cell r="D66" t="str">
            <v>B</v>
          </cell>
          <cell r="E66">
            <v>2</v>
          </cell>
          <cell r="F66">
            <v>6</v>
          </cell>
          <cell r="G66" t="str">
            <v>Finanszirozásból származó korrekciók (+,-)             29/14+..+17</v>
          </cell>
        </row>
        <row r="67">
          <cell r="A67" t="str">
            <v>7</v>
          </cell>
          <cell r="B67" t="str">
            <v>E3</v>
          </cell>
          <cell r="C67" t="str">
            <v>1</v>
          </cell>
          <cell r="D67" t="str">
            <v>B</v>
          </cell>
          <cell r="E67">
            <v>2</v>
          </cell>
          <cell r="F67">
            <v>7</v>
          </cell>
          <cell r="G67" t="str">
            <v>Pénzmaradványt terhelö elvonások (+,-)                       29/18</v>
          </cell>
        </row>
        <row r="68">
          <cell r="A68" t="str">
            <v>8</v>
          </cell>
          <cell r="B68" t="str">
            <v>E3</v>
          </cell>
          <cell r="C68" t="str">
            <v>1</v>
          </cell>
          <cell r="D68" t="str">
            <v>B</v>
          </cell>
          <cell r="E68">
            <v>2</v>
          </cell>
          <cell r="F68">
            <v>8</v>
          </cell>
          <cell r="G68" t="str">
            <v>Vállalk. tev. eredményéböl alaptev.ellát-ra felhaszn. összeg 29/20</v>
          </cell>
        </row>
        <row r="69">
          <cell r="A69" t="str">
            <v>9</v>
          </cell>
          <cell r="B69" t="str">
            <v>E3</v>
          </cell>
          <cell r="C69" t="str">
            <v>1</v>
          </cell>
          <cell r="D69" t="str">
            <v>B</v>
          </cell>
          <cell r="E69">
            <v>2</v>
          </cell>
          <cell r="F69">
            <v>9</v>
          </cell>
          <cell r="G69" t="str">
            <v>Ktsgv-i pénzmaradványt külön jogszab. alapján mód.tétel(+,-) 29/21</v>
          </cell>
        </row>
        <row r="70">
          <cell r="A70" t="str">
            <v>10</v>
          </cell>
          <cell r="B70" t="str">
            <v>E3</v>
          </cell>
          <cell r="C70" t="str">
            <v>1</v>
          </cell>
          <cell r="D70" t="str">
            <v>B</v>
          </cell>
          <cell r="E70">
            <v>2</v>
          </cell>
          <cell r="F70">
            <v>10</v>
          </cell>
          <cell r="G70" t="str">
            <v>Módositott pénzmaradvány (5+-6+-7+8+-9)                      29/22</v>
          </cell>
        </row>
        <row r="71">
          <cell r="A71" t="str">
            <v>11</v>
          </cell>
          <cell r="B71" t="str">
            <v>E3</v>
          </cell>
          <cell r="C71" t="str">
            <v>1</v>
          </cell>
          <cell r="D71" t="str">
            <v>B</v>
          </cell>
          <cell r="E71">
            <v>2</v>
          </cell>
          <cell r="F71">
            <v>11</v>
          </cell>
          <cell r="G71" t="str">
            <v>10-böl egészségbizt.alapból folyósitott pénzeszk.maradványa  29/23</v>
          </cell>
        </row>
        <row r="72">
          <cell r="A72" t="str">
            <v>1</v>
          </cell>
          <cell r="B72" t="str">
            <v>E4</v>
          </cell>
          <cell r="C72" t="str">
            <v>1</v>
          </cell>
          <cell r="D72" t="str">
            <v>B</v>
          </cell>
          <cell r="E72">
            <v>1</v>
          </cell>
          <cell r="F72">
            <v>1</v>
          </cell>
          <cell r="G72" t="str">
            <v>Vállalkozási tevékenység szakfeladaton elszámolt bevételei   30/09</v>
          </cell>
        </row>
        <row r="73">
          <cell r="A73" t="str">
            <v>2</v>
          </cell>
          <cell r="B73" t="str">
            <v>E4</v>
          </cell>
          <cell r="C73" t="str">
            <v>1</v>
          </cell>
          <cell r="D73" t="str">
            <v>B</v>
          </cell>
          <cell r="E73">
            <v>2</v>
          </cell>
          <cell r="F73">
            <v>2</v>
          </cell>
          <cell r="G73" t="str">
            <v>Vállalkozási tevékenység szakfeladaton elszámolt kiadásai(-) 30/15</v>
          </cell>
        </row>
        <row r="74">
          <cell r="A74" t="str">
            <v>3</v>
          </cell>
          <cell r="B74" t="str">
            <v>E4</v>
          </cell>
          <cell r="C74" t="str">
            <v>1</v>
          </cell>
          <cell r="D74" t="str">
            <v>B</v>
          </cell>
          <cell r="E74">
            <v>2</v>
          </cell>
          <cell r="F74">
            <v>3</v>
          </cell>
          <cell r="G74" t="str">
            <v>Vállalkozási tevékenység pénzforgalmi eredménye (1-2)        30/16</v>
          </cell>
        </row>
        <row r="75">
          <cell r="A75" t="str">
            <v>4</v>
          </cell>
          <cell r="B75" t="str">
            <v>E4</v>
          </cell>
          <cell r="C75" t="str">
            <v>1</v>
          </cell>
          <cell r="D75" t="str">
            <v>B</v>
          </cell>
          <cell r="E75">
            <v>2</v>
          </cell>
          <cell r="F75">
            <v>4</v>
          </cell>
          <cell r="G75" t="str">
            <v>Vállakozási tevékenységet terhelö értékcsökkenési leirás (-) 30/17</v>
          </cell>
        </row>
        <row r="76">
          <cell r="A76" t="str">
            <v>5</v>
          </cell>
          <cell r="B76" t="str">
            <v>E4</v>
          </cell>
          <cell r="C76" t="str">
            <v>1</v>
          </cell>
          <cell r="D76" t="str">
            <v>B</v>
          </cell>
          <cell r="E76">
            <v>2</v>
          </cell>
          <cell r="F76">
            <v>5</v>
          </cell>
          <cell r="G76" t="str">
            <v>Alaptev. ellát-ra felhasznált, felh.terv. eredmény (-) 30/18+19+20</v>
          </cell>
        </row>
        <row r="77">
          <cell r="A77" t="str">
            <v>6</v>
          </cell>
          <cell r="B77" t="str">
            <v>E4</v>
          </cell>
          <cell r="C77" t="str">
            <v>1</v>
          </cell>
          <cell r="D77" t="str">
            <v>0</v>
          </cell>
          <cell r="E77">
            <v>2</v>
          </cell>
          <cell r="F77">
            <v>6</v>
          </cell>
          <cell r="G77" t="str">
            <v>Pénzforg. eredményt külön jogszabály alapján módositó tétel  30/21</v>
          </cell>
        </row>
        <row r="78">
          <cell r="A78" t="str">
            <v>7</v>
          </cell>
          <cell r="B78" t="str">
            <v>E4</v>
          </cell>
          <cell r="C78" t="str">
            <v>1</v>
          </cell>
          <cell r="D78" t="str">
            <v>B</v>
          </cell>
          <cell r="E78">
            <v>2</v>
          </cell>
          <cell r="F78">
            <v>7</v>
          </cell>
          <cell r="G78" t="str">
            <v>Vállalkozási tev. módositott pénzforg-i eredménye (3-4-5+-6) 30/22</v>
          </cell>
        </row>
        <row r="79">
          <cell r="A79" t="str">
            <v>8</v>
          </cell>
          <cell r="B79" t="str">
            <v>E4</v>
          </cell>
          <cell r="C79" t="str">
            <v>1</v>
          </cell>
          <cell r="D79" t="str">
            <v>B</v>
          </cell>
          <cell r="E79">
            <v>2</v>
          </cell>
          <cell r="F79">
            <v>8</v>
          </cell>
          <cell r="G79" t="str">
            <v>Tárgyévröl átvitt veszteség                                  30/23</v>
          </cell>
        </row>
        <row r="80">
          <cell r="A80" t="str">
            <v>9</v>
          </cell>
          <cell r="B80" t="str">
            <v>E4</v>
          </cell>
          <cell r="C80" t="str">
            <v>1</v>
          </cell>
          <cell r="D80" t="str">
            <v>B</v>
          </cell>
          <cell r="E80">
            <v>2</v>
          </cell>
          <cell r="F80">
            <v>9</v>
          </cell>
          <cell r="G80" t="str">
            <v>Megelözö év(ek) el nem számolt vesztes.-nek t.évre esö r.(-) 30/24</v>
          </cell>
        </row>
        <row r="81">
          <cell r="A81" t="str">
            <v>10</v>
          </cell>
          <cell r="B81" t="str">
            <v>E4</v>
          </cell>
          <cell r="C81" t="str">
            <v>1</v>
          </cell>
          <cell r="D81" t="str">
            <v>B</v>
          </cell>
          <cell r="E81">
            <v>2</v>
          </cell>
          <cell r="F81">
            <v>10</v>
          </cell>
          <cell r="G81" t="str">
            <v>Vállalkozási tevékenység helyesbitett eredménye (7+8-9)      30/25</v>
          </cell>
        </row>
        <row r="82">
          <cell r="A82" t="str">
            <v>11</v>
          </cell>
          <cell r="B82" t="str">
            <v>E4</v>
          </cell>
          <cell r="C82" t="str">
            <v>1</v>
          </cell>
          <cell r="D82" t="str">
            <v>B</v>
          </cell>
          <cell r="E82">
            <v>2</v>
          </cell>
          <cell r="F82">
            <v>11</v>
          </cell>
          <cell r="G82" t="str">
            <v>Vállalkozási tevékenységet terhelö befizetés (-)             30/26</v>
          </cell>
        </row>
        <row r="83">
          <cell r="A83" t="str">
            <v>12</v>
          </cell>
          <cell r="B83" t="str">
            <v>E4</v>
          </cell>
          <cell r="C83" t="str">
            <v>1</v>
          </cell>
          <cell r="D83" t="str">
            <v>B</v>
          </cell>
          <cell r="E83">
            <v>2</v>
          </cell>
          <cell r="F83">
            <v>12</v>
          </cell>
          <cell r="G83" t="str">
            <v>T a r t a l é k b a    helyezhetö összeg                     30/27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P10"/>
      <sheetName val="JO"/>
      <sheetName val="PAR10"/>
      <sheetName val="PAR13"/>
      <sheetName val="Munka6"/>
      <sheetName val="MHIV"/>
      <sheetName val="MÖNK"/>
      <sheetName val="MINT"/>
      <sheetName val="EszkM"/>
      <sheetName val="ForrM"/>
      <sheetName val="38"/>
      <sheetName val="Munka2"/>
      <sheetName val="PMHIV"/>
      <sheetName val="PMINT"/>
      <sheetName val="pmelsz"/>
      <sheetName val="48"/>
      <sheetName val="48 (2)"/>
      <sheetName val="49"/>
      <sheetName val="49 (2)"/>
      <sheetName val="31"/>
      <sheetName val="31 (2)"/>
      <sheetName val="51"/>
      <sheetName val="51 (2)"/>
      <sheetName val="31+51"/>
      <sheetName val="33"/>
      <sheetName val="52"/>
      <sheetName val="55"/>
      <sheetName val="EGYM"/>
      <sheetName val="EGYPF"/>
      <sheetName val="EGYSZ032"/>
      <sheetName val="EGYPM"/>
      <sheetName val="51MUNK"/>
      <sheetName val="LAKAL"/>
      <sheetName val="PMrész"/>
      <sheetName val="Létszám2004"/>
      <sheetName val="HITEL2003"/>
      <sheetName val="Iszi"/>
      <sheetName val="Munka1"/>
    </sheetNames>
    <sheetDataSet>
      <sheetData sheetId="0" refreshError="1">
        <row r="1">
          <cell r="A1" t="str">
            <v>SORSZAM</v>
          </cell>
          <cell r="B1" t="str">
            <v>URSZ</v>
          </cell>
          <cell r="C1" t="str">
            <v>SORF</v>
          </cell>
          <cell r="D1" t="str">
            <v>BJ</v>
          </cell>
          <cell r="E1" t="str">
            <v>VJEL</v>
          </cell>
          <cell r="F1" t="str">
            <v>SOR</v>
          </cell>
          <cell r="G1" t="str">
            <v>SZOV</v>
          </cell>
        </row>
        <row r="2">
          <cell r="A2" t="str">
            <v>0</v>
          </cell>
          <cell r="B2" t="str">
            <v>E1</v>
          </cell>
          <cell r="C2" t="str">
            <v>0</v>
          </cell>
          <cell r="D2" t="str">
            <v>B</v>
          </cell>
          <cell r="E2">
            <v>0</v>
          </cell>
          <cell r="F2">
            <v>0</v>
          </cell>
          <cell r="G2" t="str">
            <v>E s z k ö z ö k</v>
          </cell>
        </row>
        <row r="3">
          <cell r="A3" t="str">
            <v>1</v>
          </cell>
          <cell r="B3" t="str">
            <v>E1</v>
          </cell>
          <cell r="C3" t="str">
            <v>1</v>
          </cell>
          <cell r="D3" t="str">
            <v>B</v>
          </cell>
          <cell r="E3">
            <v>2</v>
          </cell>
          <cell r="F3">
            <v>1</v>
          </cell>
          <cell r="G3" t="str">
            <v>A.) Befektetett eszközök összesen                      01/25</v>
          </cell>
        </row>
        <row r="4">
          <cell r="A4" t="str">
            <v>2</v>
          </cell>
          <cell r="B4" t="str">
            <v>E1</v>
          </cell>
          <cell r="C4" t="str">
            <v>1</v>
          </cell>
          <cell r="D4" t="str">
            <v>B</v>
          </cell>
          <cell r="E4">
            <v>1</v>
          </cell>
          <cell r="F4">
            <v>2</v>
          </cell>
          <cell r="G4" t="str">
            <v>I.   Immateriális javak                                01/07</v>
          </cell>
        </row>
        <row r="5">
          <cell r="A5" t="str">
            <v>3</v>
          </cell>
          <cell r="B5" t="str">
            <v>E1</v>
          </cell>
          <cell r="C5" t="str">
            <v>1</v>
          </cell>
          <cell r="D5" t="str">
            <v>B</v>
          </cell>
          <cell r="E5">
            <v>1</v>
          </cell>
          <cell r="F5">
            <v>3</v>
          </cell>
          <cell r="G5" t="str">
            <v>II.  Tárgyi eszközök                                   01/15</v>
          </cell>
        </row>
        <row r="6">
          <cell r="A6" t="str">
            <v>4</v>
          </cell>
          <cell r="B6" t="str">
            <v>E1</v>
          </cell>
          <cell r="C6" t="str">
            <v>1</v>
          </cell>
          <cell r="D6" t="str">
            <v>B</v>
          </cell>
          <cell r="E6">
            <v>1</v>
          </cell>
          <cell r="F6">
            <v>4</v>
          </cell>
          <cell r="G6" t="str">
            <v>III. Befektetett pénzügyi eszközök                     01/22</v>
          </cell>
        </row>
        <row r="7">
          <cell r="A7" t="str">
            <v>5</v>
          </cell>
          <cell r="B7" t="str">
            <v>E1</v>
          </cell>
          <cell r="C7" t="str">
            <v>1</v>
          </cell>
          <cell r="D7" t="str">
            <v>B</v>
          </cell>
          <cell r="E7">
            <v>1</v>
          </cell>
          <cell r="F7">
            <v>5</v>
          </cell>
          <cell r="G7" t="str">
            <v>IV.  Üzemeltetésre, kezelésre átadott eszközök      01/23+24</v>
          </cell>
        </row>
        <row r="8">
          <cell r="A8" t="str">
            <v>6</v>
          </cell>
          <cell r="B8" t="str">
            <v>E1</v>
          </cell>
          <cell r="C8" t="str">
            <v>1</v>
          </cell>
          <cell r="D8" t="str">
            <v>B</v>
          </cell>
          <cell r="E8">
            <v>2</v>
          </cell>
          <cell r="F8">
            <v>6</v>
          </cell>
          <cell r="G8" t="str">
            <v>B.) Forgóeszközök összesen                             01/52</v>
          </cell>
        </row>
        <row r="9">
          <cell r="A9" t="str">
            <v>7</v>
          </cell>
          <cell r="B9" t="str">
            <v>E1</v>
          </cell>
          <cell r="C9" t="str">
            <v>1</v>
          </cell>
          <cell r="D9" t="str">
            <v>B</v>
          </cell>
          <cell r="E9">
            <v>1</v>
          </cell>
          <cell r="F9">
            <v>7</v>
          </cell>
          <cell r="G9" t="str">
            <v>I.   Készletek                                         01/32</v>
          </cell>
        </row>
        <row r="10">
          <cell r="A10" t="str">
            <v>8</v>
          </cell>
          <cell r="B10" t="str">
            <v>E1</v>
          </cell>
          <cell r="C10" t="str">
            <v>1</v>
          </cell>
          <cell r="D10" t="str">
            <v>B</v>
          </cell>
          <cell r="E10">
            <v>1</v>
          </cell>
          <cell r="F10">
            <v>8</v>
          </cell>
          <cell r="G10" t="str">
            <v>II.  Követelések                                       01/38</v>
          </cell>
        </row>
        <row r="11">
          <cell r="A11" t="str">
            <v>9</v>
          </cell>
          <cell r="B11" t="str">
            <v>E1</v>
          </cell>
          <cell r="C11" t="str">
            <v>1</v>
          </cell>
          <cell r="D11" t="str">
            <v>B</v>
          </cell>
          <cell r="E11">
            <v>1</v>
          </cell>
          <cell r="F11">
            <v>9</v>
          </cell>
          <cell r="G11" t="str">
            <v>III. Értékpapirok                                      01/41</v>
          </cell>
        </row>
        <row r="12">
          <cell r="A12" t="str">
            <v>10</v>
          </cell>
          <cell r="B12" t="str">
            <v>E1</v>
          </cell>
          <cell r="C12" t="str">
            <v>1</v>
          </cell>
          <cell r="D12" t="str">
            <v>B</v>
          </cell>
          <cell r="E12">
            <v>1</v>
          </cell>
          <cell r="F12">
            <v>10</v>
          </cell>
          <cell r="G12" t="str">
            <v>IV.  Pénzeszközök                                      01/46</v>
          </cell>
        </row>
        <row r="13">
          <cell r="A13" t="str">
            <v>11</v>
          </cell>
          <cell r="B13" t="str">
            <v>E1</v>
          </cell>
          <cell r="C13" t="str">
            <v>1</v>
          </cell>
          <cell r="D13" t="str">
            <v>B</v>
          </cell>
          <cell r="E13">
            <v>1</v>
          </cell>
          <cell r="F13">
            <v>11</v>
          </cell>
          <cell r="G13" t="str">
            <v>V.   Egyéb aktiv pénzügyi elszámolások                 01/51</v>
          </cell>
        </row>
        <row r="14">
          <cell r="A14" t="str">
            <v>12</v>
          </cell>
          <cell r="B14" t="str">
            <v>E1</v>
          </cell>
          <cell r="C14" t="str">
            <v>1</v>
          </cell>
          <cell r="D14" t="str">
            <v>B</v>
          </cell>
          <cell r="E14">
            <v>2</v>
          </cell>
          <cell r="F14">
            <v>12</v>
          </cell>
          <cell r="G14" t="str">
            <v>E s z k ö z ö k    ö s s z e s e n                     01/53</v>
          </cell>
        </row>
        <row r="15">
          <cell r="A15" t="str">
            <v>0</v>
          </cell>
          <cell r="B15" t="str">
            <v>E1</v>
          </cell>
          <cell r="C15" t="str">
            <v>0</v>
          </cell>
          <cell r="D15" t="str">
            <v>J</v>
          </cell>
          <cell r="E15">
            <v>2</v>
          </cell>
          <cell r="F15">
            <v>0</v>
          </cell>
          <cell r="G15" t="str">
            <v>F o r r á s o k</v>
          </cell>
        </row>
        <row r="16">
          <cell r="A16" t="str">
            <v>13</v>
          </cell>
          <cell r="B16" t="str">
            <v>E1</v>
          </cell>
          <cell r="C16" t="str">
            <v>1</v>
          </cell>
          <cell r="D16" t="str">
            <v>J</v>
          </cell>
          <cell r="E16">
            <v>2</v>
          </cell>
          <cell r="F16">
            <v>13</v>
          </cell>
          <cell r="G16" t="str">
            <v>D.) Saját töke összesen                                01/57</v>
          </cell>
        </row>
        <row r="17">
          <cell r="A17" t="str">
            <v>14</v>
          </cell>
          <cell r="B17" t="str">
            <v>E1</v>
          </cell>
          <cell r="C17" t="str">
            <v>1</v>
          </cell>
          <cell r="D17" t="str">
            <v>J</v>
          </cell>
          <cell r="E17">
            <v>1</v>
          </cell>
          <cell r="F17">
            <v>14</v>
          </cell>
          <cell r="G17" t="str">
            <v>1.   Induló töke                                       01/54</v>
          </cell>
        </row>
        <row r="18">
          <cell r="A18" t="str">
            <v>15</v>
          </cell>
          <cell r="B18" t="str">
            <v>E1</v>
          </cell>
          <cell r="C18" t="str">
            <v>1</v>
          </cell>
          <cell r="D18" t="str">
            <v>J</v>
          </cell>
          <cell r="E18">
            <v>1</v>
          </cell>
          <cell r="F18">
            <v>15</v>
          </cell>
          <cell r="G18" t="str">
            <v>2.   Tökeváltozások                                    01/55</v>
          </cell>
        </row>
        <row r="19">
          <cell r="A19" t="str">
            <v>16</v>
          </cell>
          <cell r="B19" t="str">
            <v>E1</v>
          </cell>
          <cell r="C19" t="str">
            <v>1</v>
          </cell>
          <cell r="D19" t="str">
            <v>J</v>
          </cell>
          <cell r="E19">
            <v>1</v>
          </cell>
          <cell r="F19">
            <v>16</v>
          </cell>
          <cell r="G19" t="str">
            <v>3.   Értékelési tartalék                               01/56</v>
          </cell>
        </row>
        <row r="20">
          <cell r="A20" t="str">
            <v>17</v>
          </cell>
          <cell r="B20" t="str">
            <v>E1</v>
          </cell>
          <cell r="C20" t="str">
            <v>1</v>
          </cell>
          <cell r="D20" t="str">
            <v>J</v>
          </cell>
          <cell r="E20">
            <v>2</v>
          </cell>
          <cell r="F20">
            <v>17</v>
          </cell>
          <cell r="G20" t="str">
            <v>E.) Tartalékok összesen                                01/73</v>
          </cell>
        </row>
        <row r="21">
          <cell r="A21" t="str">
            <v>18</v>
          </cell>
          <cell r="B21" t="str">
            <v>E1</v>
          </cell>
          <cell r="C21" t="str">
            <v>1</v>
          </cell>
          <cell r="D21" t="str">
            <v>J</v>
          </cell>
          <cell r="E21">
            <v>1</v>
          </cell>
          <cell r="F21">
            <v>18</v>
          </cell>
          <cell r="G21" t="str">
            <v>I.   Költségvetési tartalékok                          01/65</v>
          </cell>
        </row>
        <row r="22">
          <cell r="A22" t="str">
            <v>19</v>
          </cell>
          <cell r="B22" t="str">
            <v>E1</v>
          </cell>
          <cell r="C22" t="str">
            <v>1</v>
          </cell>
          <cell r="D22" t="str">
            <v>J</v>
          </cell>
          <cell r="E22">
            <v>1</v>
          </cell>
          <cell r="F22">
            <v>19</v>
          </cell>
          <cell r="G22" t="str">
            <v>II.  Vállalkozási tartalékok                           01/72</v>
          </cell>
        </row>
        <row r="23">
          <cell r="A23" t="str">
            <v>10</v>
          </cell>
          <cell r="B23" t="str">
            <v>E1</v>
          </cell>
          <cell r="C23" t="str">
            <v>1</v>
          </cell>
          <cell r="D23" t="str">
            <v>J</v>
          </cell>
          <cell r="E23">
            <v>2</v>
          </cell>
          <cell r="F23">
            <v>10</v>
          </cell>
          <cell r="G23" t="str">
            <v>F.) Kötelezettségek összesen                           01/97</v>
          </cell>
        </row>
        <row r="24">
          <cell r="A24" t="str">
            <v>21</v>
          </cell>
          <cell r="B24" t="str">
            <v>E1</v>
          </cell>
          <cell r="C24" t="str">
            <v>1</v>
          </cell>
          <cell r="D24" t="str">
            <v>J</v>
          </cell>
          <cell r="E24">
            <v>1</v>
          </cell>
          <cell r="F24">
            <v>21</v>
          </cell>
          <cell r="G24" t="str">
            <v>I.   Hosszúlejáratú kötelezettségek                    01/78</v>
          </cell>
        </row>
        <row r="25">
          <cell r="A25" t="str">
            <v>22</v>
          </cell>
          <cell r="B25" t="str">
            <v>E1</v>
          </cell>
          <cell r="C25" t="str">
            <v>1</v>
          </cell>
          <cell r="D25" t="str">
            <v>J</v>
          </cell>
          <cell r="E25">
            <v>1</v>
          </cell>
          <cell r="F25">
            <v>22</v>
          </cell>
          <cell r="G25" t="str">
            <v>II.  Rövidlejáratú kötelezettségek                     01/89</v>
          </cell>
        </row>
        <row r="26">
          <cell r="A26" t="str">
            <v>23</v>
          </cell>
          <cell r="B26" t="str">
            <v>E1</v>
          </cell>
          <cell r="C26" t="str">
            <v>1</v>
          </cell>
          <cell r="D26" t="str">
            <v>J</v>
          </cell>
          <cell r="E26">
            <v>1</v>
          </cell>
          <cell r="F26">
            <v>23</v>
          </cell>
          <cell r="G26" t="str">
            <v>III. Egyéb passziv pénzügyi elszámolások               01/96</v>
          </cell>
        </row>
        <row r="27">
          <cell r="A27" t="str">
            <v>24</v>
          </cell>
          <cell r="B27" t="str">
            <v>E1</v>
          </cell>
          <cell r="C27" t="str">
            <v>1</v>
          </cell>
          <cell r="D27" t="str">
            <v>J</v>
          </cell>
          <cell r="E27">
            <v>2</v>
          </cell>
          <cell r="F27">
            <v>24</v>
          </cell>
          <cell r="G27" t="str">
            <v>F o r r á s o k    ö s s z e s e n                    01/106</v>
          </cell>
        </row>
        <row r="28">
          <cell r="A28" t="str">
            <v>1</v>
          </cell>
          <cell r="B28" t="str">
            <v>E2</v>
          </cell>
          <cell r="C28" t="str">
            <v>1</v>
          </cell>
          <cell r="D28" t="str">
            <v>B</v>
          </cell>
          <cell r="E28">
            <v>1</v>
          </cell>
          <cell r="F28">
            <v>1</v>
          </cell>
          <cell r="G28" t="str">
            <v>Személyi juttatások                                    80/04</v>
          </cell>
        </row>
        <row r="29">
          <cell r="A29" t="str">
            <v>2</v>
          </cell>
          <cell r="B29" t="str">
            <v>E2</v>
          </cell>
          <cell r="C29" t="str">
            <v>1</v>
          </cell>
          <cell r="D29" t="str">
            <v>B</v>
          </cell>
          <cell r="E29">
            <v>1</v>
          </cell>
          <cell r="F29">
            <v>2</v>
          </cell>
          <cell r="G29" t="str">
            <v>Munkaadót terhelő járulékok                         80/05+06</v>
          </cell>
        </row>
        <row r="30">
          <cell r="A30" t="str">
            <v>3</v>
          </cell>
          <cell r="B30" t="str">
            <v>E2</v>
          </cell>
          <cell r="C30" t="str">
            <v>1</v>
          </cell>
          <cell r="D30" t="str">
            <v>B</v>
          </cell>
          <cell r="E30">
            <v>1</v>
          </cell>
          <cell r="F30">
            <v>3</v>
          </cell>
          <cell r="G30" t="str">
            <v>Dologi és egyéb folyó kiadások                   80/07+08+28</v>
          </cell>
        </row>
        <row r="31">
          <cell r="A31" t="str">
            <v>4</v>
          </cell>
          <cell r="B31" t="str">
            <v>E2</v>
          </cell>
          <cell r="C31" t="str">
            <v>1</v>
          </cell>
          <cell r="D31" t="str">
            <v>B</v>
          </cell>
          <cell r="E31">
            <v>1</v>
          </cell>
          <cell r="F31">
            <v>4</v>
          </cell>
          <cell r="G31" t="str">
            <v>Végleges pénzeszközátadás,egyéb támog.  80/27-26+47-29-30-46</v>
          </cell>
        </row>
        <row r="32">
          <cell r="A32" t="str">
            <v>5</v>
          </cell>
          <cell r="B32" t="str">
            <v>E2</v>
          </cell>
          <cell r="C32" t="str">
            <v>1</v>
          </cell>
          <cell r="D32" t="str">
            <v>B</v>
          </cell>
          <cell r="E32">
            <v>1</v>
          </cell>
          <cell r="F32">
            <v>5</v>
          </cell>
          <cell r="G32" t="str">
            <v>Ellátottak juttatásai                                  80/09</v>
          </cell>
        </row>
        <row r="33">
          <cell r="A33" t="str">
            <v>6</v>
          </cell>
          <cell r="B33" t="str">
            <v>E2</v>
          </cell>
          <cell r="C33" t="str">
            <v>1</v>
          </cell>
          <cell r="D33" t="str">
            <v>B</v>
          </cell>
          <cell r="E33">
            <v>1</v>
          </cell>
          <cell r="F33">
            <v>6</v>
          </cell>
          <cell r="G33" t="str">
            <v>Felújitás                                              80/29</v>
          </cell>
        </row>
        <row r="34">
          <cell r="A34" t="str">
            <v>7</v>
          </cell>
          <cell r="B34" t="str">
            <v>E2</v>
          </cell>
          <cell r="C34" t="str">
            <v>1</v>
          </cell>
          <cell r="D34" t="str">
            <v>B</v>
          </cell>
          <cell r="E34">
            <v>1</v>
          </cell>
          <cell r="F34">
            <v>7</v>
          </cell>
          <cell r="G34" t="str">
            <v>Felhalmozási kiadások                            80/30+51+46</v>
          </cell>
        </row>
        <row r="35">
          <cell r="A35" t="str">
            <v>8</v>
          </cell>
          <cell r="B35" t="str">
            <v>E2</v>
          </cell>
          <cell r="C35" t="str">
            <v>1</v>
          </cell>
          <cell r="D35" t="str">
            <v>B</v>
          </cell>
          <cell r="E35">
            <v>1</v>
          </cell>
          <cell r="F35">
            <v>8</v>
          </cell>
          <cell r="G35" t="str">
            <v>Költségvetési pénzforgalmi kiadások összesen (01+...+07)</v>
          </cell>
        </row>
        <row r="36">
          <cell r="A36" t="str">
            <v>9</v>
          </cell>
          <cell r="B36" t="str">
            <v>E2</v>
          </cell>
          <cell r="C36" t="str">
            <v>1</v>
          </cell>
          <cell r="D36" t="str">
            <v>B</v>
          </cell>
          <cell r="E36">
            <v>2</v>
          </cell>
          <cell r="F36">
            <v>9</v>
          </cell>
          <cell r="G36" t="str">
            <v>Hitelek és kölcsönök kiadásai        80/48+49+50+105+106+109</v>
          </cell>
        </row>
        <row r="37">
          <cell r="A37" t="str">
            <v>10</v>
          </cell>
          <cell r="B37" t="str">
            <v>E2</v>
          </cell>
          <cell r="C37" t="str">
            <v>1</v>
          </cell>
          <cell r="D37" t="str">
            <v>B</v>
          </cell>
          <cell r="E37">
            <v>1</v>
          </cell>
          <cell r="F37">
            <v>10</v>
          </cell>
          <cell r="G37" t="str">
            <v>Értékpapirok kiadásai                             80/107+108</v>
          </cell>
        </row>
        <row r="38">
          <cell r="A38" t="str">
            <v>11</v>
          </cell>
          <cell r="B38" t="str">
            <v>E2</v>
          </cell>
          <cell r="C38" t="str">
            <v>1</v>
          </cell>
          <cell r="D38" t="str">
            <v>B</v>
          </cell>
          <cell r="E38">
            <v>1</v>
          </cell>
          <cell r="F38">
            <v>11</v>
          </cell>
          <cell r="G38" t="str">
            <v>Finanszirozási kiadások összesen (09+10)</v>
          </cell>
        </row>
        <row r="39">
          <cell r="A39" t="str">
            <v>12</v>
          </cell>
          <cell r="B39" t="str">
            <v>E2</v>
          </cell>
          <cell r="C39" t="str">
            <v>1</v>
          </cell>
          <cell r="D39" t="str">
            <v>B</v>
          </cell>
          <cell r="E39">
            <v>2</v>
          </cell>
          <cell r="F39">
            <v>12</v>
          </cell>
          <cell r="G39" t="str">
            <v>Pénzforgalmi kiadások  (08+11)</v>
          </cell>
        </row>
        <row r="40">
          <cell r="A40" t="str">
            <v>13</v>
          </cell>
          <cell r="B40" t="str">
            <v>E2</v>
          </cell>
          <cell r="C40" t="str">
            <v>1</v>
          </cell>
          <cell r="D40" t="str">
            <v>B</v>
          </cell>
          <cell r="E40">
            <v>2</v>
          </cell>
          <cell r="F40">
            <v>13</v>
          </cell>
          <cell r="G40" t="str">
            <v>Pénzforgalom nélküli kiadások                          80/26</v>
          </cell>
        </row>
        <row r="41">
          <cell r="A41" t="str">
            <v>14</v>
          </cell>
          <cell r="B41" t="str">
            <v>E2</v>
          </cell>
          <cell r="C41" t="str">
            <v>1</v>
          </cell>
          <cell r="D41" t="str">
            <v>B</v>
          </cell>
          <cell r="E41">
            <v>1</v>
          </cell>
          <cell r="F41">
            <v>14</v>
          </cell>
          <cell r="G41" t="str">
            <v>Kiegyenlitö, függö, átfutó kiadások összesen          80/110</v>
          </cell>
        </row>
        <row r="42">
          <cell r="A42" t="str">
            <v>15</v>
          </cell>
          <cell r="B42" t="str">
            <v>E2</v>
          </cell>
          <cell r="C42" t="str">
            <v>1</v>
          </cell>
          <cell r="D42" t="str">
            <v>B</v>
          </cell>
          <cell r="E42">
            <v>2</v>
          </cell>
          <cell r="F42">
            <v>15</v>
          </cell>
          <cell r="G42" t="str">
            <v>Kiadások összesen      (12+13+14)</v>
          </cell>
        </row>
        <row r="43">
          <cell r="A43" t="str">
            <v>16</v>
          </cell>
          <cell r="B43" t="str">
            <v>E2</v>
          </cell>
          <cell r="C43" t="str">
            <v>1</v>
          </cell>
          <cell r="D43" t="str">
            <v>B</v>
          </cell>
          <cell r="E43">
            <v>2</v>
          </cell>
          <cell r="F43">
            <v>16</v>
          </cell>
          <cell r="G43" t="str">
            <v>Intézményi müködési bevételek                       80/54+55</v>
          </cell>
        </row>
        <row r="44">
          <cell r="A44" t="str">
            <v>17</v>
          </cell>
          <cell r="B44" t="str">
            <v>E2</v>
          </cell>
          <cell r="C44" t="str">
            <v>1</v>
          </cell>
          <cell r="D44" t="str">
            <v>B</v>
          </cell>
          <cell r="E44">
            <v>1</v>
          </cell>
          <cell r="F44">
            <v>17</v>
          </cell>
          <cell r="G44" t="str">
            <v>Önkormányzatok sajátos müködési bevételei       80/56+...+61</v>
          </cell>
        </row>
        <row r="45">
          <cell r="A45" t="str">
            <v>18</v>
          </cell>
          <cell r="B45" t="str">
            <v>E2</v>
          </cell>
          <cell r="C45" t="str">
            <v>1</v>
          </cell>
          <cell r="D45" t="str">
            <v>B</v>
          </cell>
          <cell r="E45">
            <v>1</v>
          </cell>
          <cell r="F45">
            <v>18</v>
          </cell>
          <cell r="G45" t="str">
            <v>Felhalmozási és töke jellegü bevételek  80/77+90+..+93+98+99</v>
          </cell>
        </row>
        <row r="46">
          <cell r="A46" t="str">
            <v>19</v>
          </cell>
          <cell r="B46" t="str">
            <v>E2</v>
          </cell>
          <cell r="C46" t="str">
            <v>1</v>
          </cell>
          <cell r="D46" t="str">
            <v>B</v>
          </cell>
          <cell r="E46">
            <v>1</v>
          </cell>
          <cell r="F46">
            <v>19</v>
          </cell>
          <cell r="G46" t="str">
            <v>18-ból Önkorm. sajátos felhalm-i és tökebev-ei   80/90+..+93</v>
          </cell>
        </row>
        <row r="47">
          <cell r="A47" t="str">
            <v>0</v>
          </cell>
          <cell r="B47" t="str">
            <v>E2</v>
          </cell>
          <cell r="C47" t="str">
            <v>0</v>
          </cell>
          <cell r="D47" t="str">
            <v>B</v>
          </cell>
          <cell r="E47">
            <v>1</v>
          </cell>
          <cell r="F47">
            <v>0</v>
          </cell>
          <cell r="G47" t="str">
            <v>Támogatás, kiegészítő és/vagy átvett pénzeszközök</v>
          </cell>
        </row>
        <row r="48">
          <cell r="A48" t="str">
            <v>20</v>
          </cell>
          <cell r="B48" t="str">
            <v>E2</v>
          </cell>
          <cell r="C48" t="str">
            <v>1</v>
          </cell>
          <cell r="D48" t="str">
            <v>B</v>
          </cell>
          <cell r="E48">
            <v>1</v>
          </cell>
          <cell r="F48">
            <v>20</v>
          </cell>
          <cell r="G48" t="str">
            <v>80/62+63+74+75+76+94-77-90-..-93+101</v>
          </cell>
        </row>
        <row r="49">
          <cell r="A49" t="str">
            <v>21</v>
          </cell>
          <cell r="B49" t="str">
            <v>E2</v>
          </cell>
          <cell r="C49" t="str">
            <v>1</v>
          </cell>
          <cell r="D49" t="str">
            <v>B</v>
          </cell>
          <cell r="E49">
            <v>1</v>
          </cell>
          <cell r="F49">
            <v>21</v>
          </cell>
          <cell r="G49" t="str">
            <v>20-ból Önkormányzatok költségvetési támogatása        80/101</v>
          </cell>
        </row>
        <row r="50">
          <cell r="A50" t="str">
            <v>22</v>
          </cell>
          <cell r="B50" t="str">
            <v>E2</v>
          </cell>
          <cell r="C50" t="str">
            <v>1</v>
          </cell>
          <cell r="D50" t="str">
            <v>B</v>
          </cell>
          <cell r="E50">
            <v>1</v>
          </cell>
          <cell r="F50">
            <v>22</v>
          </cell>
          <cell r="G50" t="str">
            <v>Költségvetési pénzforgalmi bevételek összesen (16+17+18+20)</v>
          </cell>
        </row>
        <row r="51">
          <cell r="A51" t="str">
            <v>23</v>
          </cell>
          <cell r="B51" t="str">
            <v>E2</v>
          </cell>
          <cell r="C51" t="str">
            <v>1</v>
          </cell>
          <cell r="D51" t="str">
            <v>B</v>
          </cell>
          <cell r="E51">
            <v>2</v>
          </cell>
          <cell r="F51">
            <v>23</v>
          </cell>
          <cell r="G51" t="str">
            <v>Hitelek, kölcsönök bevételei  80/95+96+97+112+113+116 +08/12</v>
          </cell>
        </row>
        <row r="52">
          <cell r="A52" t="str">
            <v>24</v>
          </cell>
          <cell r="B52" t="str">
            <v>E2</v>
          </cell>
          <cell r="C52" t="str">
            <v>1</v>
          </cell>
          <cell r="D52" t="str">
            <v>B</v>
          </cell>
          <cell r="E52">
            <v>1</v>
          </cell>
          <cell r="F52">
            <v>24</v>
          </cell>
          <cell r="G52" t="str">
            <v>Értékpapirok bevételei                            80/114+115</v>
          </cell>
        </row>
        <row r="53">
          <cell r="A53" t="str">
            <v>25</v>
          </cell>
          <cell r="B53" t="str">
            <v>E2</v>
          </cell>
          <cell r="C53" t="str">
            <v>1</v>
          </cell>
          <cell r="D53" t="str">
            <v>B</v>
          </cell>
          <cell r="E53">
            <v>1</v>
          </cell>
          <cell r="F53">
            <v>25</v>
          </cell>
          <cell r="G53" t="str">
            <v>Finanszirozási bevételek összesen (23+24)</v>
          </cell>
        </row>
        <row r="54">
          <cell r="A54" t="str">
            <v>26</v>
          </cell>
          <cell r="B54" t="str">
            <v>E2</v>
          </cell>
          <cell r="C54" t="str">
            <v>1</v>
          </cell>
          <cell r="D54" t="str">
            <v>B</v>
          </cell>
          <cell r="E54">
            <v>2</v>
          </cell>
          <cell r="F54">
            <v>26</v>
          </cell>
          <cell r="G54" t="str">
            <v>Pénzforgalmi bevételek (22+25)</v>
          </cell>
        </row>
        <row r="55">
          <cell r="A55" t="str">
            <v>27</v>
          </cell>
          <cell r="B55" t="str">
            <v>E2</v>
          </cell>
          <cell r="C55" t="str">
            <v>1</v>
          </cell>
          <cell r="D55" t="str">
            <v>B</v>
          </cell>
          <cell r="E55">
            <v>2</v>
          </cell>
          <cell r="F55">
            <v>27</v>
          </cell>
          <cell r="G55" t="str">
            <v>Pénzforgalom nélküli bevételek                        80/104</v>
          </cell>
        </row>
        <row r="56">
          <cell r="A56" t="str">
            <v>28</v>
          </cell>
          <cell r="B56" t="str">
            <v>E2</v>
          </cell>
          <cell r="C56" t="str">
            <v>1</v>
          </cell>
          <cell r="D56" t="str">
            <v>B</v>
          </cell>
          <cell r="E56">
            <v>1</v>
          </cell>
          <cell r="F56">
            <v>28</v>
          </cell>
          <cell r="G56" t="str">
            <v>Kiegyenlitö, átfutó, függö bevételek összesen          10/77</v>
          </cell>
        </row>
        <row r="57">
          <cell r="A57" t="str">
            <v>29</v>
          </cell>
          <cell r="B57" t="str">
            <v>E2</v>
          </cell>
          <cell r="C57" t="str">
            <v>1</v>
          </cell>
          <cell r="D57" t="str">
            <v>B</v>
          </cell>
          <cell r="E57">
            <v>2</v>
          </cell>
          <cell r="F57">
            <v>29</v>
          </cell>
          <cell r="G57" t="str">
            <v>Bevételek összesen (26+27+28)</v>
          </cell>
        </row>
        <row r="58">
          <cell r="A58" t="str">
            <v>30</v>
          </cell>
          <cell r="B58" t="str">
            <v>E2</v>
          </cell>
          <cell r="C58" t="str">
            <v>1</v>
          </cell>
          <cell r="D58" t="str">
            <v>B</v>
          </cell>
          <cell r="E58">
            <v>2</v>
          </cell>
          <cell r="F58">
            <v>30</v>
          </cell>
          <cell r="G58" t="str">
            <v>Költségvetési bevételek és Kiadások különbsége (22+27-8-13)</v>
          </cell>
        </row>
        <row r="59">
          <cell r="A59" t="str">
            <v>31</v>
          </cell>
          <cell r="B59" t="str">
            <v>E2</v>
          </cell>
          <cell r="C59" t="str">
            <v>1</v>
          </cell>
          <cell r="D59" t="str">
            <v>B</v>
          </cell>
          <cell r="E59">
            <v>1</v>
          </cell>
          <cell r="F59">
            <v>31</v>
          </cell>
          <cell r="G59" t="str">
            <v>Finanszirozási műveletek eredménye (25-11)</v>
          </cell>
        </row>
        <row r="60">
          <cell r="A60" t="str">
            <v>32</v>
          </cell>
          <cell r="B60" t="str">
            <v>E2</v>
          </cell>
          <cell r="C60" t="str">
            <v>1</v>
          </cell>
          <cell r="D60" t="str">
            <v>B</v>
          </cell>
          <cell r="E60">
            <v>1</v>
          </cell>
          <cell r="F60">
            <v>32</v>
          </cell>
          <cell r="G60" t="str">
            <v>Aktiv és pasziv pénzügyi műveletek eredménye (28-14)</v>
          </cell>
        </row>
        <row r="61">
          <cell r="A61" t="str">
            <v>1</v>
          </cell>
          <cell r="B61" t="str">
            <v>E3</v>
          </cell>
          <cell r="C61" t="str">
            <v>1</v>
          </cell>
          <cell r="D61" t="str">
            <v>B</v>
          </cell>
          <cell r="E61">
            <v>1</v>
          </cell>
          <cell r="F61">
            <v>1</v>
          </cell>
          <cell r="G61" t="str">
            <v>Záró pénzkészlet                                             29/03</v>
          </cell>
        </row>
        <row r="62">
          <cell r="A62" t="str">
            <v>2</v>
          </cell>
          <cell r="B62" t="str">
            <v>E3</v>
          </cell>
          <cell r="C62" t="str">
            <v>1</v>
          </cell>
          <cell r="D62" t="str">
            <v>B</v>
          </cell>
          <cell r="E62">
            <v>2</v>
          </cell>
          <cell r="F62">
            <v>2</v>
          </cell>
          <cell r="G62" t="str">
            <v>Egyéb aktiv és passziv pü-i elszám. összev.záróegyenl (+,-)  29/10</v>
          </cell>
        </row>
        <row r="63">
          <cell r="A63" t="str">
            <v>3</v>
          </cell>
          <cell r="B63" t="str">
            <v>E3</v>
          </cell>
          <cell r="C63" t="str">
            <v>1</v>
          </cell>
          <cell r="D63" t="str">
            <v>B</v>
          </cell>
          <cell r="E63">
            <v>2</v>
          </cell>
          <cell r="F63">
            <v>3</v>
          </cell>
          <cell r="G63" t="str">
            <v>Elözö év(ek)ben képzett tartalékok maradványa (-)            29/11</v>
          </cell>
        </row>
        <row r="64">
          <cell r="A64" t="str">
            <v>4</v>
          </cell>
          <cell r="B64" t="str">
            <v>E3</v>
          </cell>
          <cell r="C64" t="str">
            <v>1</v>
          </cell>
          <cell r="D64" t="str">
            <v>B</v>
          </cell>
          <cell r="E64">
            <v>2</v>
          </cell>
          <cell r="F64">
            <v>4</v>
          </cell>
          <cell r="G64" t="str">
            <v>Vállalkozási tevékenység pénzforgalmi eredménye (-)          29/12</v>
          </cell>
        </row>
        <row r="65">
          <cell r="A65" t="str">
            <v>5</v>
          </cell>
          <cell r="B65" t="str">
            <v>E3</v>
          </cell>
          <cell r="C65" t="str">
            <v>1</v>
          </cell>
          <cell r="D65" t="str">
            <v>B</v>
          </cell>
          <cell r="E65">
            <v>2</v>
          </cell>
          <cell r="F65">
            <v>5</v>
          </cell>
          <cell r="G65" t="str">
            <v>Tárgyévi helyesbitett pénzmaradvány (1+-2-3-4)               29/13</v>
          </cell>
        </row>
        <row r="66">
          <cell r="A66" t="str">
            <v>6</v>
          </cell>
          <cell r="B66" t="str">
            <v>E3</v>
          </cell>
          <cell r="C66" t="str">
            <v>1</v>
          </cell>
          <cell r="D66" t="str">
            <v>B</v>
          </cell>
          <cell r="E66">
            <v>2</v>
          </cell>
          <cell r="F66">
            <v>6</v>
          </cell>
          <cell r="G66" t="str">
            <v>Finanszirozásból származó korrekciók (+,-)             29/14+..+17</v>
          </cell>
        </row>
        <row r="67">
          <cell r="A67" t="str">
            <v>7</v>
          </cell>
          <cell r="B67" t="str">
            <v>E3</v>
          </cell>
          <cell r="C67" t="str">
            <v>1</v>
          </cell>
          <cell r="D67" t="str">
            <v>B</v>
          </cell>
          <cell r="E67">
            <v>2</v>
          </cell>
          <cell r="F67">
            <v>7</v>
          </cell>
          <cell r="G67" t="str">
            <v>Pénzmaradványt terhelö elvonások (+,-)                       29/18</v>
          </cell>
        </row>
        <row r="68">
          <cell r="A68" t="str">
            <v>8</v>
          </cell>
          <cell r="B68" t="str">
            <v>E3</v>
          </cell>
          <cell r="C68" t="str">
            <v>1</v>
          </cell>
          <cell r="D68" t="str">
            <v>B</v>
          </cell>
          <cell r="E68">
            <v>2</v>
          </cell>
          <cell r="F68">
            <v>8</v>
          </cell>
          <cell r="G68" t="str">
            <v>Vállalk. tev. eredményéböl alaptev.ellát-ra felhaszn. összeg 29/20</v>
          </cell>
        </row>
        <row r="69">
          <cell r="A69" t="str">
            <v>9</v>
          </cell>
          <cell r="B69" t="str">
            <v>E3</v>
          </cell>
          <cell r="C69" t="str">
            <v>1</v>
          </cell>
          <cell r="D69" t="str">
            <v>B</v>
          </cell>
          <cell r="E69">
            <v>2</v>
          </cell>
          <cell r="F69">
            <v>9</v>
          </cell>
          <cell r="G69" t="str">
            <v>Ktsgv-i pénzmaradványt külön jogszab. alapján mód.tétel(+,-) 29/21</v>
          </cell>
        </row>
        <row r="70">
          <cell r="A70" t="str">
            <v>10</v>
          </cell>
          <cell r="B70" t="str">
            <v>E3</v>
          </cell>
          <cell r="C70" t="str">
            <v>1</v>
          </cell>
          <cell r="D70" t="str">
            <v>B</v>
          </cell>
          <cell r="E70">
            <v>2</v>
          </cell>
          <cell r="F70">
            <v>10</v>
          </cell>
          <cell r="G70" t="str">
            <v>Módositott pénzmaradvány (5+-6+-7+8+-9)                      29/22</v>
          </cell>
        </row>
        <row r="71">
          <cell r="A71" t="str">
            <v>11</v>
          </cell>
          <cell r="B71" t="str">
            <v>E3</v>
          </cell>
          <cell r="C71" t="str">
            <v>1</v>
          </cell>
          <cell r="D71" t="str">
            <v>B</v>
          </cell>
          <cell r="E71">
            <v>2</v>
          </cell>
          <cell r="F71">
            <v>11</v>
          </cell>
          <cell r="G71" t="str">
            <v>10-böl egészségbizt.alapból folyósitott pénzeszk.maradványa  29/23</v>
          </cell>
        </row>
        <row r="72">
          <cell r="A72" t="str">
            <v>1</v>
          </cell>
          <cell r="B72" t="str">
            <v>E4</v>
          </cell>
          <cell r="C72" t="str">
            <v>1</v>
          </cell>
          <cell r="D72" t="str">
            <v>B</v>
          </cell>
          <cell r="E72">
            <v>1</v>
          </cell>
          <cell r="F72">
            <v>1</v>
          </cell>
          <cell r="G72" t="str">
            <v>Vállalkozási tevékenység szakfeladaton elszámolt bevételei   30/09</v>
          </cell>
        </row>
        <row r="73">
          <cell r="A73" t="str">
            <v>2</v>
          </cell>
          <cell r="B73" t="str">
            <v>E4</v>
          </cell>
          <cell r="C73" t="str">
            <v>1</v>
          </cell>
          <cell r="D73" t="str">
            <v>B</v>
          </cell>
          <cell r="E73">
            <v>2</v>
          </cell>
          <cell r="F73">
            <v>2</v>
          </cell>
          <cell r="G73" t="str">
            <v>Vállalkozási tevékenység szakfeladaton elszámolt kiadásai(-) 30/15</v>
          </cell>
        </row>
        <row r="74">
          <cell r="A74" t="str">
            <v>3</v>
          </cell>
          <cell r="B74" t="str">
            <v>E4</v>
          </cell>
          <cell r="C74" t="str">
            <v>1</v>
          </cell>
          <cell r="D74" t="str">
            <v>B</v>
          </cell>
          <cell r="E74">
            <v>2</v>
          </cell>
          <cell r="F74">
            <v>3</v>
          </cell>
          <cell r="G74" t="str">
            <v>Vállalkozási tevékenység pénzforgalmi eredménye (1-2)        30/16</v>
          </cell>
        </row>
        <row r="75">
          <cell r="A75" t="str">
            <v>4</v>
          </cell>
          <cell r="B75" t="str">
            <v>E4</v>
          </cell>
          <cell r="C75" t="str">
            <v>1</v>
          </cell>
          <cell r="D75" t="str">
            <v>B</v>
          </cell>
          <cell r="E75">
            <v>2</v>
          </cell>
          <cell r="F75">
            <v>4</v>
          </cell>
          <cell r="G75" t="str">
            <v>Vállakozási tevékenységet terhelö értékcsökkenési leirás (-) 30/17</v>
          </cell>
        </row>
        <row r="76">
          <cell r="A76" t="str">
            <v>5</v>
          </cell>
          <cell r="B76" t="str">
            <v>E4</v>
          </cell>
          <cell r="C76" t="str">
            <v>1</v>
          </cell>
          <cell r="D76" t="str">
            <v>B</v>
          </cell>
          <cell r="E76">
            <v>2</v>
          </cell>
          <cell r="F76">
            <v>5</v>
          </cell>
          <cell r="G76" t="str">
            <v>Alaptev. ellát-ra felhasznált, felh.terv. eredmény (-) 30/18+19+20</v>
          </cell>
        </row>
        <row r="77">
          <cell r="A77" t="str">
            <v>6</v>
          </cell>
          <cell r="B77" t="str">
            <v>E4</v>
          </cell>
          <cell r="C77" t="str">
            <v>1</v>
          </cell>
          <cell r="D77" t="str">
            <v>0</v>
          </cell>
          <cell r="E77">
            <v>2</v>
          </cell>
          <cell r="F77">
            <v>6</v>
          </cell>
          <cell r="G77" t="str">
            <v>Pénzforg. eredményt külön jogszabály alapján módositó tétel  30/21</v>
          </cell>
        </row>
        <row r="78">
          <cell r="A78" t="str">
            <v>7</v>
          </cell>
          <cell r="B78" t="str">
            <v>E4</v>
          </cell>
          <cell r="C78" t="str">
            <v>1</v>
          </cell>
          <cell r="D78" t="str">
            <v>B</v>
          </cell>
          <cell r="E78">
            <v>2</v>
          </cell>
          <cell r="F78">
            <v>7</v>
          </cell>
          <cell r="G78" t="str">
            <v>Vállalkozási tev. módositott pénzforg-i eredménye (3-4-5+-6) 30/22</v>
          </cell>
        </row>
        <row r="79">
          <cell r="A79" t="str">
            <v>8</v>
          </cell>
          <cell r="B79" t="str">
            <v>E4</v>
          </cell>
          <cell r="C79" t="str">
            <v>1</v>
          </cell>
          <cell r="D79" t="str">
            <v>B</v>
          </cell>
          <cell r="E79">
            <v>2</v>
          </cell>
          <cell r="F79">
            <v>8</v>
          </cell>
          <cell r="G79" t="str">
            <v>Tárgyévröl átvitt veszteség                                  30/23</v>
          </cell>
        </row>
        <row r="80">
          <cell r="A80" t="str">
            <v>9</v>
          </cell>
          <cell r="B80" t="str">
            <v>E4</v>
          </cell>
          <cell r="C80" t="str">
            <v>1</v>
          </cell>
          <cell r="D80" t="str">
            <v>B</v>
          </cell>
          <cell r="E80">
            <v>2</v>
          </cell>
          <cell r="F80">
            <v>9</v>
          </cell>
          <cell r="G80" t="str">
            <v>Megelözö év(ek) el nem számolt vesztes.-nek t.évre esö r.(-) 30/24</v>
          </cell>
        </row>
        <row r="81">
          <cell r="A81" t="str">
            <v>10</v>
          </cell>
          <cell r="B81" t="str">
            <v>E4</v>
          </cell>
          <cell r="C81" t="str">
            <v>1</v>
          </cell>
          <cell r="D81" t="str">
            <v>B</v>
          </cell>
          <cell r="E81">
            <v>2</v>
          </cell>
          <cell r="F81">
            <v>10</v>
          </cell>
          <cell r="G81" t="str">
            <v>Vállalkozási tevékenység helyesbitett eredménye (7+8-9)      30/25</v>
          </cell>
        </row>
        <row r="82">
          <cell r="A82" t="str">
            <v>11</v>
          </cell>
          <cell r="B82" t="str">
            <v>E4</v>
          </cell>
          <cell r="C82" t="str">
            <v>1</v>
          </cell>
          <cell r="D82" t="str">
            <v>B</v>
          </cell>
          <cell r="E82">
            <v>2</v>
          </cell>
          <cell r="F82">
            <v>11</v>
          </cell>
          <cell r="G82" t="str">
            <v>Vállalkozási tevékenységet terhelö befizetés (-)             30/26</v>
          </cell>
        </row>
        <row r="83">
          <cell r="A83" t="str">
            <v>12</v>
          </cell>
          <cell r="B83" t="str">
            <v>E4</v>
          </cell>
          <cell r="C83" t="str">
            <v>1</v>
          </cell>
          <cell r="D83" t="str">
            <v>B</v>
          </cell>
          <cell r="E83">
            <v>2</v>
          </cell>
          <cell r="F83">
            <v>12</v>
          </cell>
          <cell r="G83" t="str">
            <v>T a r t a l é k b a    helyezhetö összeg                     30/27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ruh"/>
      <sheetName val="EP10"/>
      <sheetName val="Munka4lem2"/>
      <sheetName val="PAR10"/>
      <sheetName val="Munka7"/>
      <sheetName val="PAR10A"/>
      <sheetName val="51munk"/>
      <sheetName val="Munka4"/>
      <sheetName val="JO"/>
      <sheetName val="Egysz1"/>
      <sheetName val="Egysz2"/>
      <sheetName val="PMHIV"/>
      <sheetName val="PMINT"/>
      <sheetName val="pmelsz"/>
      <sheetName val="Eszköz"/>
      <sheetName val="Forr"/>
      <sheetName val="Mérleghiv"/>
      <sheetName val="Mérleghivint"/>
      <sheetName val="Mérlegössz"/>
      <sheetName val="38"/>
      <sheetName val="48"/>
      <sheetName val="48 (2)"/>
      <sheetName val="49"/>
      <sheetName val="49(2)"/>
      <sheetName val="31"/>
      <sheetName val="312"/>
      <sheetName val="51"/>
      <sheetName val="51(2)"/>
      <sheetName val="Difint"/>
      <sheetName val="31+51"/>
      <sheetName val="33"/>
      <sheetName val="50"/>
      <sheetName val="55"/>
      <sheetName val="HITEL2006"/>
      <sheetName val="24"/>
      <sheetName val="HELYA"/>
      <sheetName val="LÉTESÍT2005"/>
      <sheetName val="LAKAL"/>
      <sheetName val="25"/>
      <sheetName val="pmelsz (2)"/>
    </sheetNames>
    <sheetDataSet>
      <sheetData sheetId="0" refreshError="1"/>
      <sheetData sheetId="1" refreshError="1">
        <row r="1">
          <cell r="A1" t="str">
            <v>SORSZAM</v>
          </cell>
          <cell r="B1" t="str">
            <v>URSZ</v>
          </cell>
          <cell r="C1" t="str">
            <v>SORF</v>
          </cell>
          <cell r="D1" t="str">
            <v>BJ</v>
          </cell>
          <cell r="E1" t="str">
            <v>VJEL</v>
          </cell>
          <cell r="F1" t="str">
            <v>SOR</v>
          </cell>
          <cell r="G1" t="str">
            <v>SZOV</v>
          </cell>
        </row>
        <row r="2">
          <cell r="A2" t="str">
            <v>0</v>
          </cell>
          <cell r="B2" t="str">
            <v>E1</v>
          </cell>
          <cell r="C2" t="str">
            <v>0</v>
          </cell>
          <cell r="D2" t="str">
            <v>B</v>
          </cell>
          <cell r="E2">
            <v>0</v>
          </cell>
          <cell r="F2">
            <v>0</v>
          </cell>
          <cell r="G2" t="str">
            <v>E s z k ö z ö k</v>
          </cell>
        </row>
        <row r="3">
          <cell r="A3" t="str">
            <v>1</v>
          </cell>
          <cell r="B3" t="str">
            <v>E1</v>
          </cell>
          <cell r="C3" t="str">
            <v>1</v>
          </cell>
          <cell r="D3" t="str">
            <v>B</v>
          </cell>
          <cell r="E3">
            <v>2</v>
          </cell>
          <cell r="F3">
            <v>1</v>
          </cell>
          <cell r="G3" t="str">
            <v>A.) Befektetett eszközök összesen                      01/30</v>
          </cell>
        </row>
        <row r="4">
          <cell r="A4" t="str">
            <v>2</v>
          </cell>
          <cell r="B4" t="str">
            <v>E1</v>
          </cell>
          <cell r="C4" t="str">
            <v>1</v>
          </cell>
          <cell r="D4" t="str">
            <v>B</v>
          </cell>
          <cell r="E4">
            <v>1</v>
          </cell>
          <cell r="F4">
            <v>2</v>
          </cell>
          <cell r="G4" t="str">
            <v>I.   Immateriális javak                                01/07</v>
          </cell>
        </row>
        <row r="5">
          <cell r="A5" t="str">
            <v>3</v>
          </cell>
          <cell r="B5" t="str">
            <v>E1</v>
          </cell>
          <cell r="C5" t="str">
            <v>1</v>
          </cell>
          <cell r="D5" t="str">
            <v>B</v>
          </cell>
          <cell r="E5">
            <v>1</v>
          </cell>
          <cell r="F5">
            <v>3</v>
          </cell>
          <cell r="G5" t="str">
            <v>II.  Tárgyi eszközök                                   01/16</v>
          </cell>
        </row>
        <row r="6">
          <cell r="A6" t="str">
            <v>4</v>
          </cell>
          <cell r="B6" t="str">
            <v>E1</v>
          </cell>
          <cell r="C6" t="str">
            <v>1</v>
          </cell>
          <cell r="D6" t="str">
            <v>B</v>
          </cell>
          <cell r="E6">
            <v>1</v>
          </cell>
          <cell r="F6">
            <v>4</v>
          </cell>
          <cell r="G6" t="str">
            <v>III. Befektetett pénzügyi eszközök                     01/23</v>
          </cell>
        </row>
        <row r="7">
          <cell r="A7" t="str">
            <v>5</v>
          </cell>
          <cell r="B7" t="str">
            <v>E1</v>
          </cell>
          <cell r="C7" t="str">
            <v>1</v>
          </cell>
          <cell r="D7" t="str">
            <v>B</v>
          </cell>
          <cell r="E7">
            <v>1</v>
          </cell>
          <cell r="F7">
            <v>5</v>
          </cell>
          <cell r="G7" t="str">
            <v>IV.  Üzemeltetésre, kezelésre átadott eszközök         01/29</v>
          </cell>
        </row>
        <row r="8">
          <cell r="A8" t="str">
            <v>6</v>
          </cell>
          <cell r="B8" t="str">
            <v>E1</v>
          </cell>
          <cell r="C8" t="str">
            <v>1</v>
          </cell>
          <cell r="D8" t="str">
            <v>B</v>
          </cell>
          <cell r="E8">
            <v>2</v>
          </cell>
          <cell r="F8">
            <v>6</v>
          </cell>
          <cell r="G8" t="str">
            <v>B.) Forgóeszközök összesen                             01/61</v>
          </cell>
        </row>
        <row r="9">
          <cell r="A9" t="str">
            <v>7</v>
          </cell>
          <cell r="B9" t="str">
            <v>E1</v>
          </cell>
          <cell r="C9" t="str">
            <v>1</v>
          </cell>
          <cell r="D9" t="str">
            <v>B</v>
          </cell>
          <cell r="E9">
            <v>1</v>
          </cell>
          <cell r="F9">
            <v>7</v>
          </cell>
          <cell r="G9" t="str">
            <v>I.   Készletek                                         01/37</v>
          </cell>
        </row>
        <row r="10">
          <cell r="A10" t="str">
            <v>8</v>
          </cell>
          <cell r="B10" t="str">
            <v>E1</v>
          </cell>
          <cell r="C10" t="str">
            <v>1</v>
          </cell>
          <cell r="D10" t="str">
            <v>B</v>
          </cell>
          <cell r="E10">
            <v>1</v>
          </cell>
          <cell r="F10">
            <v>8</v>
          </cell>
          <cell r="G10" t="str">
            <v>II.  Követelések                                       01/47</v>
          </cell>
        </row>
        <row r="11">
          <cell r="A11" t="str">
            <v>9</v>
          </cell>
          <cell r="B11" t="str">
            <v>E1</v>
          </cell>
          <cell r="C11" t="str">
            <v>1</v>
          </cell>
          <cell r="D11" t="str">
            <v>B</v>
          </cell>
          <cell r="E11">
            <v>1</v>
          </cell>
          <cell r="F11">
            <v>9</v>
          </cell>
          <cell r="G11" t="str">
            <v>III. Értékpapirok                                      01/50</v>
          </cell>
        </row>
        <row r="12">
          <cell r="A12" t="str">
            <v>10</v>
          </cell>
          <cell r="B12" t="str">
            <v>E1</v>
          </cell>
          <cell r="C12" t="str">
            <v>1</v>
          </cell>
          <cell r="D12" t="str">
            <v>B</v>
          </cell>
          <cell r="E12">
            <v>1</v>
          </cell>
          <cell r="F12">
            <v>10</v>
          </cell>
          <cell r="G12" t="str">
            <v>IV.  Pénzeszközök                                      01/55</v>
          </cell>
        </row>
        <row r="13">
          <cell r="A13" t="str">
            <v>11</v>
          </cell>
          <cell r="B13" t="str">
            <v>E1</v>
          </cell>
          <cell r="C13" t="str">
            <v>1</v>
          </cell>
          <cell r="D13" t="str">
            <v>B</v>
          </cell>
          <cell r="E13">
            <v>1</v>
          </cell>
          <cell r="F13">
            <v>11</v>
          </cell>
          <cell r="G13" t="str">
            <v>V.   Egyéb aktiv pénzügyi elszámolások                 01/60</v>
          </cell>
        </row>
        <row r="14">
          <cell r="A14" t="str">
            <v>12</v>
          </cell>
          <cell r="B14" t="str">
            <v>E1</v>
          </cell>
          <cell r="C14" t="str">
            <v>1</v>
          </cell>
          <cell r="D14" t="str">
            <v>B</v>
          </cell>
          <cell r="E14">
            <v>2</v>
          </cell>
          <cell r="F14">
            <v>12</v>
          </cell>
          <cell r="G14" t="str">
            <v>E s z k ö z ö k    ö s s z e s e n                     01/62</v>
          </cell>
        </row>
        <row r="15">
          <cell r="A15" t="str">
            <v>0</v>
          </cell>
          <cell r="B15" t="str">
            <v>E1</v>
          </cell>
          <cell r="C15" t="str">
            <v>0</v>
          </cell>
          <cell r="D15" t="str">
            <v>J</v>
          </cell>
          <cell r="E15">
            <v>2</v>
          </cell>
          <cell r="F15">
            <v>0</v>
          </cell>
          <cell r="G15" t="str">
            <v>F o r r á s o k</v>
          </cell>
        </row>
        <row r="16">
          <cell r="A16" t="str">
            <v>13</v>
          </cell>
          <cell r="B16" t="str">
            <v>E1</v>
          </cell>
          <cell r="C16" t="str">
            <v>1</v>
          </cell>
          <cell r="D16" t="str">
            <v>J</v>
          </cell>
          <cell r="E16">
            <v>2</v>
          </cell>
          <cell r="F16">
            <v>13</v>
          </cell>
          <cell r="G16" t="str">
            <v>D.) Saját töke összesen                                01/66</v>
          </cell>
        </row>
        <row r="17">
          <cell r="A17" t="str">
            <v>14</v>
          </cell>
          <cell r="B17" t="str">
            <v>E1</v>
          </cell>
          <cell r="C17" t="str">
            <v>1</v>
          </cell>
          <cell r="D17" t="str">
            <v>J</v>
          </cell>
          <cell r="E17">
            <v>1</v>
          </cell>
          <cell r="F17">
            <v>14</v>
          </cell>
          <cell r="G17" t="str">
            <v>1.   Induló töke                                       01/63</v>
          </cell>
        </row>
        <row r="18">
          <cell r="A18" t="str">
            <v>15</v>
          </cell>
          <cell r="B18" t="str">
            <v>E1</v>
          </cell>
          <cell r="C18" t="str">
            <v>1</v>
          </cell>
          <cell r="D18" t="str">
            <v>J</v>
          </cell>
          <cell r="E18">
            <v>1</v>
          </cell>
          <cell r="F18">
            <v>15</v>
          </cell>
          <cell r="G18" t="str">
            <v>2.   Tökeváltozások                                    01/64</v>
          </cell>
        </row>
        <row r="19">
          <cell r="A19" t="str">
            <v>16</v>
          </cell>
          <cell r="B19" t="str">
            <v>E1</v>
          </cell>
          <cell r="C19" t="str">
            <v>1</v>
          </cell>
          <cell r="D19" t="str">
            <v>J</v>
          </cell>
          <cell r="E19">
            <v>1</v>
          </cell>
          <cell r="F19">
            <v>16</v>
          </cell>
          <cell r="G19" t="str">
            <v>3.   Értékelési tartalék                               01/65</v>
          </cell>
        </row>
        <row r="20">
          <cell r="A20" t="str">
            <v>17</v>
          </cell>
          <cell r="B20" t="str">
            <v>E1</v>
          </cell>
          <cell r="C20" t="str">
            <v>1</v>
          </cell>
          <cell r="D20" t="str">
            <v>J</v>
          </cell>
          <cell r="E20">
            <v>2</v>
          </cell>
          <cell r="F20">
            <v>17</v>
          </cell>
          <cell r="G20" t="str">
            <v>E.) Tartalékok összesen                                01/82</v>
          </cell>
        </row>
        <row r="21">
          <cell r="A21" t="str">
            <v>18</v>
          </cell>
          <cell r="B21" t="str">
            <v>E1</v>
          </cell>
          <cell r="C21" t="str">
            <v>1</v>
          </cell>
          <cell r="D21" t="str">
            <v>J</v>
          </cell>
          <cell r="E21">
            <v>1</v>
          </cell>
          <cell r="F21">
            <v>18</v>
          </cell>
          <cell r="G21" t="str">
            <v>I.   Költségvetési tartalékok                          01/74</v>
          </cell>
        </row>
        <row r="22">
          <cell r="A22" t="str">
            <v>19</v>
          </cell>
          <cell r="B22" t="str">
            <v>E1</v>
          </cell>
          <cell r="C22" t="str">
            <v>1</v>
          </cell>
          <cell r="D22" t="str">
            <v>J</v>
          </cell>
          <cell r="E22">
            <v>1</v>
          </cell>
          <cell r="F22">
            <v>19</v>
          </cell>
          <cell r="G22" t="str">
            <v>II.  Vállalkozási tartalékok                           01/81</v>
          </cell>
        </row>
        <row r="23">
          <cell r="A23" t="str">
            <v>10</v>
          </cell>
          <cell r="B23" t="str">
            <v>E1</v>
          </cell>
          <cell r="C23" t="str">
            <v>1</v>
          </cell>
          <cell r="D23" t="str">
            <v>J</v>
          </cell>
          <cell r="E23">
            <v>2</v>
          </cell>
          <cell r="F23">
            <v>10</v>
          </cell>
          <cell r="G23" t="str">
            <v>F.) Kötelezettségek összesen                          01/121</v>
          </cell>
        </row>
        <row r="24">
          <cell r="A24" t="str">
            <v>21</v>
          </cell>
          <cell r="B24" t="str">
            <v>E1</v>
          </cell>
          <cell r="C24" t="str">
            <v>1</v>
          </cell>
          <cell r="D24" t="str">
            <v>J</v>
          </cell>
          <cell r="E24">
            <v>1</v>
          </cell>
          <cell r="F24">
            <v>21</v>
          </cell>
          <cell r="G24" t="str">
            <v>I.   Hosszúlejáratú kötelezettségek                    01/89</v>
          </cell>
        </row>
        <row r="25">
          <cell r="A25" t="str">
            <v>22</v>
          </cell>
          <cell r="B25" t="str">
            <v>E1</v>
          </cell>
          <cell r="C25" t="str">
            <v>1</v>
          </cell>
          <cell r="D25" t="str">
            <v>J</v>
          </cell>
          <cell r="E25">
            <v>1</v>
          </cell>
          <cell r="F25">
            <v>22</v>
          </cell>
          <cell r="G25" t="str">
            <v>II.  Rövidlejáratú kötelezettségek                    01/113</v>
          </cell>
        </row>
        <row r="26">
          <cell r="A26" t="str">
            <v>23</v>
          </cell>
          <cell r="B26" t="str">
            <v>E1</v>
          </cell>
          <cell r="C26" t="str">
            <v>1</v>
          </cell>
          <cell r="D26" t="str">
            <v>J</v>
          </cell>
          <cell r="E26">
            <v>1</v>
          </cell>
          <cell r="F26">
            <v>23</v>
          </cell>
          <cell r="G26" t="str">
            <v>III. Egyéb passziv pénzügyi elszámolások              01/120</v>
          </cell>
        </row>
        <row r="27">
          <cell r="A27" t="str">
            <v>24</v>
          </cell>
          <cell r="B27" t="str">
            <v>E1</v>
          </cell>
          <cell r="C27" t="str">
            <v>1</v>
          </cell>
          <cell r="D27" t="str">
            <v>J</v>
          </cell>
          <cell r="E27">
            <v>2</v>
          </cell>
          <cell r="F27">
            <v>24</v>
          </cell>
          <cell r="G27" t="str">
            <v>F o r r á s o k    ö s s z e s e n                    01/122</v>
          </cell>
        </row>
        <row r="28">
          <cell r="A28" t="str">
            <v>1</v>
          </cell>
          <cell r="B28" t="str">
            <v>E2</v>
          </cell>
          <cell r="C28" t="str">
            <v>1</v>
          </cell>
          <cell r="D28" t="str">
            <v>B</v>
          </cell>
          <cell r="E28">
            <v>1</v>
          </cell>
          <cell r="F28">
            <v>1</v>
          </cell>
          <cell r="G28" t="str">
            <v>Személyi juttatások                                    80/04</v>
          </cell>
        </row>
        <row r="29">
          <cell r="A29" t="str">
            <v>2</v>
          </cell>
          <cell r="B29" t="str">
            <v>E2</v>
          </cell>
          <cell r="C29" t="str">
            <v>1</v>
          </cell>
          <cell r="D29" t="str">
            <v>B</v>
          </cell>
          <cell r="E29">
            <v>1</v>
          </cell>
          <cell r="F29">
            <v>2</v>
          </cell>
          <cell r="G29" t="str">
            <v>Munkaadót terhelő járulékok                         80/05+06</v>
          </cell>
        </row>
        <row r="30">
          <cell r="A30" t="str">
            <v>3</v>
          </cell>
          <cell r="B30" t="str">
            <v>E2</v>
          </cell>
          <cell r="C30" t="str">
            <v>1</v>
          </cell>
          <cell r="D30" t="str">
            <v>B</v>
          </cell>
          <cell r="E30">
            <v>1</v>
          </cell>
          <cell r="F30">
            <v>3</v>
          </cell>
          <cell r="G30" t="str">
            <v>Dologi és egyéb folyó kiadások                80/07+..+10+30</v>
          </cell>
        </row>
        <row r="31">
          <cell r="A31" t="str">
            <v>4</v>
          </cell>
          <cell r="B31" t="str">
            <v>E2</v>
          </cell>
          <cell r="C31" t="str">
            <v>1</v>
          </cell>
          <cell r="D31" t="str">
            <v>B</v>
          </cell>
          <cell r="E31">
            <v>1</v>
          </cell>
          <cell r="F31">
            <v>4</v>
          </cell>
          <cell r="G31" t="str">
            <v>Végleges pénzeszközátadás,egyéb támog.  80/29-28+51-31-32-33</v>
          </cell>
        </row>
        <row r="32">
          <cell r="A32" t="str">
            <v>5</v>
          </cell>
          <cell r="B32" t="str">
            <v>E2</v>
          </cell>
          <cell r="C32" t="str">
            <v>1</v>
          </cell>
          <cell r="D32" t="str">
            <v>B</v>
          </cell>
          <cell r="E32">
            <v>1</v>
          </cell>
          <cell r="F32">
            <v>5</v>
          </cell>
          <cell r="G32" t="str">
            <v>Ellátottak juttatásai                                  80/11</v>
          </cell>
        </row>
        <row r="33">
          <cell r="A33" t="str">
            <v>6</v>
          </cell>
          <cell r="B33" t="str">
            <v>E2</v>
          </cell>
          <cell r="C33" t="str">
            <v>1</v>
          </cell>
          <cell r="D33" t="str">
            <v>B</v>
          </cell>
          <cell r="E33">
            <v>1</v>
          </cell>
          <cell r="F33">
            <v>6</v>
          </cell>
          <cell r="G33" t="str">
            <v>Felújitás                                              80/31</v>
          </cell>
        </row>
        <row r="34">
          <cell r="A34" t="str">
            <v>7</v>
          </cell>
          <cell r="B34" t="str">
            <v>E2</v>
          </cell>
          <cell r="C34" t="str">
            <v>1</v>
          </cell>
          <cell r="D34" t="str">
            <v>B</v>
          </cell>
          <cell r="E34">
            <v>1</v>
          </cell>
          <cell r="F34">
            <v>7</v>
          </cell>
          <cell r="G34" t="str">
            <v>Felhalmozási kiadások                            80/32+33+55</v>
          </cell>
        </row>
        <row r="35">
          <cell r="A35" t="str">
            <v>8</v>
          </cell>
          <cell r="B35" t="str">
            <v>E2</v>
          </cell>
          <cell r="C35" t="str">
            <v>1</v>
          </cell>
          <cell r="D35" t="str">
            <v>B</v>
          </cell>
          <cell r="E35">
            <v>1</v>
          </cell>
          <cell r="F35">
            <v>8</v>
          </cell>
          <cell r="G35" t="str">
            <v>Költségvetési pénzforgalmi kiadások összesen (01+...+07)</v>
          </cell>
        </row>
        <row r="36">
          <cell r="A36" t="str">
            <v>9</v>
          </cell>
          <cell r="B36" t="str">
            <v>E2</v>
          </cell>
          <cell r="C36" t="str">
            <v>1</v>
          </cell>
          <cell r="D36" t="str">
            <v>B</v>
          </cell>
          <cell r="E36">
            <v>2</v>
          </cell>
          <cell r="F36">
            <v>9</v>
          </cell>
          <cell r="G36" t="str">
            <v>Hitelek és kölcsönök kiadásai        80/52+53+54+122+123+129</v>
          </cell>
        </row>
        <row r="37">
          <cell r="A37" t="str">
            <v>10</v>
          </cell>
          <cell r="B37" t="str">
            <v>E2</v>
          </cell>
          <cell r="C37" t="str">
            <v>1</v>
          </cell>
          <cell r="D37" t="str">
            <v>B</v>
          </cell>
          <cell r="E37">
            <v>1</v>
          </cell>
          <cell r="F37">
            <v>10</v>
          </cell>
          <cell r="G37" t="str">
            <v>Értékpapirok kiadásai                          80/124+..+128</v>
          </cell>
        </row>
        <row r="38">
          <cell r="A38" t="str">
            <v>11</v>
          </cell>
          <cell r="B38" t="str">
            <v>E2</v>
          </cell>
          <cell r="C38" t="str">
            <v>1</v>
          </cell>
          <cell r="D38" t="str">
            <v>B</v>
          </cell>
          <cell r="E38">
            <v>1</v>
          </cell>
          <cell r="F38">
            <v>11</v>
          </cell>
          <cell r="G38" t="str">
            <v>Finanszirozási kiadások összesen (09+10)</v>
          </cell>
        </row>
        <row r="39">
          <cell r="A39" t="str">
            <v>12</v>
          </cell>
          <cell r="B39" t="str">
            <v>E2</v>
          </cell>
          <cell r="C39" t="str">
            <v>1</v>
          </cell>
          <cell r="D39" t="str">
            <v>B</v>
          </cell>
          <cell r="E39">
            <v>2</v>
          </cell>
          <cell r="F39">
            <v>12</v>
          </cell>
          <cell r="G39" t="str">
            <v>Pénzforgalmi kiadások  (08+11)</v>
          </cell>
        </row>
        <row r="40">
          <cell r="A40" t="str">
            <v>13</v>
          </cell>
          <cell r="B40" t="str">
            <v>E2</v>
          </cell>
          <cell r="C40" t="str">
            <v>1</v>
          </cell>
          <cell r="D40" t="str">
            <v>B</v>
          </cell>
          <cell r="E40">
            <v>2</v>
          </cell>
          <cell r="F40">
            <v>13</v>
          </cell>
          <cell r="G40" t="str">
            <v>Pénzforgalom nélküli kiadások                          80/28</v>
          </cell>
        </row>
        <row r="41">
          <cell r="A41" t="str">
            <v>14</v>
          </cell>
          <cell r="B41" t="str">
            <v>E2</v>
          </cell>
          <cell r="C41" t="str">
            <v>1</v>
          </cell>
          <cell r="D41" t="str">
            <v>B</v>
          </cell>
          <cell r="E41">
            <v>1</v>
          </cell>
          <cell r="F41">
            <v>14</v>
          </cell>
          <cell r="G41" t="str">
            <v>Kiegyenlitö, függö, átfutó kiadások összesen          80/130</v>
          </cell>
        </row>
        <row r="42">
          <cell r="A42" t="str">
            <v>15</v>
          </cell>
          <cell r="B42" t="str">
            <v>E2</v>
          </cell>
          <cell r="C42" t="str">
            <v>1</v>
          </cell>
          <cell r="D42" t="str">
            <v>B</v>
          </cell>
          <cell r="E42">
            <v>2</v>
          </cell>
          <cell r="F42">
            <v>15</v>
          </cell>
          <cell r="G42" t="str">
            <v>Kiadások összesen      (12+13+14)</v>
          </cell>
        </row>
        <row r="43">
          <cell r="A43" t="str">
            <v>16</v>
          </cell>
          <cell r="B43" t="str">
            <v>E2</v>
          </cell>
          <cell r="C43" t="str">
            <v>1</v>
          </cell>
          <cell r="D43" t="str">
            <v>B</v>
          </cell>
          <cell r="E43">
            <v>2</v>
          </cell>
          <cell r="F43">
            <v>16</v>
          </cell>
          <cell r="G43" t="str">
            <v>Intézményi müködési bevételek                    80/58+59+60</v>
          </cell>
        </row>
        <row r="44">
          <cell r="A44" t="str">
            <v>17</v>
          </cell>
          <cell r="B44" t="str">
            <v>E2</v>
          </cell>
          <cell r="C44" t="str">
            <v>1</v>
          </cell>
          <cell r="D44" t="str">
            <v>B</v>
          </cell>
          <cell r="E44">
            <v>1</v>
          </cell>
          <cell r="F44">
            <v>17</v>
          </cell>
          <cell r="G44" t="str">
            <v>Önkormányzatok sajátos müködési bevételei  80/61+62+71+..+76</v>
          </cell>
        </row>
        <row r="45">
          <cell r="A45" t="str">
            <v>18</v>
          </cell>
          <cell r="B45" t="str">
            <v>E2</v>
          </cell>
          <cell r="C45" t="str">
            <v>1</v>
          </cell>
          <cell r="D45" t="str">
            <v>B</v>
          </cell>
          <cell r="E45">
            <v>1</v>
          </cell>
          <cell r="F45">
            <v>18</v>
          </cell>
          <cell r="G45" t="str">
            <v>Felhalmozási és töke jellegü bevétel 80/92+107+.+110+115+116</v>
          </cell>
        </row>
        <row r="46">
          <cell r="A46" t="str">
            <v>19</v>
          </cell>
          <cell r="B46" t="str">
            <v>E2</v>
          </cell>
          <cell r="C46" t="str">
            <v>1</v>
          </cell>
          <cell r="D46" t="str">
            <v>B</v>
          </cell>
          <cell r="E46">
            <v>1</v>
          </cell>
          <cell r="F46">
            <v>19</v>
          </cell>
          <cell r="G46" t="str">
            <v>18-ból Önkorm. sajátos felhalm-i és tökebev-ei 80/107+..+110</v>
          </cell>
        </row>
        <row r="47">
          <cell r="A47" t="str">
            <v>0</v>
          </cell>
          <cell r="B47" t="str">
            <v>E2</v>
          </cell>
          <cell r="C47" t="str">
            <v>0</v>
          </cell>
          <cell r="D47" t="str">
            <v>B</v>
          </cell>
          <cell r="E47">
            <v>1</v>
          </cell>
          <cell r="F47">
            <v>0</v>
          </cell>
          <cell r="G47" t="str">
            <v>Támogatás, kiegészítő és/vagy átvett pénzeszközök</v>
          </cell>
        </row>
        <row r="48">
          <cell r="A48" t="str">
            <v>20</v>
          </cell>
          <cell r="B48" t="str">
            <v>E2</v>
          </cell>
          <cell r="C48" t="str">
            <v>1</v>
          </cell>
          <cell r="D48" t="str">
            <v>B</v>
          </cell>
          <cell r="E48">
            <v>1</v>
          </cell>
          <cell r="F48">
            <v>20</v>
          </cell>
          <cell r="G48" t="str">
            <v>80/77+78+89+90+91+111 -92-107-..-110 +118</v>
          </cell>
        </row>
        <row r="49">
          <cell r="A49" t="str">
            <v>21</v>
          </cell>
          <cell r="B49" t="str">
            <v>E2</v>
          </cell>
          <cell r="C49" t="str">
            <v>1</v>
          </cell>
          <cell r="D49" t="str">
            <v>B</v>
          </cell>
          <cell r="E49">
            <v>1</v>
          </cell>
          <cell r="F49">
            <v>21</v>
          </cell>
          <cell r="G49" t="str">
            <v>20-ból Önkormányzatok költségvetési támogatása        80/118</v>
          </cell>
        </row>
        <row r="50">
          <cell r="A50" t="str">
            <v>22</v>
          </cell>
          <cell r="B50" t="str">
            <v>E2</v>
          </cell>
          <cell r="C50" t="str">
            <v>1</v>
          </cell>
          <cell r="D50" t="str">
            <v>B</v>
          </cell>
          <cell r="E50">
            <v>1</v>
          </cell>
          <cell r="F50">
            <v>22</v>
          </cell>
          <cell r="G50" t="str">
            <v>Költségvetési pénzforgalmi bevételek összesen (16+17+18+20)</v>
          </cell>
        </row>
        <row r="51">
          <cell r="A51" t="str">
            <v>23</v>
          </cell>
          <cell r="B51" t="str">
            <v>E2</v>
          </cell>
          <cell r="C51" t="str">
            <v>1</v>
          </cell>
          <cell r="D51" t="str">
            <v>B</v>
          </cell>
          <cell r="E51">
            <v>2</v>
          </cell>
          <cell r="F51">
            <v>23</v>
          </cell>
          <cell r="G51" t="str">
            <v>Hitelek, kölcsönök bevételei       80/112+..+114+132+133+139</v>
          </cell>
        </row>
        <row r="52">
          <cell r="A52" t="str">
            <v>24</v>
          </cell>
          <cell r="B52" t="str">
            <v>E2</v>
          </cell>
          <cell r="C52" t="str">
            <v>1</v>
          </cell>
          <cell r="D52" t="str">
            <v>B</v>
          </cell>
          <cell r="E52">
            <v>1</v>
          </cell>
          <cell r="F52">
            <v>24</v>
          </cell>
          <cell r="G52" t="str">
            <v>Értékpapirok bevételei                         80/134+..+138</v>
          </cell>
        </row>
        <row r="53">
          <cell r="A53" t="str">
            <v>25</v>
          </cell>
          <cell r="B53" t="str">
            <v>E2</v>
          </cell>
          <cell r="C53" t="str">
            <v>1</v>
          </cell>
          <cell r="D53" t="str">
            <v>B</v>
          </cell>
          <cell r="E53">
            <v>1</v>
          </cell>
          <cell r="F53">
            <v>25</v>
          </cell>
          <cell r="G53" t="str">
            <v>Finanszirozási bevételek összesen (23+24)</v>
          </cell>
        </row>
        <row r="54">
          <cell r="A54" t="str">
            <v>26</v>
          </cell>
          <cell r="B54" t="str">
            <v>E2</v>
          </cell>
          <cell r="C54" t="str">
            <v>1</v>
          </cell>
          <cell r="D54" t="str">
            <v>B</v>
          </cell>
          <cell r="E54">
            <v>2</v>
          </cell>
          <cell r="F54">
            <v>26</v>
          </cell>
          <cell r="G54" t="str">
            <v>Pénzforgalmi bevételek (22+25)</v>
          </cell>
        </row>
        <row r="55">
          <cell r="A55" t="str">
            <v>27</v>
          </cell>
          <cell r="B55" t="str">
            <v>E2</v>
          </cell>
          <cell r="C55" t="str">
            <v>1</v>
          </cell>
          <cell r="D55" t="str">
            <v>B</v>
          </cell>
          <cell r="E55">
            <v>2</v>
          </cell>
          <cell r="F55">
            <v>27</v>
          </cell>
          <cell r="G55" t="str">
            <v>Pénzforgalom nélküli bevételek                        80/121</v>
          </cell>
        </row>
        <row r="56">
          <cell r="A56" t="str">
            <v>28</v>
          </cell>
          <cell r="B56" t="str">
            <v>E2</v>
          </cell>
          <cell r="C56" t="str">
            <v>1</v>
          </cell>
          <cell r="D56" t="str">
            <v>B</v>
          </cell>
          <cell r="E56">
            <v>1</v>
          </cell>
          <cell r="F56">
            <v>28</v>
          </cell>
          <cell r="G56" t="str">
            <v>Kiegyenlitö, átfutó, függö bevételek összesen         80/140</v>
          </cell>
        </row>
        <row r="57">
          <cell r="A57" t="str">
            <v>29</v>
          </cell>
          <cell r="B57" t="str">
            <v>E2</v>
          </cell>
          <cell r="C57" t="str">
            <v>1</v>
          </cell>
          <cell r="D57" t="str">
            <v>B</v>
          </cell>
          <cell r="E57">
            <v>2</v>
          </cell>
          <cell r="F57">
            <v>29</v>
          </cell>
          <cell r="G57" t="str">
            <v>Bevételek összesen (26+27+28)</v>
          </cell>
        </row>
        <row r="58">
          <cell r="A58" t="str">
            <v>30</v>
          </cell>
          <cell r="B58" t="str">
            <v>E2</v>
          </cell>
          <cell r="C58" t="str">
            <v>1</v>
          </cell>
          <cell r="D58" t="str">
            <v>B</v>
          </cell>
          <cell r="E58">
            <v>2</v>
          </cell>
          <cell r="F58">
            <v>30</v>
          </cell>
          <cell r="G58" t="str">
            <v>Költségvetési bevételek és Kiadások különbsége (22+27-8-13)</v>
          </cell>
        </row>
        <row r="59">
          <cell r="A59" t="str">
            <v>31</v>
          </cell>
          <cell r="B59" t="str">
            <v>E2</v>
          </cell>
          <cell r="C59" t="str">
            <v>1</v>
          </cell>
          <cell r="D59" t="str">
            <v>B</v>
          </cell>
          <cell r="E59">
            <v>1</v>
          </cell>
          <cell r="F59">
            <v>31</v>
          </cell>
          <cell r="G59" t="str">
            <v>Finanszirozási műveletek eredménye (25-11)</v>
          </cell>
        </row>
        <row r="60">
          <cell r="A60" t="str">
            <v>32</v>
          </cell>
          <cell r="B60" t="str">
            <v>E2</v>
          </cell>
          <cell r="C60" t="str">
            <v>1</v>
          </cell>
          <cell r="D60" t="str">
            <v>B</v>
          </cell>
          <cell r="E60">
            <v>1</v>
          </cell>
          <cell r="F60">
            <v>32</v>
          </cell>
          <cell r="G60" t="str">
            <v>Aktiv és pasziv pénzügyi műveletek eredménye (28-14)</v>
          </cell>
        </row>
        <row r="61">
          <cell r="A61" t="str">
            <v>1</v>
          </cell>
          <cell r="B61" t="str">
            <v>E3</v>
          </cell>
          <cell r="C61" t="str">
            <v>1</v>
          </cell>
          <cell r="D61" t="str">
            <v>B</v>
          </cell>
          <cell r="E61">
            <v>1</v>
          </cell>
          <cell r="F61">
            <v>1</v>
          </cell>
          <cell r="G61" t="str">
            <v>Záró pénzkészlet                                             29/03</v>
          </cell>
        </row>
        <row r="62">
          <cell r="A62" t="str">
            <v>2</v>
          </cell>
          <cell r="B62" t="str">
            <v>E3</v>
          </cell>
          <cell r="C62" t="str">
            <v>1</v>
          </cell>
          <cell r="D62" t="str">
            <v>B</v>
          </cell>
          <cell r="E62">
            <v>2</v>
          </cell>
          <cell r="F62">
            <v>2</v>
          </cell>
          <cell r="G62" t="str">
            <v>Egyéb aktiv és passziv pü-i elszám. összev.záróegyenl (+,-)  29/10</v>
          </cell>
        </row>
        <row r="63">
          <cell r="A63" t="str">
            <v>3</v>
          </cell>
          <cell r="B63" t="str">
            <v>E3</v>
          </cell>
          <cell r="C63" t="str">
            <v>1</v>
          </cell>
          <cell r="D63" t="str">
            <v>B</v>
          </cell>
          <cell r="E63">
            <v>2</v>
          </cell>
          <cell r="F63">
            <v>3</v>
          </cell>
          <cell r="G63" t="str">
            <v>Elözö év(ek)ben képzett tartalékok maradványa (-)            29/11</v>
          </cell>
        </row>
        <row r="64">
          <cell r="A64" t="str">
            <v>4</v>
          </cell>
          <cell r="B64" t="str">
            <v>E3</v>
          </cell>
          <cell r="C64" t="str">
            <v>1</v>
          </cell>
          <cell r="D64" t="str">
            <v>B</v>
          </cell>
          <cell r="E64">
            <v>2</v>
          </cell>
          <cell r="F64">
            <v>4</v>
          </cell>
          <cell r="G64" t="str">
            <v>Vállalkozási tevékenység pénzforgalmi eredménye (-)          29/12</v>
          </cell>
        </row>
        <row r="65">
          <cell r="A65" t="str">
            <v>5</v>
          </cell>
          <cell r="B65" t="str">
            <v>E3</v>
          </cell>
          <cell r="C65" t="str">
            <v>1</v>
          </cell>
          <cell r="D65" t="str">
            <v>B</v>
          </cell>
          <cell r="E65">
            <v>2</v>
          </cell>
          <cell r="F65">
            <v>5</v>
          </cell>
          <cell r="G65" t="str">
            <v>Tárgyévi helyesbitett pénzmaradvány (1+-2-3-4)               29/13</v>
          </cell>
        </row>
        <row r="66">
          <cell r="A66" t="str">
            <v>6</v>
          </cell>
          <cell r="B66" t="str">
            <v>E3</v>
          </cell>
          <cell r="C66" t="str">
            <v>1</v>
          </cell>
          <cell r="D66" t="str">
            <v>B</v>
          </cell>
          <cell r="E66">
            <v>2</v>
          </cell>
          <cell r="F66">
            <v>6</v>
          </cell>
          <cell r="G66" t="str">
            <v>Finanszirozásból származó korrekciók (+,-)             29/14+..+17</v>
          </cell>
        </row>
        <row r="67">
          <cell r="A67" t="str">
            <v>7</v>
          </cell>
          <cell r="B67" t="str">
            <v>E3</v>
          </cell>
          <cell r="C67" t="str">
            <v>1</v>
          </cell>
          <cell r="D67" t="str">
            <v>B</v>
          </cell>
          <cell r="E67">
            <v>2</v>
          </cell>
          <cell r="F67">
            <v>7</v>
          </cell>
          <cell r="G67" t="str">
            <v>Pénzmaradványt terhelö elvonások (+,-)                       29/18</v>
          </cell>
        </row>
        <row r="68">
          <cell r="A68" t="str">
            <v>8</v>
          </cell>
          <cell r="B68" t="str">
            <v>E3</v>
          </cell>
          <cell r="C68" t="str">
            <v>1</v>
          </cell>
          <cell r="D68" t="str">
            <v>B</v>
          </cell>
          <cell r="E68">
            <v>2</v>
          </cell>
          <cell r="F68">
            <v>8</v>
          </cell>
          <cell r="G68" t="str">
            <v>Vállalk. tev. eredményéböl alaptev.ellát-ra felhaszn. összeg 29/20</v>
          </cell>
        </row>
        <row r="69">
          <cell r="A69" t="str">
            <v>9</v>
          </cell>
          <cell r="B69" t="str">
            <v>E3</v>
          </cell>
          <cell r="C69" t="str">
            <v>1</v>
          </cell>
          <cell r="D69" t="str">
            <v>B</v>
          </cell>
          <cell r="E69">
            <v>2</v>
          </cell>
          <cell r="F69">
            <v>9</v>
          </cell>
          <cell r="G69" t="str">
            <v>Ktsgv-i pénzmaradványt külön jogszab. alapján mód.tétel(+,-) 29/21</v>
          </cell>
        </row>
        <row r="70">
          <cell r="A70" t="str">
            <v>10</v>
          </cell>
          <cell r="B70" t="str">
            <v>E3</v>
          </cell>
          <cell r="C70" t="str">
            <v>1</v>
          </cell>
          <cell r="D70" t="str">
            <v>B</v>
          </cell>
          <cell r="E70">
            <v>2</v>
          </cell>
          <cell r="F70">
            <v>10</v>
          </cell>
          <cell r="G70" t="str">
            <v>Módositott pénzmaradvány (5+-6+-7+8+-9)                      29/22</v>
          </cell>
        </row>
        <row r="71">
          <cell r="A71" t="str">
            <v>11</v>
          </cell>
          <cell r="B71" t="str">
            <v>E3</v>
          </cell>
          <cell r="C71" t="str">
            <v>1</v>
          </cell>
          <cell r="D71" t="str">
            <v>B</v>
          </cell>
          <cell r="E71">
            <v>2</v>
          </cell>
          <cell r="F71">
            <v>11</v>
          </cell>
          <cell r="G71" t="str">
            <v>10-böl egészségbizt.alapból folyósitott pénzeszk.maradványa  29/23</v>
          </cell>
        </row>
        <row r="72">
          <cell r="A72" t="str">
            <v>12</v>
          </cell>
          <cell r="B72" t="str">
            <v>E3</v>
          </cell>
          <cell r="C72" t="str">
            <v>1</v>
          </cell>
          <cell r="D72" t="str">
            <v>B</v>
          </cell>
          <cell r="E72">
            <v>2</v>
          </cell>
          <cell r="F72">
            <v>12</v>
          </cell>
          <cell r="G72" t="str">
            <v>10-böl kötelezettséggel terhelt pénzmaradvány                29/24</v>
          </cell>
        </row>
        <row r="73">
          <cell r="A73" t="str">
            <v>13</v>
          </cell>
          <cell r="B73" t="str">
            <v>E3</v>
          </cell>
          <cell r="C73" t="str">
            <v>1</v>
          </cell>
          <cell r="D73" t="str">
            <v>B</v>
          </cell>
          <cell r="E73">
            <v>2</v>
          </cell>
          <cell r="F73">
            <v>13</v>
          </cell>
          <cell r="G73" t="str">
            <v>10-böl szabad pénzmaradvány                                  29/25</v>
          </cell>
        </row>
        <row r="74">
          <cell r="A74" t="str">
            <v>1</v>
          </cell>
          <cell r="B74" t="str">
            <v>E4</v>
          </cell>
          <cell r="C74" t="str">
            <v>1</v>
          </cell>
          <cell r="D74" t="str">
            <v>B</v>
          </cell>
          <cell r="E74">
            <v>1</v>
          </cell>
          <cell r="F74">
            <v>1</v>
          </cell>
          <cell r="G74" t="str">
            <v>Vállalkozási tevékenység szakfeladaton elszámolt bevételei   30/09</v>
          </cell>
        </row>
        <row r="75">
          <cell r="A75" t="str">
            <v>2</v>
          </cell>
          <cell r="B75" t="str">
            <v>E4</v>
          </cell>
          <cell r="C75" t="str">
            <v>1</v>
          </cell>
          <cell r="D75" t="str">
            <v>B</v>
          </cell>
          <cell r="E75">
            <v>2</v>
          </cell>
          <cell r="F75">
            <v>2</v>
          </cell>
          <cell r="G75" t="str">
            <v>Vállalkozási tevékenység szakfeladaton elszámolt kiadásai(-) 30/15</v>
          </cell>
        </row>
        <row r="76">
          <cell r="A76" t="str">
            <v>3</v>
          </cell>
          <cell r="B76" t="str">
            <v>E4</v>
          </cell>
          <cell r="C76" t="str">
            <v>1</v>
          </cell>
          <cell r="D76" t="str">
            <v>B</v>
          </cell>
          <cell r="E76">
            <v>2</v>
          </cell>
          <cell r="F76">
            <v>3</v>
          </cell>
          <cell r="G76" t="str">
            <v>Vállalkozási tevékenység pénzforgalmi eredménye (1-2)        30/16</v>
          </cell>
        </row>
        <row r="77">
          <cell r="A77" t="str">
            <v>4</v>
          </cell>
          <cell r="B77" t="str">
            <v>E4</v>
          </cell>
          <cell r="C77" t="str">
            <v>1</v>
          </cell>
          <cell r="D77" t="str">
            <v>B</v>
          </cell>
          <cell r="E77">
            <v>2</v>
          </cell>
          <cell r="F77">
            <v>4</v>
          </cell>
          <cell r="G77" t="str">
            <v>Vállakozási tevékenységet terhelö értékcsökkenési leirás (-) 30/17</v>
          </cell>
        </row>
        <row r="78">
          <cell r="A78" t="str">
            <v>5</v>
          </cell>
          <cell r="B78" t="str">
            <v>E4</v>
          </cell>
          <cell r="C78" t="str">
            <v>1</v>
          </cell>
          <cell r="D78" t="str">
            <v>B</v>
          </cell>
          <cell r="E78">
            <v>2</v>
          </cell>
          <cell r="F78">
            <v>5</v>
          </cell>
          <cell r="G78" t="str">
            <v>Alaptev. ellát-ra felhasznált, felh.terv. eredmény (-) 30/18+19+20</v>
          </cell>
        </row>
        <row r="79">
          <cell r="A79" t="str">
            <v>6</v>
          </cell>
          <cell r="B79" t="str">
            <v>E4</v>
          </cell>
          <cell r="C79" t="str">
            <v>1</v>
          </cell>
          <cell r="D79" t="str">
            <v>B</v>
          </cell>
          <cell r="E79">
            <v>2</v>
          </cell>
          <cell r="F79">
            <v>6</v>
          </cell>
          <cell r="G79" t="str">
            <v>Pénzforg. eredményt külön jogszabály alapján módositó tétel  30/21</v>
          </cell>
        </row>
        <row r="80">
          <cell r="A80" t="str">
            <v>7</v>
          </cell>
          <cell r="B80" t="str">
            <v>E4</v>
          </cell>
          <cell r="C80" t="str">
            <v>1</v>
          </cell>
          <cell r="D80" t="str">
            <v>B</v>
          </cell>
          <cell r="E80">
            <v>2</v>
          </cell>
          <cell r="F80">
            <v>7</v>
          </cell>
          <cell r="G80" t="str">
            <v>Vállalkozási tev. módositott pénzforg-i eredménye (3-4-5+-6) 30/22</v>
          </cell>
        </row>
        <row r="81">
          <cell r="A81" t="str">
            <v>8</v>
          </cell>
          <cell r="B81" t="str">
            <v>E4</v>
          </cell>
          <cell r="C81" t="str">
            <v>1</v>
          </cell>
          <cell r="D81" t="str">
            <v>B</v>
          </cell>
          <cell r="E81">
            <v>2</v>
          </cell>
          <cell r="F81">
            <v>11</v>
          </cell>
          <cell r="G81" t="str">
            <v>Vállalkozási tevékenységet terhelö befizetés (-)             30/23</v>
          </cell>
        </row>
        <row r="82">
          <cell r="A82" t="str">
            <v>9</v>
          </cell>
          <cell r="B82" t="str">
            <v>E4</v>
          </cell>
          <cell r="C82" t="str">
            <v>1</v>
          </cell>
          <cell r="D82" t="str">
            <v>B</v>
          </cell>
          <cell r="E82">
            <v>2</v>
          </cell>
          <cell r="F82">
            <v>12</v>
          </cell>
          <cell r="G82" t="str">
            <v>T a r t a l é k b a    helyezhetö összeg                     30/24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P10"/>
      <sheetName val="PAR13"/>
      <sheetName val="Munka2"/>
      <sheetName val="Munka7"/>
      <sheetName val="NORM0100"/>
      <sheetName val="PAR10"/>
      <sheetName val="PAR10A"/>
      <sheetName val="JO"/>
      <sheetName val="Egysz"/>
      <sheetName val="Egysz1"/>
      <sheetName val="Egysz2"/>
      <sheetName val="Eszk"/>
      <sheetName val="Forr"/>
      <sheetName val="MERLHIV"/>
      <sheetName val="MERLINT"/>
      <sheetName val="MERLÖSSZ"/>
      <sheetName val="38"/>
      <sheetName val="Vagyon"/>
      <sheetName val="29HIV"/>
      <sheetName val="PMINT29"/>
      <sheetName val="PM elsz"/>
      <sheetName val="48"/>
      <sheetName val="48 (2)"/>
      <sheetName val="49"/>
      <sheetName val="49 (2)"/>
      <sheetName val="31"/>
      <sheetName val="31 (2)"/>
      <sheetName val="51"/>
      <sheetName val="51 (2)"/>
      <sheetName val="DIFF"/>
      <sheetName val="31+51"/>
      <sheetName val="33"/>
      <sheetName val="50"/>
      <sheetName val="55"/>
      <sheetName val="25"/>
      <sheetName val="24"/>
      <sheetName val="HITEL2007"/>
      <sheetName val="LÉTESÍT2005"/>
      <sheetName val="LAKAL"/>
      <sheetName val="HELY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TORZSZ</v>
          </cell>
          <cell r="B1" t="str">
            <v>SZEK</v>
          </cell>
          <cell r="C1" t="str">
            <v>FEJ</v>
          </cell>
          <cell r="D1" t="str">
            <v>URSZ</v>
          </cell>
          <cell r="E1" t="str">
            <v>BSORSZ</v>
          </cell>
          <cell r="F1" t="str">
            <v>HIBAJ</v>
          </cell>
          <cell r="G1" t="str">
            <v>A1</v>
          </cell>
          <cell r="H1" t="str">
            <v>A2</v>
          </cell>
          <cell r="I1" t="str">
            <v>A3</v>
          </cell>
          <cell r="J1" t="str">
            <v>A4</v>
          </cell>
          <cell r="K1" t="str">
            <v>A5</v>
          </cell>
          <cell r="L1" t="str">
            <v>A6</v>
          </cell>
          <cell r="M1" t="str">
            <v>A7</v>
          </cell>
          <cell r="N1" t="str">
            <v>A8</v>
          </cell>
          <cell r="O1" t="str">
            <v>A9</v>
          </cell>
          <cell r="P1" t="str">
            <v>A10</v>
          </cell>
          <cell r="Q1" t="str">
            <v>A11</v>
          </cell>
          <cell r="R1" t="str">
            <v>A12</v>
          </cell>
          <cell r="S1" t="str">
            <v>A13</v>
          </cell>
          <cell r="T1" t="str">
            <v>A14</v>
          </cell>
          <cell r="U1" t="str">
            <v>A15</v>
          </cell>
          <cell r="V1" t="str">
            <v>A16</v>
          </cell>
          <cell r="W1" t="str">
            <v>A17</v>
          </cell>
        </row>
        <row r="2">
          <cell r="A2" t="str">
            <v>453473</v>
          </cell>
          <cell r="B2" t="str">
            <v>1251</v>
          </cell>
          <cell r="C2" t="str">
            <v>12</v>
          </cell>
          <cell r="D2" t="str">
            <v>01</v>
          </cell>
          <cell r="E2">
            <v>1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18</v>
          </cell>
          <cell r="N2">
            <v>89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18</v>
          </cell>
          <cell r="T2">
            <v>89</v>
          </cell>
          <cell r="U2">
            <v>0</v>
          </cell>
          <cell r="V2">
            <v>0</v>
          </cell>
          <cell r="W2">
            <v>0</v>
          </cell>
        </row>
        <row r="3">
          <cell r="A3" t="str">
            <v>453473</v>
          </cell>
          <cell r="B3" t="str">
            <v>1251</v>
          </cell>
          <cell r="C3" t="str">
            <v>12</v>
          </cell>
          <cell r="D3" t="str">
            <v>01</v>
          </cell>
          <cell r="E3">
            <v>8</v>
          </cell>
          <cell r="G3">
            <v>65143</v>
          </cell>
          <cell r="H3">
            <v>63652</v>
          </cell>
          <cell r="I3">
            <v>7916</v>
          </cell>
          <cell r="J3">
            <v>5678</v>
          </cell>
          <cell r="K3">
            <v>0</v>
          </cell>
          <cell r="L3">
            <v>5409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</row>
        <row r="4">
          <cell r="A4" t="str">
            <v>453473</v>
          </cell>
          <cell r="B4" t="str">
            <v>1251</v>
          </cell>
          <cell r="C4" t="str">
            <v>12</v>
          </cell>
          <cell r="D4" t="str">
            <v>01</v>
          </cell>
          <cell r="E4">
            <v>15</v>
          </cell>
          <cell r="G4">
            <v>0</v>
          </cell>
          <cell r="H4">
            <v>0</v>
          </cell>
          <cell r="I4">
            <v>73059</v>
          </cell>
          <cell r="J4">
            <v>74739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A5" t="str">
            <v>453473</v>
          </cell>
          <cell r="B5" t="str">
            <v>1251</v>
          </cell>
          <cell r="C5" t="str">
            <v>12</v>
          </cell>
          <cell r="D5" t="str">
            <v>01</v>
          </cell>
          <cell r="E5">
            <v>22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A6" t="str">
            <v>453473</v>
          </cell>
          <cell r="B6" t="str">
            <v>1251</v>
          </cell>
          <cell r="C6" t="str">
            <v>12</v>
          </cell>
          <cell r="D6" t="str">
            <v>01</v>
          </cell>
          <cell r="E6">
            <v>29</v>
          </cell>
          <cell r="G6">
            <v>0</v>
          </cell>
          <cell r="H6">
            <v>0</v>
          </cell>
          <cell r="I6">
            <v>73077</v>
          </cell>
          <cell r="J6">
            <v>74828</v>
          </cell>
          <cell r="K6">
            <v>177</v>
          </cell>
          <cell r="L6">
            <v>196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A7" t="str">
            <v>453473</v>
          </cell>
          <cell r="B7" t="str">
            <v>1251</v>
          </cell>
          <cell r="C7" t="str">
            <v>12</v>
          </cell>
          <cell r="D7" t="str">
            <v>01</v>
          </cell>
          <cell r="E7">
            <v>36</v>
          </cell>
          <cell r="G7">
            <v>0</v>
          </cell>
          <cell r="H7">
            <v>0</v>
          </cell>
          <cell r="I7">
            <v>177</v>
          </cell>
          <cell r="J7">
            <v>196</v>
          </cell>
          <cell r="K7">
            <v>67</v>
          </cell>
          <cell r="L7">
            <v>214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A8" t="str">
            <v>453473</v>
          </cell>
          <cell r="B8" t="str">
            <v>1251</v>
          </cell>
          <cell r="C8" t="str">
            <v>12</v>
          </cell>
          <cell r="D8" t="str">
            <v>01</v>
          </cell>
          <cell r="E8">
            <v>43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67</v>
          </cell>
          <cell r="P8">
            <v>214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 t="str">
            <v>453473</v>
          </cell>
          <cell r="B9" t="str">
            <v>1251</v>
          </cell>
          <cell r="C9" t="str">
            <v>12</v>
          </cell>
          <cell r="D9" t="str">
            <v>01</v>
          </cell>
          <cell r="E9">
            <v>50</v>
          </cell>
          <cell r="G9">
            <v>0</v>
          </cell>
          <cell r="H9">
            <v>0</v>
          </cell>
          <cell r="I9">
            <v>36</v>
          </cell>
          <cell r="J9">
            <v>142</v>
          </cell>
          <cell r="K9">
            <v>0</v>
          </cell>
          <cell r="L9">
            <v>147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36</v>
          </cell>
          <cell r="R9">
            <v>289</v>
          </cell>
          <cell r="S9">
            <v>24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 t="str">
            <v>453473</v>
          </cell>
          <cell r="B10" t="str">
            <v>1251</v>
          </cell>
          <cell r="C10" t="str">
            <v>12</v>
          </cell>
          <cell r="D10" t="str">
            <v>01</v>
          </cell>
          <cell r="E10">
            <v>57</v>
          </cell>
          <cell r="G10">
            <v>329</v>
          </cell>
          <cell r="H10">
            <v>49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353</v>
          </cell>
          <cell r="N10">
            <v>49</v>
          </cell>
          <cell r="O10">
            <v>633</v>
          </cell>
          <cell r="P10">
            <v>748</v>
          </cell>
          <cell r="Q10">
            <v>73710</v>
          </cell>
          <cell r="R10">
            <v>75576</v>
          </cell>
          <cell r="S10">
            <v>36846</v>
          </cell>
          <cell r="T10">
            <v>36846</v>
          </cell>
          <cell r="U10">
            <v>0</v>
          </cell>
          <cell r="V10">
            <v>0</v>
          </cell>
          <cell r="W10">
            <v>0</v>
          </cell>
        </row>
        <row r="11">
          <cell r="A11" t="str">
            <v>453473</v>
          </cell>
          <cell r="B11" t="str">
            <v>1251</v>
          </cell>
          <cell r="C11" t="str">
            <v>12</v>
          </cell>
          <cell r="D11" t="str">
            <v>01</v>
          </cell>
          <cell r="E11">
            <v>64</v>
          </cell>
          <cell r="G11">
            <v>30213</v>
          </cell>
          <cell r="H11">
            <v>31133</v>
          </cell>
          <cell r="I11">
            <v>0</v>
          </cell>
          <cell r="J11">
            <v>0</v>
          </cell>
          <cell r="K11">
            <v>67059</v>
          </cell>
          <cell r="L11">
            <v>67979</v>
          </cell>
          <cell r="M11">
            <v>389</v>
          </cell>
          <cell r="N11">
            <v>338</v>
          </cell>
          <cell r="O11">
            <v>389</v>
          </cell>
          <cell r="P11">
            <v>338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 t="str">
            <v>453473</v>
          </cell>
          <cell r="B12" t="str">
            <v>1251</v>
          </cell>
          <cell r="C12" t="str">
            <v>12</v>
          </cell>
          <cell r="D12" t="str">
            <v>01</v>
          </cell>
          <cell r="E12">
            <v>71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389</v>
          </cell>
          <cell r="N12">
            <v>338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A13" t="str">
            <v>453473</v>
          </cell>
          <cell r="B13" t="str">
            <v>1251</v>
          </cell>
          <cell r="C13" t="str">
            <v>12</v>
          </cell>
          <cell r="D13" t="str">
            <v>01</v>
          </cell>
          <cell r="E13">
            <v>78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389</v>
          </cell>
          <cell r="P13">
            <v>338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A14" t="str">
            <v>453473</v>
          </cell>
          <cell r="B14" t="str">
            <v>1251</v>
          </cell>
          <cell r="C14" t="str">
            <v>12</v>
          </cell>
          <cell r="D14" t="str">
            <v>01</v>
          </cell>
          <cell r="E14">
            <v>85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A15" t="str">
            <v>453473</v>
          </cell>
          <cell r="B15" t="str">
            <v>1251</v>
          </cell>
          <cell r="C15" t="str">
            <v>12</v>
          </cell>
          <cell r="D15" t="str">
            <v>01</v>
          </cell>
          <cell r="E15">
            <v>92</v>
          </cell>
          <cell r="G15">
            <v>6262</v>
          </cell>
          <cell r="H15">
            <v>7259</v>
          </cell>
          <cell r="I15">
            <v>6173</v>
          </cell>
          <cell r="J15">
            <v>5583</v>
          </cell>
          <cell r="K15">
            <v>89</v>
          </cell>
          <cell r="L15">
            <v>1676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A16" t="str">
            <v>453473</v>
          </cell>
          <cell r="B16" t="str">
            <v>1251</v>
          </cell>
          <cell r="C16" t="str">
            <v>12</v>
          </cell>
          <cell r="D16" t="str">
            <v>01</v>
          </cell>
          <cell r="E16">
            <v>99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453473</v>
          </cell>
          <cell r="B17" t="str">
            <v>1251</v>
          </cell>
          <cell r="C17" t="str">
            <v>12</v>
          </cell>
          <cell r="D17" t="str">
            <v>01</v>
          </cell>
          <cell r="E17">
            <v>106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453473</v>
          </cell>
          <cell r="B18" t="str">
            <v>1251</v>
          </cell>
          <cell r="C18" t="str">
            <v>12</v>
          </cell>
          <cell r="D18" t="str">
            <v>01</v>
          </cell>
          <cell r="E18">
            <v>113</v>
          </cell>
          <cell r="G18">
            <v>6262</v>
          </cell>
          <cell r="H18">
            <v>7259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A19" t="str">
            <v>453473</v>
          </cell>
          <cell r="B19" t="str">
            <v>1251</v>
          </cell>
          <cell r="C19" t="str">
            <v>12</v>
          </cell>
          <cell r="D19" t="str">
            <v>01</v>
          </cell>
          <cell r="E19">
            <v>120</v>
          </cell>
          <cell r="G19">
            <v>0</v>
          </cell>
          <cell r="H19">
            <v>0</v>
          </cell>
          <cell r="I19">
            <v>6262</v>
          </cell>
          <cell r="J19">
            <v>7259</v>
          </cell>
          <cell r="K19">
            <v>73710</v>
          </cell>
          <cell r="L19">
            <v>75576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A20" t="str">
            <v>453473</v>
          </cell>
          <cell r="B20" t="str">
            <v>1251</v>
          </cell>
          <cell r="C20" t="str">
            <v>12</v>
          </cell>
          <cell r="D20" t="str">
            <v>02</v>
          </cell>
          <cell r="E20">
            <v>1</v>
          </cell>
          <cell r="G20">
            <v>49127</v>
          </cell>
          <cell r="H20">
            <v>49190</v>
          </cell>
          <cell r="I20">
            <v>48845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2314</v>
          </cell>
          <cell r="Q20">
            <v>2314</v>
          </cell>
          <cell r="R20">
            <v>2098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A21" t="str">
            <v>453473</v>
          </cell>
          <cell r="B21" t="str">
            <v>1251</v>
          </cell>
          <cell r="C21" t="str">
            <v>12</v>
          </cell>
          <cell r="D21" t="str">
            <v>02</v>
          </cell>
          <cell r="E21">
            <v>6</v>
          </cell>
          <cell r="G21">
            <v>0</v>
          </cell>
          <cell r="H21">
            <v>0</v>
          </cell>
          <cell r="I21">
            <v>0</v>
          </cell>
          <cell r="J21">
            <v>51441</v>
          </cell>
          <cell r="K21">
            <v>51504</v>
          </cell>
          <cell r="L21">
            <v>50943</v>
          </cell>
          <cell r="M21">
            <v>1766</v>
          </cell>
          <cell r="N21">
            <v>1766</v>
          </cell>
          <cell r="O21">
            <v>1279</v>
          </cell>
          <cell r="P21">
            <v>53207</v>
          </cell>
          <cell r="Q21">
            <v>53270</v>
          </cell>
          <cell r="R21">
            <v>52222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A22" t="str">
            <v>453473</v>
          </cell>
          <cell r="B22" t="str">
            <v>1251</v>
          </cell>
          <cell r="C22" t="str">
            <v>12</v>
          </cell>
          <cell r="D22" t="str">
            <v>02</v>
          </cell>
          <cell r="E22">
            <v>11</v>
          </cell>
          <cell r="G22">
            <v>0</v>
          </cell>
          <cell r="H22">
            <v>0</v>
          </cell>
          <cell r="I22">
            <v>0</v>
          </cell>
          <cell r="J22">
            <v>2368</v>
          </cell>
          <cell r="K22">
            <v>2368</v>
          </cell>
          <cell r="L22">
            <v>1812</v>
          </cell>
          <cell r="M22">
            <v>6210</v>
          </cell>
          <cell r="N22">
            <v>6262</v>
          </cell>
          <cell r="O22">
            <v>6766</v>
          </cell>
          <cell r="P22">
            <v>8578</v>
          </cell>
          <cell r="Q22">
            <v>8630</v>
          </cell>
          <cell r="R22">
            <v>8578</v>
          </cell>
          <cell r="S22">
            <v>0</v>
          </cell>
          <cell r="T22">
            <v>0</v>
          </cell>
          <cell r="U22">
            <v>269</v>
          </cell>
          <cell r="V22">
            <v>0</v>
          </cell>
          <cell r="W22">
            <v>0</v>
          </cell>
        </row>
        <row r="23">
          <cell r="A23" t="str">
            <v>453473</v>
          </cell>
          <cell r="B23" t="str">
            <v>1251</v>
          </cell>
          <cell r="C23" t="str">
            <v>12</v>
          </cell>
          <cell r="D23" t="str">
            <v>02</v>
          </cell>
          <cell r="E23">
            <v>16</v>
          </cell>
          <cell r="G23">
            <v>8578</v>
          </cell>
          <cell r="H23">
            <v>8630</v>
          </cell>
          <cell r="I23">
            <v>8847</v>
          </cell>
          <cell r="J23">
            <v>552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484</v>
          </cell>
          <cell r="Q23">
            <v>484</v>
          </cell>
          <cell r="R23">
            <v>484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A24" t="str">
            <v>453473</v>
          </cell>
          <cell r="B24" t="str">
            <v>1251</v>
          </cell>
          <cell r="C24" t="str">
            <v>12</v>
          </cell>
          <cell r="D24" t="str">
            <v>02</v>
          </cell>
          <cell r="E24">
            <v>21</v>
          </cell>
          <cell r="G24">
            <v>0</v>
          </cell>
          <cell r="H24">
            <v>0</v>
          </cell>
          <cell r="I24">
            <v>0</v>
          </cell>
          <cell r="J24">
            <v>117</v>
          </cell>
          <cell r="K24">
            <v>117</v>
          </cell>
          <cell r="L24">
            <v>428</v>
          </cell>
          <cell r="M24">
            <v>601</v>
          </cell>
          <cell r="N24">
            <v>601</v>
          </cell>
          <cell r="O24">
            <v>912</v>
          </cell>
          <cell r="P24">
            <v>0</v>
          </cell>
          <cell r="Q24">
            <v>0</v>
          </cell>
          <cell r="R24">
            <v>0</v>
          </cell>
          <cell r="S24">
            <v>601</v>
          </cell>
          <cell r="T24">
            <v>601</v>
          </cell>
          <cell r="U24">
            <v>912</v>
          </cell>
          <cell r="V24">
            <v>0</v>
          </cell>
          <cell r="W24">
            <v>0</v>
          </cell>
        </row>
        <row r="25">
          <cell r="A25" t="str">
            <v>453473</v>
          </cell>
          <cell r="B25" t="str">
            <v>1251</v>
          </cell>
          <cell r="C25" t="str">
            <v>12</v>
          </cell>
          <cell r="D25" t="str">
            <v>02</v>
          </cell>
          <cell r="E25">
            <v>26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325</v>
          </cell>
          <cell r="N25">
            <v>325</v>
          </cell>
          <cell r="O25">
            <v>310</v>
          </cell>
          <cell r="P25">
            <v>1192</v>
          </cell>
          <cell r="Q25">
            <v>1192</v>
          </cell>
          <cell r="R25">
            <v>1161</v>
          </cell>
          <cell r="S25">
            <v>66</v>
          </cell>
          <cell r="T25">
            <v>66</v>
          </cell>
          <cell r="U25">
            <v>104</v>
          </cell>
          <cell r="V25">
            <v>0</v>
          </cell>
          <cell r="W25">
            <v>0</v>
          </cell>
        </row>
        <row r="26">
          <cell r="A26" t="str">
            <v>453473</v>
          </cell>
          <cell r="B26" t="str">
            <v>1251</v>
          </cell>
          <cell r="C26" t="str">
            <v>12</v>
          </cell>
          <cell r="D26" t="str">
            <v>02</v>
          </cell>
          <cell r="E26">
            <v>31</v>
          </cell>
          <cell r="G26">
            <v>1583</v>
          </cell>
          <cell r="H26">
            <v>1583</v>
          </cell>
          <cell r="I26">
            <v>1575</v>
          </cell>
          <cell r="J26">
            <v>0</v>
          </cell>
          <cell r="K26">
            <v>0</v>
          </cell>
          <cell r="L26">
            <v>0</v>
          </cell>
          <cell r="M26">
            <v>1583</v>
          </cell>
          <cell r="N26">
            <v>1583</v>
          </cell>
          <cell r="O26">
            <v>1575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453473</v>
          </cell>
          <cell r="B27" t="str">
            <v>1251</v>
          </cell>
          <cell r="C27" t="str">
            <v>12</v>
          </cell>
          <cell r="D27" t="str">
            <v>02</v>
          </cell>
          <cell r="E27">
            <v>36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10762</v>
          </cell>
          <cell r="T27">
            <v>10814</v>
          </cell>
          <cell r="U27">
            <v>11065</v>
          </cell>
          <cell r="V27">
            <v>0</v>
          </cell>
          <cell r="W27">
            <v>0</v>
          </cell>
        </row>
        <row r="28">
          <cell r="A28" t="str">
            <v>453473</v>
          </cell>
          <cell r="B28" t="str">
            <v>1251</v>
          </cell>
          <cell r="C28" t="str">
            <v>12</v>
          </cell>
          <cell r="D28" t="str">
            <v>02</v>
          </cell>
          <cell r="E28">
            <v>41</v>
          </cell>
          <cell r="G28">
            <v>0</v>
          </cell>
          <cell r="H28">
            <v>0</v>
          </cell>
          <cell r="I28">
            <v>269</v>
          </cell>
          <cell r="J28">
            <v>11314</v>
          </cell>
          <cell r="K28">
            <v>10814</v>
          </cell>
          <cell r="L28">
            <v>11334</v>
          </cell>
          <cell r="M28">
            <v>3740</v>
          </cell>
          <cell r="N28">
            <v>3740</v>
          </cell>
          <cell r="O28">
            <v>3606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A29" t="str">
            <v>453473</v>
          </cell>
          <cell r="B29" t="str">
            <v>1251</v>
          </cell>
          <cell r="C29" t="str">
            <v>12</v>
          </cell>
          <cell r="D29" t="str">
            <v>02</v>
          </cell>
          <cell r="E29">
            <v>46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3740</v>
          </cell>
          <cell r="Q29">
            <v>3740</v>
          </cell>
          <cell r="R29">
            <v>3606</v>
          </cell>
          <cell r="S29">
            <v>68261</v>
          </cell>
          <cell r="T29">
            <v>67824</v>
          </cell>
          <cell r="U29">
            <v>67162</v>
          </cell>
          <cell r="V29">
            <v>0</v>
          </cell>
          <cell r="W29">
            <v>0</v>
          </cell>
        </row>
        <row r="30">
          <cell r="A30" t="str">
            <v>453473</v>
          </cell>
          <cell r="B30" t="str">
            <v>1251</v>
          </cell>
          <cell r="C30" t="str">
            <v>12</v>
          </cell>
          <cell r="D30" t="str">
            <v>02</v>
          </cell>
          <cell r="E30">
            <v>51</v>
          </cell>
          <cell r="G30">
            <v>19194</v>
          </cell>
          <cell r="H30">
            <v>19194</v>
          </cell>
          <cell r="I30">
            <v>18753</v>
          </cell>
          <cell r="J30">
            <v>1885</v>
          </cell>
          <cell r="K30">
            <v>1885</v>
          </cell>
          <cell r="L30">
            <v>1860</v>
          </cell>
          <cell r="M30">
            <v>852</v>
          </cell>
          <cell r="N30">
            <v>852</v>
          </cell>
          <cell r="O30">
            <v>924</v>
          </cell>
          <cell r="P30">
            <v>0</v>
          </cell>
          <cell r="Q30">
            <v>0</v>
          </cell>
          <cell r="R30">
            <v>66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A31" t="str">
            <v>453473</v>
          </cell>
          <cell r="B31" t="str">
            <v>1251</v>
          </cell>
          <cell r="C31" t="str">
            <v>12</v>
          </cell>
          <cell r="D31" t="str">
            <v>02</v>
          </cell>
          <cell r="E31">
            <v>56</v>
          </cell>
          <cell r="G31">
            <v>0</v>
          </cell>
          <cell r="H31">
            <v>0</v>
          </cell>
          <cell r="I31">
            <v>0</v>
          </cell>
          <cell r="J31">
            <v>21931</v>
          </cell>
          <cell r="K31">
            <v>21931</v>
          </cell>
          <cell r="L31">
            <v>21603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A32" t="str">
            <v>453473</v>
          </cell>
          <cell r="B32" t="str">
            <v>1251</v>
          </cell>
          <cell r="C32" t="str">
            <v>12</v>
          </cell>
          <cell r="D32" t="str">
            <v>03</v>
          </cell>
          <cell r="E32">
            <v>1</v>
          </cell>
          <cell r="G32">
            <v>19599</v>
          </cell>
          <cell r="H32">
            <v>19937</v>
          </cell>
          <cell r="I32">
            <v>18709</v>
          </cell>
          <cell r="J32">
            <v>30</v>
          </cell>
          <cell r="K32">
            <v>30</v>
          </cell>
          <cell r="L32">
            <v>8</v>
          </cell>
          <cell r="M32">
            <v>0</v>
          </cell>
          <cell r="N32">
            <v>0</v>
          </cell>
          <cell r="O32">
            <v>0</v>
          </cell>
          <cell r="P32">
            <v>370</v>
          </cell>
          <cell r="Q32">
            <v>370</v>
          </cell>
          <cell r="R32">
            <v>289</v>
          </cell>
          <cell r="S32">
            <v>280</v>
          </cell>
          <cell r="T32">
            <v>280</v>
          </cell>
          <cell r="U32">
            <v>324</v>
          </cell>
          <cell r="V32">
            <v>0</v>
          </cell>
          <cell r="W32">
            <v>0</v>
          </cell>
        </row>
        <row r="33">
          <cell r="A33" t="str">
            <v>453473</v>
          </cell>
          <cell r="B33" t="str">
            <v>1251</v>
          </cell>
          <cell r="C33" t="str">
            <v>12</v>
          </cell>
          <cell r="D33" t="str">
            <v>03</v>
          </cell>
          <cell r="E33">
            <v>6</v>
          </cell>
          <cell r="G33">
            <v>200</v>
          </cell>
          <cell r="H33">
            <v>200</v>
          </cell>
          <cell r="I33">
            <v>290</v>
          </cell>
          <cell r="J33">
            <v>30</v>
          </cell>
          <cell r="K33">
            <v>30</v>
          </cell>
          <cell r="L33">
            <v>1</v>
          </cell>
          <cell r="M33">
            <v>0</v>
          </cell>
          <cell r="N33">
            <v>0</v>
          </cell>
          <cell r="O33">
            <v>0</v>
          </cell>
          <cell r="P33">
            <v>620</v>
          </cell>
          <cell r="Q33">
            <v>620</v>
          </cell>
          <cell r="R33">
            <v>213</v>
          </cell>
          <cell r="S33">
            <v>500</v>
          </cell>
          <cell r="T33">
            <v>500</v>
          </cell>
          <cell r="U33">
            <v>236</v>
          </cell>
          <cell r="V33">
            <v>0</v>
          </cell>
          <cell r="W33">
            <v>0</v>
          </cell>
        </row>
        <row r="34">
          <cell r="A34" t="str">
            <v>453473</v>
          </cell>
          <cell r="B34" t="str">
            <v>1251</v>
          </cell>
          <cell r="C34" t="str">
            <v>12</v>
          </cell>
          <cell r="D34" t="str">
            <v>03</v>
          </cell>
          <cell r="E34">
            <v>11</v>
          </cell>
          <cell r="G34">
            <v>3900</v>
          </cell>
          <cell r="H34">
            <v>5613</v>
          </cell>
          <cell r="I34">
            <v>4541</v>
          </cell>
          <cell r="J34">
            <v>300</v>
          </cell>
          <cell r="K34">
            <v>300</v>
          </cell>
          <cell r="L34">
            <v>173</v>
          </cell>
          <cell r="M34">
            <v>1840</v>
          </cell>
          <cell r="N34">
            <v>1840</v>
          </cell>
          <cell r="O34">
            <v>1999</v>
          </cell>
          <cell r="P34">
            <v>27669</v>
          </cell>
          <cell r="Q34">
            <v>29720</v>
          </cell>
          <cell r="R34">
            <v>26783</v>
          </cell>
          <cell r="S34">
            <v>1000</v>
          </cell>
          <cell r="T34">
            <v>1000</v>
          </cell>
          <cell r="U34">
            <v>987</v>
          </cell>
          <cell r="V34">
            <v>0</v>
          </cell>
          <cell r="W34">
            <v>0</v>
          </cell>
        </row>
        <row r="35">
          <cell r="A35" t="str">
            <v>453473</v>
          </cell>
          <cell r="B35" t="str">
            <v>1251</v>
          </cell>
          <cell r="C35" t="str">
            <v>12</v>
          </cell>
          <cell r="D35" t="str">
            <v>03</v>
          </cell>
          <cell r="E35">
            <v>16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1000</v>
          </cell>
          <cell r="N35">
            <v>1000</v>
          </cell>
          <cell r="O35">
            <v>987</v>
          </cell>
          <cell r="P35">
            <v>1600</v>
          </cell>
          <cell r="Q35">
            <v>1815</v>
          </cell>
          <cell r="R35">
            <v>851</v>
          </cell>
          <cell r="S35">
            <v>2700</v>
          </cell>
          <cell r="T35">
            <v>2700</v>
          </cell>
          <cell r="U35">
            <v>2254</v>
          </cell>
          <cell r="V35">
            <v>0</v>
          </cell>
          <cell r="W35">
            <v>0</v>
          </cell>
        </row>
        <row r="36">
          <cell r="A36" t="str">
            <v>453473</v>
          </cell>
          <cell r="B36" t="str">
            <v>1251</v>
          </cell>
          <cell r="C36" t="str">
            <v>12</v>
          </cell>
          <cell r="D36" t="str">
            <v>03</v>
          </cell>
          <cell r="E36">
            <v>21</v>
          </cell>
          <cell r="G36">
            <v>0</v>
          </cell>
          <cell r="H36">
            <v>0</v>
          </cell>
          <cell r="I36">
            <v>0</v>
          </cell>
          <cell r="J36">
            <v>2300</v>
          </cell>
          <cell r="K36">
            <v>2300</v>
          </cell>
          <cell r="L36">
            <v>1977</v>
          </cell>
          <cell r="M36">
            <v>5300</v>
          </cell>
          <cell r="N36">
            <v>6129</v>
          </cell>
          <cell r="O36">
            <v>6549</v>
          </cell>
          <cell r="P36">
            <v>2800</v>
          </cell>
          <cell r="Q36">
            <v>2800</v>
          </cell>
          <cell r="R36">
            <v>2640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A37" t="str">
            <v>453473</v>
          </cell>
          <cell r="B37" t="str">
            <v>1251</v>
          </cell>
          <cell r="C37" t="str">
            <v>12</v>
          </cell>
          <cell r="D37" t="str">
            <v>03</v>
          </cell>
          <cell r="E37">
            <v>26</v>
          </cell>
          <cell r="G37">
            <v>3150</v>
          </cell>
          <cell r="H37">
            <v>3150</v>
          </cell>
          <cell r="I37">
            <v>3011</v>
          </cell>
          <cell r="J37">
            <v>500</v>
          </cell>
          <cell r="K37">
            <v>500</v>
          </cell>
          <cell r="L37">
            <v>328</v>
          </cell>
          <cell r="M37">
            <v>2287</v>
          </cell>
          <cell r="N37">
            <v>2287</v>
          </cell>
          <cell r="O37">
            <v>3344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A38" t="str">
            <v>453473</v>
          </cell>
          <cell r="B38" t="str">
            <v>1251</v>
          </cell>
          <cell r="C38" t="str">
            <v>12</v>
          </cell>
          <cell r="D38" t="str">
            <v>03</v>
          </cell>
          <cell r="E38">
            <v>31</v>
          </cell>
          <cell r="G38">
            <v>20637</v>
          </cell>
          <cell r="H38">
            <v>21681</v>
          </cell>
          <cell r="I38">
            <v>20954</v>
          </cell>
          <cell r="J38">
            <v>7054</v>
          </cell>
          <cell r="K38">
            <v>8481</v>
          </cell>
          <cell r="L38">
            <v>5911</v>
          </cell>
          <cell r="M38">
            <v>8615</v>
          </cell>
          <cell r="N38">
            <v>9225</v>
          </cell>
          <cell r="O38">
            <v>8362</v>
          </cell>
          <cell r="P38">
            <v>1173</v>
          </cell>
          <cell r="Q38">
            <v>1173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A39" t="str">
            <v>453473</v>
          </cell>
          <cell r="B39" t="str">
            <v>1251</v>
          </cell>
          <cell r="C39" t="str">
            <v>12</v>
          </cell>
          <cell r="D39" t="str">
            <v>03</v>
          </cell>
          <cell r="E39">
            <v>36</v>
          </cell>
          <cell r="G39">
            <v>9788</v>
          </cell>
          <cell r="H39">
            <v>10398</v>
          </cell>
          <cell r="I39">
            <v>8362</v>
          </cell>
          <cell r="J39">
            <v>100</v>
          </cell>
          <cell r="K39">
            <v>100</v>
          </cell>
          <cell r="L39">
            <v>126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73</v>
          </cell>
          <cell r="S39">
            <v>100</v>
          </cell>
          <cell r="T39">
            <v>100</v>
          </cell>
          <cell r="U39">
            <v>0</v>
          </cell>
          <cell r="V39">
            <v>0</v>
          </cell>
          <cell r="W39">
            <v>0</v>
          </cell>
        </row>
        <row r="40">
          <cell r="A40" t="str">
            <v>453473</v>
          </cell>
          <cell r="B40" t="str">
            <v>1251</v>
          </cell>
          <cell r="C40" t="str">
            <v>12</v>
          </cell>
          <cell r="D40" t="str">
            <v>03</v>
          </cell>
          <cell r="E40">
            <v>41</v>
          </cell>
          <cell r="G40">
            <v>200</v>
          </cell>
          <cell r="H40">
            <v>200</v>
          </cell>
          <cell r="I40">
            <v>199</v>
          </cell>
          <cell r="J40">
            <v>0</v>
          </cell>
          <cell r="K40">
            <v>0</v>
          </cell>
          <cell r="L40">
            <v>0</v>
          </cell>
          <cell r="M40">
            <v>11072</v>
          </cell>
          <cell r="N40">
            <v>11960</v>
          </cell>
          <cell r="O40">
            <v>8473</v>
          </cell>
          <cell r="P40">
            <v>77420</v>
          </cell>
          <cell r="Q40">
            <v>83440</v>
          </cell>
          <cell r="R40">
            <v>71669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A41" t="str">
            <v>453473</v>
          </cell>
          <cell r="B41" t="str">
            <v>1251</v>
          </cell>
          <cell r="C41" t="str">
            <v>12</v>
          </cell>
          <cell r="D41" t="str">
            <v>03</v>
          </cell>
          <cell r="E41">
            <v>46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A42" t="str">
            <v>453473</v>
          </cell>
          <cell r="B42" t="str">
            <v>1251</v>
          </cell>
          <cell r="C42" t="str">
            <v>12</v>
          </cell>
          <cell r="D42" t="str">
            <v>03</v>
          </cell>
          <cell r="E42">
            <v>51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11</v>
          </cell>
          <cell r="P42">
            <v>0</v>
          </cell>
          <cell r="Q42">
            <v>0</v>
          </cell>
          <cell r="R42">
            <v>0</v>
          </cell>
          <cell r="S42">
            <v>136</v>
          </cell>
          <cell r="T42">
            <v>136</v>
          </cell>
          <cell r="U42">
            <v>334</v>
          </cell>
          <cell r="V42">
            <v>0</v>
          </cell>
          <cell r="W42">
            <v>0</v>
          </cell>
        </row>
        <row r="43">
          <cell r="A43" t="str">
            <v>453473</v>
          </cell>
          <cell r="B43" t="str">
            <v>1251</v>
          </cell>
          <cell r="C43" t="str">
            <v>12</v>
          </cell>
          <cell r="D43" t="str">
            <v>03</v>
          </cell>
          <cell r="E43">
            <v>56</v>
          </cell>
          <cell r="G43">
            <v>136</v>
          </cell>
          <cell r="H43">
            <v>136</v>
          </cell>
          <cell r="I43">
            <v>345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A44" t="str">
            <v>453473</v>
          </cell>
          <cell r="B44" t="str">
            <v>1251</v>
          </cell>
          <cell r="C44" t="str">
            <v>12</v>
          </cell>
          <cell r="D44" t="str">
            <v>03</v>
          </cell>
          <cell r="E44">
            <v>61</v>
          </cell>
          <cell r="G44">
            <v>136</v>
          </cell>
          <cell r="H44">
            <v>136</v>
          </cell>
          <cell r="I44">
            <v>345</v>
          </cell>
          <cell r="J44">
            <v>77556</v>
          </cell>
          <cell r="K44">
            <v>83576</v>
          </cell>
          <cell r="L44">
            <v>72014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A45" t="str">
            <v>453473</v>
          </cell>
          <cell r="B45" t="str">
            <v>1251</v>
          </cell>
          <cell r="C45" t="str">
            <v>12</v>
          </cell>
          <cell r="D45" t="str">
            <v>04</v>
          </cell>
          <cell r="E45">
            <v>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A46" t="str">
            <v>453473</v>
          </cell>
          <cell r="B46" t="str">
            <v>1251</v>
          </cell>
          <cell r="C46" t="str">
            <v>12</v>
          </cell>
          <cell r="D46" t="str">
            <v>04</v>
          </cell>
          <cell r="E46">
            <v>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453473</v>
          </cell>
          <cell r="B47" t="str">
            <v>1251</v>
          </cell>
          <cell r="C47" t="str">
            <v>12</v>
          </cell>
          <cell r="D47" t="str">
            <v>04</v>
          </cell>
          <cell r="E47">
            <v>11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A48" t="str">
            <v>453473</v>
          </cell>
          <cell r="B48" t="str">
            <v>1251</v>
          </cell>
          <cell r="C48" t="str">
            <v>12</v>
          </cell>
          <cell r="D48" t="str">
            <v>04</v>
          </cell>
          <cell r="E48">
            <v>16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A49" t="str">
            <v>453473</v>
          </cell>
          <cell r="B49" t="str">
            <v>1251</v>
          </cell>
          <cell r="C49" t="str">
            <v>12</v>
          </cell>
          <cell r="D49" t="str">
            <v>04</v>
          </cell>
          <cell r="E49">
            <v>21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A50" t="str">
            <v>453473</v>
          </cell>
          <cell r="B50" t="str">
            <v>1251</v>
          </cell>
          <cell r="C50" t="str">
            <v>12</v>
          </cell>
          <cell r="D50" t="str">
            <v>04</v>
          </cell>
          <cell r="E50">
            <v>26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453473</v>
          </cell>
          <cell r="B51" t="str">
            <v>1251</v>
          </cell>
          <cell r="C51" t="str">
            <v>12</v>
          </cell>
          <cell r="D51" t="str">
            <v>04</v>
          </cell>
          <cell r="E51">
            <v>31</v>
          </cell>
          <cell r="G51">
            <v>0</v>
          </cell>
          <cell r="H51">
            <v>0</v>
          </cell>
          <cell r="I51">
            <v>0</v>
          </cell>
          <cell r="J51">
            <v>4000</v>
          </cell>
          <cell r="K51">
            <v>4500</v>
          </cell>
          <cell r="L51">
            <v>4442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A52" t="str">
            <v>453473</v>
          </cell>
          <cell r="B52" t="str">
            <v>1251</v>
          </cell>
          <cell r="C52" t="str">
            <v>12</v>
          </cell>
          <cell r="D52" t="str">
            <v>04</v>
          </cell>
          <cell r="E52">
            <v>36</v>
          </cell>
          <cell r="G52">
            <v>4000</v>
          </cell>
          <cell r="H52">
            <v>4500</v>
          </cell>
          <cell r="I52">
            <v>4442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453473</v>
          </cell>
          <cell r="B53" t="str">
            <v>1251</v>
          </cell>
          <cell r="C53" t="str">
            <v>12</v>
          </cell>
          <cell r="D53" t="str">
            <v>05</v>
          </cell>
          <cell r="E53">
            <v>1</v>
          </cell>
          <cell r="G53">
            <v>900</v>
          </cell>
          <cell r="H53">
            <v>900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180</v>
          </cell>
          <cell r="T53">
            <v>180</v>
          </cell>
          <cell r="U53">
            <v>0</v>
          </cell>
          <cell r="V53">
            <v>0</v>
          </cell>
          <cell r="W53">
            <v>0</v>
          </cell>
        </row>
        <row r="54">
          <cell r="A54" t="str">
            <v>453473</v>
          </cell>
          <cell r="B54" t="str">
            <v>1251</v>
          </cell>
          <cell r="C54" t="str">
            <v>12</v>
          </cell>
          <cell r="D54" t="str">
            <v>05</v>
          </cell>
          <cell r="E54">
            <v>6</v>
          </cell>
          <cell r="G54">
            <v>1080</v>
          </cell>
          <cell r="H54">
            <v>1080</v>
          </cell>
          <cell r="I54">
            <v>0</v>
          </cell>
          <cell r="J54">
            <v>120</v>
          </cell>
          <cell r="K54">
            <v>120</v>
          </cell>
          <cell r="L54">
            <v>108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1150</v>
          </cell>
          <cell r="T54">
            <v>1893</v>
          </cell>
          <cell r="U54">
            <v>247</v>
          </cell>
          <cell r="V54">
            <v>0</v>
          </cell>
          <cell r="W54">
            <v>0</v>
          </cell>
        </row>
        <row r="55">
          <cell r="A55" t="str">
            <v>453473</v>
          </cell>
          <cell r="B55" t="str">
            <v>1251</v>
          </cell>
          <cell r="C55" t="str">
            <v>12</v>
          </cell>
          <cell r="D55" t="str">
            <v>05</v>
          </cell>
          <cell r="E55">
            <v>11</v>
          </cell>
          <cell r="G55">
            <v>0</v>
          </cell>
          <cell r="H55">
            <v>5534</v>
          </cell>
          <cell r="I55">
            <v>5533</v>
          </cell>
          <cell r="J55">
            <v>0</v>
          </cell>
          <cell r="K55">
            <v>0</v>
          </cell>
          <cell r="L55">
            <v>0</v>
          </cell>
          <cell r="M55">
            <v>1270</v>
          </cell>
          <cell r="N55">
            <v>7547</v>
          </cell>
          <cell r="O55">
            <v>5888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A56" t="str">
            <v>453473</v>
          </cell>
          <cell r="B56" t="str">
            <v>1251</v>
          </cell>
          <cell r="C56" t="str">
            <v>12</v>
          </cell>
          <cell r="D56" t="str">
            <v>05</v>
          </cell>
          <cell r="E56">
            <v>16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453473</v>
          </cell>
          <cell r="B57" t="str">
            <v>1251</v>
          </cell>
          <cell r="C57" t="str">
            <v>12</v>
          </cell>
          <cell r="D57" t="str">
            <v>05</v>
          </cell>
          <cell r="E57">
            <v>21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A58" t="str">
            <v>453473</v>
          </cell>
          <cell r="B58" t="str">
            <v>1251</v>
          </cell>
          <cell r="C58" t="str">
            <v>12</v>
          </cell>
          <cell r="D58" t="str">
            <v>05</v>
          </cell>
          <cell r="E58">
            <v>26</v>
          </cell>
          <cell r="G58">
            <v>0</v>
          </cell>
          <cell r="H58">
            <v>0</v>
          </cell>
          <cell r="I58">
            <v>0</v>
          </cell>
          <cell r="J58">
            <v>254</v>
          </cell>
          <cell r="K58">
            <v>1192</v>
          </cell>
          <cell r="L58">
            <v>969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A59" t="str">
            <v>453473</v>
          </cell>
          <cell r="B59" t="str">
            <v>1251</v>
          </cell>
          <cell r="C59" t="str">
            <v>12</v>
          </cell>
          <cell r="D59" t="str">
            <v>05</v>
          </cell>
          <cell r="E59">
            <v>31</v>
          </cell>
          <cell r="G59">
            <v>0</v>
          </cell>
          <cell r="H59">
            <v>0</v>
          </cell>
          <cell r="I59">
            <v>0</v>
          </cell>
          <cell r="J59">
            <v>254</v>
          </cell>
          <cell r="K59">
            <v>1192</v>
          </cell>
          <cell r="L59">
            <v>969</v>
          </cell>
          <cell r="M59">
            <v>1524</v>
          </cell>
          <cell r="N59">
            <v>8739</v>
          </cell>
          <cell r="O59">
            <v>6857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A60" t="str">
            <v>453473</v>
          </cell>
          <cell r="B60" t="str">
            <v>1251</v>
          </cell>
          <cell r="C60" t="str">
            <v>12</v>
          </cell>
          <cell r="D60" t="str">
            <v>05</v>
          </cell>
          <cell r="E60">
            <v>36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1524</v>
          </cell>
          <cell r="Q60">
            <v>8739</v>
          </cell>
          <cell r="R60">
            <v>6857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A61" t="str">
            <v>453473</v>
          </cell>
          <cell r="B61" t="str">
            <v>1251</v>
          </cell>
          <cell r="C61" t="str">
            <v>12</v>
          </cell>
          <cell r="D61" t="str">
            <v>06</v>
          </cell>
          <cell r="E61">
            <v>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453473</v>
          </cell>
          <cell r="B62" t="str">
            <v>1251</v>
          </cell>
          <cell r="C62" t="str">
            <v>12</v>
          </cell>
          <cell r="D62" t="str">
            <v>06</v>
          </cell>
          <cell r="E62">
            <v>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A63" t="str">
            <v>453473</v>
          </cell>
          <cell r="B63" t="str">
            <v>1251</v>
          </cell>
          <cell r="C63" t="str">
            <v>12</v>
          </cell>
          <cell r="D63" t="str">
            <v>06</v>
          </cell>
          <cell r="E63">
            <v>11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A64" t="str">
            <v>453473</v>
          </cell>
          <cell r="B64" t="str">
            <v>1251</v>
          </cell>
          <cell r="C64" t="str">
            <v>12</v>
          </cell>
          <cell r="D64" t="str">
            <v>06</v>
          </cell>
          <cell r="E64">
            <v>16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A65" t="str">
            <v>453473</v>
          </cell>
          <cell r="B65" t="str">
            <v>1251</v>
          </cell>
          <cell r="C65" t="str">
            <v>12</v>
          </cell>
          <cell r="D65" t="str">
            <v>06</v>
          </cell>
          <cell r="E65">
            <v>21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A66" t="str">
            <v>453473</v>
          </cell>
          <cell r="B66" t="str">
            <v>1251</v>
          </cell>
          <cell r="C66" t="str">
            <v>12</v>
          </cell>
          <cell r="D66" t="str">
            <v>06</v>
          </cell>
          <cell r="E66">
            <v>26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A67" t="str">
            <v>453473</v>
          </cell>
          <cell r="B67" t="str">
            <v>1251</v>
          </cell>
          <cell r="C67" t="str">
            <v>12</v>
          </cell>
          <cell r="D67" t="str">
            <v>06</v>
          </cell>
          <cell r="E67">
            <v>31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A68" t="str">
            <v>453473</v>
          </cell>
          <cell r="B68" t="str">
            <v>1251</v>
          </cell>
          <cell r="C68" t="str">
            <v>12</v>
          </cell>
          <cell r="D68" t="str">
            <v>06</v>
          </cell>
          <cell r="E68">
            <v>36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A69" t="str">
            <v>453473</v>
          </cell>
          <cell r="B69" t="str">
            <v>1251</v>
          </cell>
          <cell r="C69" t="str">
            <v>12</v>
          </cell>
          <cell r="D69" t="str">
            <v>06</v>
          </cell>
          <cell r="E69">
            <v>41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A70" t="str">
            <v>453473</v>
          </cell>
          <cell r="B70" t="str">
            <v>1251</v>
          </cell>
          <cell r="C70" t="str">
            <v>12</v>
          </cell>
          <cell r="D70" t="str">
            <v>06</v>
          </cell>
          <cell r="E70">
            <v>46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A71" t="str">
            <v>453473</v>
          </cell>
          <cell r="B71" t="str">
            <v>1251</v>
          </cell>
          <cell r="C71" t="str">
            <v>12</v>
          </cell>
          <cell r="D71" t="str">
            <v>06</v>
          </cell>
          <cell r="E71">
            <v>51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A72" t="str">
            <v>453473</v>
          </cell>
          <cell r="B72" t="str">
            <v>1251</v>
          </cell>
          <cell r="C72" t="str">
            <v>12</v>
          </cell>
          <cell r="D72" t="str">
            <v>06</v>
          </cell>
          <cell r="E72">
            <v>56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A73" t="str">
            <v>453473</v>
          </cell>
          <cell r="B73" t="str">
            <v>1251</v>
          </cell>
          <cell r="C73" t="str">
            <v>12</v>
          </cell>
          <cell r="D73" t="str">
            <v>06</v>
          </cell>
          <cell r="E73">
            <v>61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453473</v>
          </cell>
          <cell r="B74" t="str">
            <v>1251</v>
          </cell>
          <cell r="C74" t="str">
            <v>12</v>
          </cell>
          <cell r="D74" t="str">
            <v>06</v>
          </cell>
          <cell r="E74">
            <v>66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A75" t="str">
            <v>453473</v>
          </cell>
          <cell r="B75" t="str">
            <v>1251</v>
          </cell>
          <cell r="C75" t="str">
            <v>12</v>
          </cell>
          <cell r="D75" t="str">
            <v>06</v>
          </cell>
          <cell r="E75">
            <v>71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 t="str">
            <v>453473</v>
          </cell>
          <cell r="B76" t="str">
            <v>1251</v>
          </cell>
          <cell r="C76" t="str">
            <v>12</v>
          </cell>
          <cell r="D76" t="str">
            <v>06</v>
          </cell>
          <cell r="E76">
            <v>76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 t="str">
            <v>453473</v>
          </cell>
          <cell r="B77" t="str">
            <v>1251</v>
          </cell>
          <cell r="C77" t="str">
            <v>12</v>
          </cell>
          <cell r="D77" t="str">
            <v>06</v>
          </cell>
          <cell r="E77">
            <v>81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A78" t="str">
            <v>453473</v>
          </cell>
          <cell r="B78" t="str">
            <v>1251</v>
          </cell>
          <cell r="C78" t="str">
            <v>12</v>
          </cell>
          <cell r="D78" t="str">
            <v>06</v>
          </cell>
          <cell r="E78">
            <v>86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453473</v>
          </cell>
          <cell r="B79" t="str">
            <v>1251</v>
          </cell>
          <cell r="C79" t="str">
            <v>12</v>
          </cell>
          <cell r="D79" t="str">
            <v>06</v>
          </cell>
          <cell r="E79">
            <v>91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 t="str">
            <v>453473</v>
          </cell>
          <cell r="B80" t="str">
            <v>1251</v>
          </cell>
          <cell r="C80" t="str">
            <v>12</v>
          </cell>
          <cell r="D80" t="str">
            <v>06</v>
          </cell>
          <cell r="E80">
            <v>96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 t="str">
            <v>453473</v>
          </cell>
          <cell r="B81" t="str">
            <v>1251</v>
          </cell>
          <cell r="C81" t="str">
            <v>12</v>
          </cell>
          <cell r="D81" t="str">
            <v>06</v>
          </cell>
          <cell r="E81">
            <v>101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A82" t="str">
            <v>453473</v>
          </cell>
          <cell r="B82" t="str">
            <v>1251</v>
          </cell>
          <cell r="C82" t="str">
            <v>12</v>
          </cell>
          <cell r="D82" t="str">
            <v>06</v>
          </cell>
          <cell r="E82">
            <v>106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-24</v>
          </cell>
          <cell r="M82">
            <v>0</v>
          </cell>
          <cell r="N82">
            <v>0</v>
          </cell>
          <cell r="O82">
            <v>-280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-304</v>
          </cell>
          <cell r="V82">
            <v>0</v>
          </cell>
          <cell r="W82">
            <v>0</v>
          </cell>
        </row>
        <row r="83">
          <cell r="A83" t="str">
            <v>453473</v>
          </cell>
          <cell r="B83" t="str">
            <v>1251</v>
          </cell>
          <cell r="C83" t="str">
            <v>12</v>
          </cell>
          <cell r="D83" t="str">
            <v>07</v>
          </cell>
          <cell r="E83">
            <v>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 t="str">
            <v>453473</v>
          </cell>
          <cell r="B84" t="str">
            <v>1251</v>
          </cell>
          <cell r="C84" t="str">
            <v>12</v>
          </cell>
          <cell r="D84" t="str">
            <v>07</v>
          </cell>
          <cell r="E84">
            <v>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11112</v>
          </cell>
          <cell r="L84">
            <v>12902</v>
          </cell>
          <cell r="M84">
            <v>12847</v>
          </cell>
          <cell r="N84">
            <v>0</v>
          </cell>
          <cell r="O84">
            <v>250</v>
          </cell>
          <cell r="P84">
            <v>720</v>
          </cell>
          <cell r="Q84">
            <v>721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 t="str">
            <v>453473</v>
          </cell>
          <cell r="B85" t="str">
            <v>1251</v>
          </cell>
          <cell r="C85" t="str">
            <v>12</v>
          </cell>
          <cell r="D85" t="str">
            <v>07</v>
          </cell>
          <cell r="E85">
            <v>9</v>
          </cell>
          <cell r="G85">
            <v>1532</v>
          </cell>
          <cell r="H85">
            <v>1932</v>
          </cell>
          <cell r="I85">
            <v>1689</v>
          </cell>
          <cell r="J85">
            <v>0</v>
          </cell>
          <cell r="K85">
            <v>9923</v>
          </cell>
          <cell r="L85">
            <v>8723</v>
          </cell>
          <cell r="M85">
            <v>8709</v>
          </cell>
          <cell r="N85">
            <v>0</v>
          </cell>
          <cell r="O85">
            <v>1056</v>
          </cell>
          <cell r="P85">
            <v>1056</v>
          </cell>
          <cell r="Q85">
            <v>1118</v>
          </cell>
          <cell r="R85">
            <v>0</v>
          </cell>
          <cell r="S85">
            <v>0</v>
          </cell>
          <cell r="T85">
            <v>0</v>
          </cell>
          <cell r="U85">
            <v>243</v>
          </cell>
          <cell r="V85">
            <v>0</v>
          </cell>
          <cell r="W85">
            <v>0</v>
          </cell>
        </row>
        <row r="86">
          <cell r="A86" t="str">
            <v>453473</v>
          </cell>
          <cell r="B86" t="str">
            <v>1251</v>
          </cell>
          <cell r="C86" t="str">
            <v>12</v>
          </cell>
          <cell r="D86" t="str">
            <v>07</v>
          </cell>
          <cell r="E86">
            <v>13</v>
          </cell>
          <cell r="G86">
            <v>0</v>
          </cell>
          <cell r="H86">
            <v>0</v>
          </cell>
          <cell r="I86">
            <v>5</v>
          </cell>
          <cell r="J86">
            <v>0</v>
          </cell>
          <cell r="K86">
            <v>23873</v>
          </cell>
          <cell r="L86">
            <v>25333</v>
          </cell>
          <cell r="M86">
            <v>25332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 t="str">
            <v>453473</v>
          </cell>
          <cell r="B87" t="str">
            <v>1251</v>
          </cell>
          <cell r="C87" t="str">
            <v>12</v>
          </cell>
          <cell r="D87" t="str">
            <v>07</v>
          </cell>
          <cell r="E87">
            <v>17</v>
          </cell>
          <cell r="G87">
            <v>3364</v>
          </cell>
          <cell r="H87">
            <v>3884</v>
          </cell>
          <cell r="I87">
            <v>3893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3364</v>
          </cell>
          <cell r="P87">
            <v>3884</v>
          </cell>
          <cell r="Q87">
            <v>3893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 t="str">
            <v>453473</v>
          </cell>
          <cell r="B88" t="str">
            <v>1251</v>
          </cell>
          <cell r="C88" t="str">
            <v>12</v>
          </cell>
          <cell r="D88" t="str">
            <v>07</v>
          </cell>
          <cell r="E88">
            <v>21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 t="str">
            <v>453473</v>
          </cell>
          <cell r="B89" t="str">
            <v>1251</v>
          </cell>
          <cell r="C89" t="str">
            <v>12</v>
          </cell>
          <cell r="D89" t="str">
            <v>07</v>
          </cell>
          <cell r="E89">
            <v>25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453473</v>
          </cell>
          <cell r="B90" t="str">
            <v>1251</v>
          </cell>
          <cell r="C90" t="str">
            <v>12</v>
          </cell>
          <cell r="D90" t="str">
            <v>07</v>
          </cell>
          <cell r="E90">
            <v>29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27237</v>
          </cell>
          <cell r="P90">
            <v>29217</v>
          </cell>
          <cell r="Q90">
            <v>29225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A91" t="str">
            <v>453473</v>
          </cell>
          <cell r="B91" t="str">
            <v>1251</v>
          </cell>
          <cell r="C91" t="str">
            <v>12</v>
          </cell>
          <cell r="D91" t="str">
            <v>08</v>
          </cell>
          <cell r="E91">
            <v>1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453473</v>
          </cell>
          <cell r="B92" t="str">
            <v>1251</v>
          </cell>
          <cell r="C92" t="str">
            <v>12</v>
          </cell>
          <cell r="D92" t="str">
            <v>08</v>
          </cell>
          <cell r="E92">
            <v>6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A93" t="str">
            <v>453473</v>
          </cell>
          <cell r="B93" t="str">
            <v>1251</v>
          </cell>
          <cell r="C93" t="str">
            <v>12</v>
          </cell>
          <cell r="D93" t="str">
            <v>08</v>
          </cell>
          <cell r="E93">
            <v>11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453473</v>
          </cell>
          <cell r="B94" t="str">
            <v>1251</v>
          </cell>
          <cell r="C94" t="str">
            <v>12</v>
          </cell>
          <cell r="D94" t="str">
            <v>08</v>
          </cell>
          <cell r="E94">
            <v>16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208</v>
          </cell>
          <cell r="O94">
            <v>208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A95" t="str">
            <v>453473</v>
          </cell>
          <cell r="B95" t="str">
            <v>1251</v>
          </cell>
          <cell r="C95" t="str">
            <v>12</v>
          </cell>
          <cell r="D95" t="str">
            <v>08</v>
          </cell>
          <cell r="E95">
            <v>21</v>
          </cell>
          <cell r="G95">
            <v>0</v>
          </cell>
          <cell r="H95">
            <v>208</v>
          </cell>
          <cell r="I95">
            <v>208</v>
          </cell>
          <cell r="J95">
            <v>0</v>
          </cell>
          <cell r="K95">
            <v>208</v>
          </cell>
          <cell r="L95">
            <v>208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>453473</v>
          </cell>
          <cell r="B96" t="str">
            <v>1251</v>
          </cell>
          <cell r="C96" t="str">
            <v>12</v>
          </cell>
          <cell r="D96" t="str">
            <v>09</v>
          </cell>
          <cell r="E96">
            <v>1</v>
          </cell>
          <cell r="G96">
            <v>144511</v>
          </cell>
          <cell r="H96">
            <v>147662</v>
          </cell>
          <cell r="I96">
            <v>135382</v>
          </cell>
          <cell r="J96">
            <v>2604</v>
          </cell>
          <cell r="K96">
            <v>9611</v>
          </cell>
          <cell r="L96">
            <v>6649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147115</v>
          </cell>
          <cell r="T96">
            <v>157273</v>
          </cell>
          <cell r="U96">
            <v>142031</v>
          </cell>
          <cell r="V96">
            <v>0</v>
          </cell>
          <cell r="W96">
            <v>0</v>
          </cell>
        </row>
        <row r="97">
          <cell r="A97" t="str">
            <v>453473</v>
          </cell>
          <cell r="B97" t="str">
            <v>1251</v>
          </cell>
          <cell r="C97" t="str">
            <v>12</v>
          </cell>
          <cell r="D97" t="str">
            <v>09</v>
          </cell>
          <cell r="E97">
            <v>6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563</v>
          </cell>
          <cell r="L97">
            <v>563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A98" t="str">
            <v>453473</v>
          </cell>
          <cell r="B98" t="str">
            <v>1251</v>
          </cell>
          <cell r="C98" t="str">
            <v>12</v>
          </cell>
          <cell r="D98" t="str">
            <v>09</v>
          </cell>
          <cell r="E98">
            <v>11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563</v>
          </cell>
          <cell r="R98">
            <v>563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A99" t="str">
            <v>453473</v>
          </cell>
          <cell r="B99" t="str">
            <v>1251</v>
          </cell>
          <cell r="C99" t="str">
            <v>12</v>
          </cell>
          <cell r="D99" t="str">
            <v>09</v>
          </cell>
          <cell r="E99">
            <v>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0">
          <cell r="A100" t="str">
            <v>453473</v>
          </cell>
          <cell r="B100" t="str">
            <v>1251</v>
          </cell>
          <cell r="C100" t="str">
            <v>12</v>
          </cell>
          <cell r="D100" t="str">
            <v>09</v>
          </cell>
          <cell r="E100">
            <v>21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563</v>
          </cell>
          <cell r="L100">
            <v>563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A101" t="str">
            <v>453473</v>
          </cell>
          <cell r="B101" t="str">
            <v>1251</v>
          </cell>
          <cell r="C101" t="str">
            <v>12</v>
          </cell>
          <cell r="D101" t="str">
            <v>09</v>
          </cell>
          <cell r="E101">
            <v>26</v>
          </cell>
          <cell r="G101">
            <v>0</v>
          </cell>
          <cell r="H101">
            <v>0</v>
          </cell>
          <cell r="I101">
            <v>0</v>
          </cell>
          <cell r="J101">
            <v>147115</v>
          </cell>
          <cell r="K101">
            <v>157836</v>
          </cell>
          <cell r="L101">
            <v>142594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A102" t="str">
            <v>453473</v>
          </cell>
          <cell r="B102" t="str">
            <v>1251</v>
          </cell>
          <cell r="C102" t="str">
            <v>12</v>
          </cell>
          <cell r="D102" t="str">
            <v>10</v>
          </cell>
          <cell r="E102">
            <v>1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453473</v>
          </cell>
          <cell r="B103" t="str">
            <v>1251</v>
          </cell>
          <cell r="C103" t="str">
            <v>12</v>
          </cell>
          <cell r="D103" t="str">
            <v>10</v>
          </cell>
          <cell r="E103">
            <v>6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A104" t="str">
            <v>453473</v>
          </cell>
          <cell r="B104" t="str">
            <v>1251</v>
          </cell>
          <cell r="C104" t="str">
            <v>12</v>
          </cell>
          <cell r="D104" t="str">
            <v>10</v>
          </cell>
          <cell r="E104">
            <v>11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453473</v>
          </cell>
          <cell r="B105" t="str">
            <v>1251</v>
          </cell>
          <cell r="C105" t="str">
            <v>12</v>
          </cell>
          <cell r="D105" t="str">
            <v>10</v>
          </cell>
          <cell r="E105">
            <v>16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A106" t="str">
            <v>453473</v>
          </cell>
          <cell r="B106" t="str">
            <v>1251</v>
          </cell>
          <cell r="C106" t="str">
            <v>12</v>
          </cell>
          <cell r="D106" t="str">
            <v>10</v>
          </cell>
          <cell r="E106">
            <v>21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453473</v>
          </cell>
          <cell r="B107" t="str">
            <v>1251</v>
          </cell>
          <cell r="C107" t="str">
            <v>12</v>
          </cell>
          <cell r="D107" t="str">
            <v>10</v>
          </cell>
          <cell r="E107">
            <v>26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A108" t="str">
            <v>453473</v>
          </cell>
          <cell r="B108" t="str">
            <v>1251</v>
          </cell>
          <cell r="C108" t="str">
            <v>12</v>
          </cell>
          <cell r="D108" t="str">
            <v>10</v>
          </cell>
          <cell r="E108">
            <v>31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A109" t="str">
            <v>453473</v>
          </cell>
          <cell r="B109" t="str">
            <v>1251</v>
          </cell>
          <cell r="C109" t="str">
            <v>12</v>
          </cell>
          <cell r="D109" t="str">
            <v>10</v>
          </cell>
          <cell r="E109">
            <v>36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A110" t="str">
            <v>453473</v>
          </cell>
          <cell r="B110" t="str">
            <v>1251</v>
          </cell>
          <cell r="C110" t="str">
            <v>12</v>
          </cell>
          <cell r="D110" t="str">
            <v>10</v>
          </cell>
          <cell r="E110">
            <v>41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</row>
        <row r="111">
          <cell r="A111" t="str">
            <v>453473</v>
          </cell>
          <cell r="B111" t="str">
            <v>1251</v>
          </cell>
          <cell r="C111" t="str">
            <v>12</v>
          </cell>
          <cell r="D111" t="str">
            <v>10</v>
          </cell>
          <cell r="E111">
            <v>46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</row>
        <row r="112">
          <cell r="A112" t="str">
            <v>453473</v>
          </cell>
          <cell r="B112" t="str">
            <v>1251</v>
          </cell>
          <cell r="C112" t="str">
            <v>12</v>
          </cell>
          <cell r="D112" t="str">
            <v>10</v>
          </cell>
          <cell r="E112">
            <v>51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A113" t="str">
            <v>453473</v>
          </cell>
          <cell r="B113" t="str">
            <v>1251</v>
          </cell>
          <cell r="C113" t="str">
            <v>12</v>
          </cell>
          <cell r="D113" t="str">
            <v>10</v>
          </cell>
          <cell r="E113">
            <v>56</v>
          </cell>
          <cell r="G113">
            <v>0</v>
          </cell>
          <cell r="H113">
            <v>389</v>
          </cell>
          <cell r="I113">
            <v>389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389</v>
          </cell>
          <cell r="R113">
            <v>389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4">
          <cell r="A114" t="str">
            <v>453473</v>
          </cell>
          <cell r="B114" t="str">
            <v>1251</v>
          </cell>
          <cell r="C114" t="str">
            <v>12</v>
          </cell>
          <cell r="D114" t="str">
            <v>10</v>
          </cell>
          <cell r="E114">
            <v>61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A115" t="str">
            <v>453473</v>
          </cell>
          <cell r="B115" t="str">
            <v>1251</v>
          </cell>
          <cell r="C115" t="str">
            <v>12</v>
          </cell>
          <cell r="D115" t="str">
            <v>10</v>
          </cell>
          <cell r="E115">
            <v>66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A116" t="str">
            <v>453473</v>
          </cell>
          <cell r="B116" t="str">
            <v>1251</v>
          </cell>
          <cell r="C116" t="str">
            <v>12</v>
          </cell>
          <cell r="D116" t="str">
            <v>10</v>
          </cell>
          <cell r="E116">
            <v>71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A117" t="str">
            <v>453473</v>
          </cell>
          <cell r="B117" t="str">
            <v>1251</v>
          </cell>
          <cell r="C117" t="str">
            <v>12</v>
          </cell>
          <cell r="D117" t="str">
            <v>10</v>
          </cell>
          <cell r="E117">
            <v>76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A118" t="str">
            <v>453473</v>
          </cell>
          <cell r="B118" t="str">
            <v>1251</v>
          </cell>
          <cell r="C118" t="str">
            <v>12</v>
          </cell>
          <cell r="D118" t="str">
            <v>10</v>
          </cell>
          <cell r="E118">
            <v>81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A119" t="str">
            <v>453473</v>
          </cell>
          <cell r="B119" t="str">
            <v>1251</v>
          </cell>
          <cell r="C119" t="str">
            <v>12</v>
          </cell>
          <cell r="D119" t="str">
            <v>10</v>
          </cell>
          <cell r="E119">
            <v>86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A120" t="str">
            <v>453473</v>
          </cell>
          <cell r="B120" t="str">
            <v>1251</v>
          </cell>
          <cell r="C120" t="str">
            <v>12</v>
          </cell>
          <cell r="D120" t="str">
            <v>10</v>
          </cell>
          <cell r="E120">
            <v>91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A121" t="str">
            <v>453473</v>
          </cell>
          <cell r="B121" t="str">
            <v>1251</v>
          </cell>
          <cell r="C121" t="str">
            <v>12</v>
          </cell>
          <cell r="D121" t="str">
            <v>10</v>
          </cell>
          <cell r="E121">
            <v>96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A122" t="str">
            <v>453473</v>
          </cell>
          <cell r="B122" t="str">
            <v>1251</v>
          </cell>
          <cell r="C122" t="str">
            <v>12</v>
          </cell>
          <cell r="D122" t="str">
            <v>10</v>
          </cell>
          <cell r="E122">
            <v>101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A123" t="str">
            <v>453473</v>
          </cell>
          <cell r="B123" t="str">
            <v>1251</v>
          </cell>
          <cell r="C123" t="str">
            <v>12</v>
          </cell>
          <cell r="D123" t="str">
            <v>10</v>
          </cell>
          <cell r="E123">
            <v>106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A124" t="str">
            <v>453473</v>
          </cell>
          <cell r="B124" t="str">
            <v>1251</v>
          </cell>
          <cell r="C124" t="str">
            <v>12</v>
          </cell>
          <cell r="D124" t="str">
            <v>10</v>
          </cell>
          <cell r="E124">
            <v>111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389</v>
          </cell>
          <cell r="L124">
            <v>389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A125" t="str">
            <v>453473</v>
          </cell>
          <cell r="B125" t="str">
            <v>1251</v>
          </cell>
          <cell r="C125" t="str">
            <v>12</v>
          </cell>
          <cell r="D125" t="str">
            <v>21</v>
          </cell>
          <cell r="E125">
            <v>1</v>
          </cell>
          <cell r="G125">
            <v>551315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6611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A126" t="str">
            <v>453473</v>
          </cell>
          <cell r="B126" t="str">
            <v>1251</v>
          </cell>
          <cell r="C126" t="str">
            <v>12</v>
          </cell>
          <cell r="D126" t="str">
            <v>21</v>
          </cell>
          <cell r="E126">
            <v>1</v>
          </cell>
          <cell r="G126">
            <v>552323</v>
          </cell>
          <cell r="H126">
            <v>157</v>
          </cell>
          <cell r="I126">
            <v>18</v>
          </cell>
          <cell r="J126">
            <v>0</v>
          </cell>
          <cell r="K126">
            <v>175</v>
          </cell>
          <cell r="L126">
            <v>57</v>
          </cell>
          <cell r="M126">
            <v>343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A127" t="str">
            <v>453473</v>
          </cell>
          <cell r="B127" t="str">
            <v>1251</v>
          </cell>
          <cell r="C127" t="str">
            <v>12</v>
          </cell>
          <cell r="D127" t="str">
            <v>21</v>
          </cell>
          <cell r="E127">
            <v>1</v>
          </cell>
          <cell r="G127">
            <v>552334</v>
          </cell>
          <cell r="H127">
            <v>8016</v>
          </cell>
          <cell r="I127">
            <v>938</v>
          </cell>
          <cell r="J127">
            <v>0</v>
          </cell>
          <cell r="K127">
            <v>8954</v>
          </cell>
          <cell r="L127">
            <v>2929</v>
          </cell>
          <cell r="M127">
            <v>17539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A128" t="str">
            <v>453473</v>
          </cell>
          <cell r="B128" t="str">
            <v>1251</v>
          </cell>
          <cell r="C128" t="str">
            <v>12</v>
          </cell>
          <cell r="D128" t="str">
            <v>21</v>
          </cell>
          <cell r="E128">
            <v>1</v>
          </cell>
          <cell r="G128">
            <v>751768</v>
          </cell>
          <cell r="H128">
            <v>16798</v>
          </cell>
          <cell r="I128">
            <v>3936</v>
          </cell>
          <cell r="J128">
            <v>454</v>
          </cell>
          <cell r="K128">
            <v>21188</v>
          </cell>
          <cell r="L128">
            <v>6881</v>
          </cell>
          <cell r="M128">
            <v>18829</v>
          </cell>
          <cell r="N128">
            <v>345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</row>
        <row r="129">
          <cell r="A129" t="str">
            <v>453473</v>
          </cell>
          <cell r="B129" t="str">
            <v>1251</v>
          </cell>
          <cell r="C129" t="str">
            <v>12</v>
          </cell>
          <cell r="D129" t="str">
            <v>21</v>
          </cell>
          <cell r="E129">
            <v>1</v>
          </cell>
          <cell r="G129">
            <v>751950</v>
          </cell>
          <cell r="H129">
            <v>2635</v>
          </cell>
          <cell r="I129">
            <v>308</v>
          </cell>
          <cell r="J129">
            <v>0</v>
          </cell>
          <cell r="K129">
            <v>2943</v>
          </cell>
          <cell r="L129">
            <v>963</v>
          </cell>
          <cell r="M129">
            <v>5781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A130" t="str">
            <v>453473</v>
          </cell>
          <cell r="B130" t="str">
            <v>1251</v>
          </cell>
          <cell r="C130" t="str">
            <v>12</v>
          </cell>
          <cell r="D130" t="str">
            <v>21</v>
          </cell>
          <cell r="E130">
            <v>1</v>
          </cell>
          <cell r="G130">
            <v>751952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441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A131" t="str">
            <v>453473</v>
          </cell>
          <cell r="B131" t="str">
            <v>1251</v>
          </cell>
          <cell r="C131" t="str">
            <v>12</v>
          </cell>
          <cell r="D131" t="str">
            <v>21</v>
          </cell>
          <cell r="E131">
            <v>1</v>
          </cell>
          <cell r="G131">
            <v>805124</v>
          </cell>
          <cell r="H131">
            <v>24616</v>
          </cell>
          <cell r="I131">
            <v>6134</v>
          </cell>
          <cell r="J131">
            <v>3152</v>
          </cell>
          <cell r="K131">
            <v>33902</v>
          </cell>
          <cell r="L131">
            <v>10773</v>
          </cell>
          <cell r="M131">
            <v>22125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</row>
        <row r="132">
          <cell r="A132" t="str">
            <v>453473</v>
          </cell>
          <cell r="B132" t="str">
            <v>1251</v>
          </cell>
          <cell r="C132" t="str">
            <v>12</v>
          </cell>
          <cell r="D132" t="str">
            <v>21</v>
          </cell>
          <cell r="E132">
            <v>1</v>
          </cell>
          <cell r="G132">
            <v>999999</v>
          </cell>
          <cell r="H132">
            <v>52222</v>
          </cell>
          <cell r="I132">
            <v>11334</v>
          </cell>
          <cell r="J132">
            <v>3606</v>
          </cell>
          <cell r="K132">
            <v>67162</v>
          </cell>
          <cell r="L132">
            <v>21603</v>
          </cell>
          <cell r="M132">
            <v>71669</v>
          </cell>
          <cell r="N132">
            <v>345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A133" t="str">
            <v>453473</v>
          </cell>
          <cell r="B133" t="str">
            <v>1251</v>
          </cell>
          <cell r="C133" t="str">
            <v>12</v>
          </cell>
          <cell r="D133" t="str">
            <v>21</v>
          </cell>
          <cell r="E133">
            <v>17</v>
          </cell>
          <cell r="G133">
            <v>551315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</row>
        <row r="134">
          <cell r="A134" t="str">
            <v>453473</v>
          </cell>
          <cell r="B134" t="str">
            <v>1251</v>
          </cell>
          <cell r="C134" t="str">
            <v>12</v>
          </cell>
          <cell r="D134" t="str">
            <v>21</v>
          </cell>
          <cell r="E134">
            <v>17</v>
          </cell>
          <cell r="G134">
            <v>552323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A135" t="str">
            <v>453473</v>
          </cell>
          <cell r="B135" t="str">
            <v>1251</v>
          </cell>
          <cell r="C135" t="str">
            <v>12</v>
          </cell>
          <cell r="D135" t="str">
            <v>21</v>
          </cell>
          <cell r="E135">
            <v>17</v>
          </cell>
          <cell r="G135">
            <v>552334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  <row r="136">
          <cell r="A136" t="str">
            <v>453473</v>
          </cell>
          <cell r="B136" t="str">
            <v>1251</v>
          </cell>
          <cell r="C136" t="str">
            <v>12</v>
          </cell>
          <cell r="D136" t="str">
            <v>21</v>
          </cell>
          <cell r="E136">
            <v>17</v>
          </cell>
          <cell r="G136">
            <v>751768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</row>
        <row r="137">
          <cell r="A137" t="str">
            <v>453473</v>
          </cell>
          <cell r="B137" t="str">
            <v>1251</v>
          </cell>
          <cell r="C137" t="str">
            <v>12</v>
          </cell>
          <cell r="D137" t="str">
            <v>21</v>
          </cell>
          <cell r="E137">
            <v>17</v>
          </cell>
          <cell r="G137">
            <v>751950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A138" t="str">
            <v>453473</v>
          </cell>
          <cell r="B138" t="str">
            <v>1251</v>
          </cell>
          <cell r="C138" t="str">
            <v>12</v>
          </cell>
          <cell r="D138" t="str">
            <v>21</v>
          </cell>
          <cell r="E138">
            <v>17</v>
          </cell>
          <cell r="G138">
            <v>751952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A139" t="str">
            <v>453473</v>
          </cell>
          <cell r="B139" t="str">
            <v>1251</v>
          </cell>
          <cell r="C139" t="str">
            <v>12</v>
          </cell>
          <cell r="D139" t="str">
            <v>21</v>
          </cell>
          <cell r="E139">
            <v>17</v>
          </cell>
          <cell r="G139">
            <v>805124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A140" t="str">
            <v>453473</v>
          </cell>
          <cell r="B140" t="str">
            <v>1251</v>
          </cell>
          <cell r="C140" t="str">
            <v>12</v>
          </cell>
          <cell r="D140" t="str">
            <v>21</v>
          </cell>
          <cell r="E140">
            <v>17</v>
          </cell>
          <cell r="G140">
            <v>999999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1">
          <cell r="A141" t="str">
            <v>453473</v>
          </cell>
          <cell r="B141" t="str">
            <v>1251</v>
          </cell>
          <cell r="C141" t="str">
            <v>12</v>
          </cell>
          <cell r="D141" t="str">
            <v>21</v>
          </cell>
          <cell r="E141">
            <v>33</v>
          </cell>
          <cell r="G141">
            <v>551315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A142" t="str">
            <v>453473</v>
          </cell>
          <cell r="B142" t="str">
            <v>1251</v>
          </cell>
          <cell r="C142" t="str">
            <v>12</v>
          </cell>
          <cell r="D142" t="str">
            <v>21</v>
          </cell>
          <cell r="E142">
            <v>33</v>
          </cell>
          <cell r="G142">
            <v>552323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A143" t="str">
            <v>453473</v>
          </cell>
          <cell r="B143" t="str">
            <v>1251</v>
          </cell>
          <cell r="C143" t="str">
            <v>12</v>
          </cell>
          <cell r="D143" t="str">
            <v>21</v>
          </cell>
          <cell r="E143">
            <v>33</v>
          </cell>
          <cell r="G143">
            <v>552334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A144" t="str">
            <v>453473</v>
          </cell>
          <cell r="B144" t="str">
            <v>1251</v>
          </cell>
          <cell r="C144" t="str">
            <v>12</v>
          </cell>
          <cell r="D144" t="str">
            <v>21</v>
          </cell>
          <cell r="E144">
            <v>33</v>
          </cell>
          <cell r="G144">
            <v>751768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</row>
        <row r="145">
          <cell r="A145" t="str">
            <v>453473</v>
          </cell>
          <cell r="B145" t="str">
            <v>1251</v>
          </cell>
          <cell r="C145" t="str">
            <v>12</v>
          </cell>
          <cell r="D145" t="str">
            <v>21</v>
          </cell>
          <cell r="E145">
            <v>33</v>
          </cell>
          <cell r="G145">
            <v>751950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</row>
        <row r="146">
          <cell r="A146" t="str">
            <v>453473</v>
          </cell>
          <cell r="B146" t="str">
            <v>1251</v>
          </cell>
          <cell r="C146" t="str">
            <v>12</v>
          </cell>
          <cell r="D146" t="str">
            <v>21</v>
          </cell>
          <cell r="E146">
            <v>33</v>
          </cell>
          <cell r="G146">
            <v>751952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</row>
        <row r="147">
          <cell r="A147" t="str">
            <v>453473</v>
          </cell>
          <cell r="B147" t="str">
            <v>1251</v>
          </cell>
          <cell r="C147" t="str">
            <v>12</v>
          </cell>
          <cell r="D147" t="str">
            <v>21</v>
          </cell>
          <cell r="E147">
            <v>33</v>
          </cell>
          <cell r="G147">
            <v>805124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</row>
        <row r="148">
          <cell r="A148" t="str">
            <v>453473</v>
          </cell>
          <cell r="B148" t="str">
            <v>1251</v>
          </cell>
          <cell r="C148" t="str">
            <v>12</v>
          </cell>
          <cell r="D148" t="str">
            <v>21</v>
          </cell>
          <cell r="E148">
            <v>33</v>
          </cell>
          <cell r="G148">
            <v>999999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  <row r="149">
          <cell r="A149" t="str">
            <v>453473</v>
          </cell>
          <cell r="B149" t="str">
            <v>1251</v>
          </cell>
          <cell r="C149" t="str">
            <v>12</v>
          </cell>
          <cell r="D149" t="str">
            <v>21</v>
          </cell>
          <cell r="E149">
            <v>49</v>
          </cell>
          <cell r="G149">
            <v>551315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108</v>
          </cell>
        </row>
        <row r="150">
          <cell r="A150" t="str">
            <v>453473</v>
          </cell>
          <cell r="B150" t="str">
            <v>1251</v>
          </cell>
          <cell r="C150" t="str">
            <v>12</v>
          </cell>
          <cell r="D150" t="str">
            <v>21</v>
          </cell>
          <cell r="E150">
            <v>49</v>
          </cell>
          <cell r="G150">
            <v>552323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</row>
        <row r="151">
          <cell r="A151" t="str">
            <v>453473</v>
          </cell>
          <cell r="B151" t="str">
            <v>1251</v>
          </cell>
          <cell r="C151" t="str">
            <v>12</v>
          </cell>
          <cell r="D151" t="str">
            <v>21</v>
          </cell>
          <cell r="E151">
            <v>49</v>
          </cell>
          <cell r="G151">
            <v>552334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</row>
        <row r="152">
          <cell r="A152" t="str">
            <v>453473</v>
          </cell>
          <cell r="B152" t="str">
            <v>1251</v>
          </cell>
          <cell r="C152" t="str">
            <v>12</v>
          </cell>
          <cell r="D152" t="str">
            <v>21</v>
          </cell>
          <cell r="E152">
            <v>49</v>
          </cell>
          <cell r="G152">
            <v>751768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A153" t="str">
            <v>453473</v>
          </cell>
          <cell r="B153" t="str">
            <v>1251</v>
          </cell>
          <cell r="C153" t="str">
            <v>12</v>
          </cell>
          <cell r="D153" t="str">
            <v>21</v>
          </cell>
          <cell r="E153">
            <v>49</v>
          </cell>
          <cell r="G153">
            <v>751950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</row>
        <row r="154">
          <cell r="A154" t="str">
            <v>453473</v>
          </cell>
          <cell r="B154" t="str">
            <v>1251</v>
          </cell>
          <cell r="C154" t="str">
            <v>12</v>
          </cell>
          <cell r="D154" t="str">
            <v>21</v>
          </cell>
          <cell r="E154">
            <v>49</v>
          </cell>
          <cell r="G154">
            <v>751952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A155" t="str">
            <v>453473</v>
          </cell>
          <cell r="B155" t="str">
            <v>1251</v>
          </cell>
          <cell r="C155" t="str">
            <v>12</v>
          </cell>
          <cell r="D155" t="str">
            <v>21</v>
          </cell>
          <cell r="E155">
            <v>49</v>
          </cell>
          <cell r="G155">
            <v>805124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4442</v>
          </cell>
          <cell r="V155">
            <v>0</v>
          </cell>
          <cell r="W155">
            <v>5780</v>
          </cell>
        </row>
        <row r="156">
          <cell r="A156" t="str">
            <v>453473</v>
          </cell>
          <cell r="B156" t="str">
            <v>1251</v>
          </cell>
          <cell r="C156" t="str">
            <v>12</v>
          </cell>
          <cell r="D156" t="str">
            <v>21</v>
          </cell>
          <cell r="E156">
            <v>49</v>
          </cell>
          <cell r="G156">
            <v>999999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4442</v>
          </cell>
          <cell r="V156">
            <v>0</v>
          </cell>
          <cell r="W156">
            <v>5888</v>
          </cell>
        </row>
        <row r="157">
          <cell r="A157" t="str">
            <v>453473</v>
          </cell>
          <cell r="B157" t="str">
            <v>1251</v>
          </cell>
          <cell r="C157" t="str">
            <v>12</v>
          </cell>
          <cell r="D157" t="str">
            <v>21</v>
          </cell>
          <cell r="E157">
            <v>65</v>
          </cell>
          <cell r="G157">
            <v>551315</v>
          </cell>
          <cell r="H157">
            <v>0</v>
          </cell>
          <cell r="I157">
            <v>22</v>
          </cell>
          <cell r="J157">
            <v>0</v>
          </cell>
          <cell r="K157">
            <v>0</v>
          </cell>
          <cell r="L157">
            <v>6741</v>
          </cell>
          <cell r="M157">
            <v>0</v>
          </cell>
          <cell r="N157">
            <v>6741</v>
          </cell>
          <cell r="O157">
            <v>0</v>
          </cell>
          <cell r="P157">
            <v>6741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</row>
        <row r="158">
          <cell r="A158" t="str">
            <v>453473</v>
          </cell>
          <cell r="B158" t="str">
            <v>1251</v>
          </cell>
          <cell r="C158" t="str">
            <v>12</v>
          </cell>
          <cell r="D158" t="str">
            <v>21</v>
          </cell>
          <cell r="E158">
            <v>65</v>
          </cell>
          <cell r="G158">
            <v>552323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575</v>
          </cell>
          <cell r="M158">
            <v>0</v>
          </cell>
          <cell r="N158">
            <v>575</v>
          </cell>
          <cell r="O158">
            <v>0</v>
          </cell>
          <cell r="P158">
            <v>575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</row>
        <row r="159">
          <cell r="A159" t="str">
            <v>453473</v>
          </cell>
          <cell r="B159" t="str">
            <v>1251</v>
          </cell>
          <cell r="C159" t="str">
            <v>12</v>
          </cell>
          <cell r="D159" t="str">
            <v>21</v>
          </cell>
          <cell r="E159">
            <v>65</v>
          </cell>
          <cell r="G159">
            <v>552334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29422</v>
          </cell>
          <cell r="M159">
            <v>0</v>
          </cell>
          <cell r="N159">
            <v>29422</v>
          </cell>
          <cell r="O159">
            <v>0</v>
          </cell>
          <cell r="P159">
            <v>29422</v>
          </cell>
          <cell r="Q159">
            <v>9</v>
          </cell>
          <cell r="R159">
            <v>9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A160" t="str">
            <v>453473</v>
          </cell>
          <cell r="B160" t="str">
            <v>1251</v>
          </cell>
          <cell r="C160" t="str">
            <v>12</v>
          </cell>
          <cell r="D160" t="str">
            <v>21</v>
          </cell>
          <cell r="E160">
            <v>65</v>
          </cell>
          <cell r="G160">
            <v>751768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47243</v>
          </cell>
          <cell r="M160">
            <v>0</v>
          </cell>
          <cell r="N160">
            <v>47243</v>
          </cell>
          <cell r="O160">
            <v>0</v>
          </cell>
          <cell r="P160">
            <v>47243</v>
          </cell>
          <cell r="Q160">
            <v>14</v>
          </cell>
          <cell r="R160">
            <v>14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A161" t="str">
            <v>453473</v>
          </cell>
          <cell r="B161" t="str">
            <v>1251</v>
          </cell>
          <cell r="C161" t="str">
            <v>12</v>
          </cell>
          <cell r="D161" t="str">
            <v>21</v>
          </cell>
          <cell r="E161">
            <v>65</v>
          </cell>
          <cell r="G161">
            <v>751950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9687</v>
          </cell>
          <cell r="M161">
            <v>0</v>
          </cell>
          <cell r="N161">
            <v>9687</v>
          </cell>
          <cell r="O161">
            <v>0</v>
          </cell>
          <cell r="P161">
            <v>9687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</row>
        <row r="162">
          <cell r="A162" t="str">
            <v>453473</v>
          </cell>
          <cell r="B162" t="str">
            <v>1251</v>
          </cell>
          <cell r="C162" t="str">
            <v>12</v>
          </cell>
          <cell r="D162" t="str">
            <v>21</v>
          </cell>
          <cell r="E162">
            <v>65</v>
          </cell>
          <cell r="G162">
            <v>751952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441</v>
          </cell>
          <cell r="M162">
            <v>0</v>
          </cell>
          <cell r="N162">
            <v>441</v>
          </cell>
          <cell r="O162">
            <v>0</v>
          </cell>
          <cell r="P162">
            <v>441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A163" t="str">
            <v>453473</v>
          </cell>
          <cell r="B163" t="str">
            <v>1251</v>
          </cell>
          <cell r="C163" t="str">
            <v>12</v>
          </cell>
          <cell r="D163" t="str">
            <v>21</v>
          </cell>
          <cell r="E163">
            <v>65</v>
          </cell>
          <cell r="G163">
            <v>805124</v>
          </cell>
          <cell r="H163">
            <v>0</v>
          </cell>
          <cell r="I163">
            <v>947</v>
          </cell>
          <cell r="J163">
            <v>0</v>
          </cell>
          <cell r="K163">
            <v>0</v>
          </cell>
          <cell r="L163">
            <v>77969</v>
          </cell>
          <cell r="M163">
            <v>0</v>
          </cell>
          <cell r="N163">
            <v>77969</v>
          </cell>
          <cell r="O163">
            <v>0</v>
          </cell>
          <cell r="P163">
            <v>77969</v>
          </cell>
          <cell r="Q163">
            <v>0</v>
          </cell>
          <cell r="R163">
            <v>0</v>
          </cell>
          <cell r="S163">
            <v>10</v>
          </cell>
          <cell r="T163">
            <v>10</v>
          </cell>
          <cell r="U163">
            <v>0</v>
          </cell>
          <cell r="V163">
            <v>0</v>
          </cell>
          <cell r="W163">
            <v>0</v>
          </cell>
        </row>
        <row r="164">
          <cell r="A164" t="str">
            <v>453473</v>
          </cell>
          <cell r="B164" t="str">
            <v>1251</v>
          </cell>
          <cell r="C164" t="str">
            <v>12</v>
          </cell>
          <cell r="D164" t="str">
            <v>21</v>
          </cell>
          <cell r="E164">
            <v>65</v>
          </cell>
          <cell r="G164">
            <v>999999</v>
          </cell>
          <cell r="H164">
            <v>0</v>
          </cell>
          <cell r="I164">
            <v>969</v>
          </cell>
          <cell r="J164">
            <v>0</v>
          </cell>
          <cell r="K164">
            <v>0</v>
          </cell>
          <cell r="L164">
            <v>172078</v>
          </cell>
          <cell r="M164">
            <v>0</v>
          </cell>
          <cell r="N164">
            <v>172078</v>
          </cell>
          <cell r="O164">
            <v>0</v>
          </cell>
          <cell r="P164">
            <v>172078</v>
          </cell>
          <cell r="Q164">
            <v>23</v>
          </cell>
          <cell r="R164">
            <v>23</v>
          </cell>
          <cell r="S164">
            <v>10</v>
          </cell>
          <cell r="T164">
            <v>10</v>
          </cell>
          <cell r="U164">
            <v>0</v>
          </cell>
          <cell r="V164">
            <v>0</v>
          </cell>
          <cell r="W164">
            <v>0</v>
          </cell>
        </row>
        <row r="165">
          <cell r="A165" t="str">
            <v>453473</v>
          </cell>
          <cell r="B165" t="str">
            <v>1251</v>
          </cell>
          <cell r="C165" t="str">
            <v>12</v>
          </cell>
          <cell r="D165" t="str">
            <v>22</v>
          </cell>
          <cell r="E165">
            <v>1</v>
          </cell>
          <cell r="G165">
            <v>552323</v>
          </cell>
          <cell r="H165">
            <v>0</v>
          </cell>
          <cell r="I165">
            <v>208</v>
          </cell>
          <cell r="J165">
            <v>35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A166" t="str">
            <v>453473</v>
          </cell>
          <cell r="B166" t="str">
            <v>1251</v>
          </cell>
          <cell r="C166" t="str">
            <v>12</v>
          </cell>
          <cell r="D166" t="str">
            <v>22</v>
          </cell>
          <cell r="E166">
            <v>1</v>
          </cell>
          <cell r="G166">
            <v>552334</v>
          </cell>
          <cell r="H166">
            <v>0</v>
          </cell>
          <cell r="I166">
            <v>9148</v>
          </cell>
          <cell r="J166">
            <v>1556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</row>
        <row r="167">
          <cell r="A167" t="str">
            <v>453473</v>
          </cell>
          <cell r="B167" t="str">
            <v>1251</v>
          </cell>
          <cell r="C167" t="str">
            <v>12</v>
          </cell>
          <cell r="D167" t="str">
            <v>22</v>
          </cell>
          <cell r="E167">
            <v>1</v>
          </cell>
          <cell r="G167">
            <v>751768</v>
          </cell>
          <cell r="H167">
            <v>0</v>
          </cell>
          <cell r="I167">
            <v>2528</v>
          </cell>
          <cell r="J167">
            <v>139</v>
          </cell>
          <cell r="K167">
            <v>0</v>
          </cell>
          <cell r="L167">
            <v>563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563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A168" t="str">
            <v>453473</v>
          </cell>
          <cell r="B168" t="str">
            <v>1251</v>
          </cell>
          <cell r="C168" t="str">
            <v>12</v>
          </cell>
          <cell r="D168" t="str">
            <v>22</v>
          </cell>
          <cell r="E168">
            <v>1</v>
          </cell>
          <cell r="G168">
            <v>751922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</row>
        <row r="169">
          <cell r="A169" t="str">
            <v>453473</v>
          </cell>
          <cell r="B169" t="str">
            <v>1251</v>
          </cell>
          <cell r="C169" t="str">
            <v>12</v>
          </cell>
          <cell r="D169" t="str">
            <v>22</v>
          </cell>
          <cell r="E169">
            <v>1</v>
          </cell>
          <cell r="G169">
            <v>751950</v>
          </cell>
          <cell r="H169">
            <v>0</v>
          </cell>
          <cell r="I169">
            <v>8898</v>
          </cell>
          <cell r="J169">
            <v>1455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A170" t="str">
            <v>453473</v>
          </cell>
          <cell r="B170" t="str">
            <v>1251</v>
          </cell>
          <cell r="C170" t="str">
            <v>12</v>
          </cell>
          <cell r="D170" t="str">
            <v>22</v>
          </cell>
          <cell r="E170">
            <v>1</v>
          </cell>
          <cell r="G170">
            <v>751952</v>
          </cell>
          <cell r="H170">
            <v>0</v>
          </cell>
          <cell r="I170">
            <v>4550</v>
          </cell>
          <cell r="J170">
            <v>708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</row>
        <row r="171">
          <cell r="A171" t="str">
            <v>453473</v>
          </cell>
          <cell r="B171" t="str">
            <v>1251</v>
          </cell>
          <cell r="C171" t="str">
            <v>12</v>
          </cell>
          <cell r="D171" t="str">
            <v>22</v>
          </cell>
          <cell r="E171">
            <v>1</v>
          </cell>
          <cell r="G171">
            <v>805124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A172" t="str">
            <v>453473</v>
          </cell>
          <cell r="B172" t="str">
            <v>1251</v>
          </cell>
          <cell r="C172" t="str">
            <v>12</v>
          </cell>
          <cell r="D172" t="str">
            <v>22</v>
          </cell>
          <cell r="E172">
            <v>1</v>
          </cell>
          <cell r="G172">
            <v>999999</v>
          </cell>
          <cell r="H172">
            <v>0</v>
          </cell>
          <cell r="I172">
            <v>25332</v>
          </cell>
          <cell r="J172">
            <v>3893</v>
          </cell>
          <cell r="K172">
            <v>0</v>
          </cell>
          <cell r="L172">
            <v>563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563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A173" t="str">
            <v>453473</v>
          </cell>
          <cell r="B173" t="str">
            <v>1251</v>
          </cell>
          <cell r="C173" t="str">
            <v>12</v>
          </cell>
          <cell r="D173" t="str">
            <v>22</v>
          </cell>
          <cell r="E173">
            <v>17</v>
          </cell>
          <cell r="G173">
            <v>552323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243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</row>
        <row r="174">
          <cell r="A174" t="str">
            <v>453473</v>
          </cell>
          <cell r="B174" t="str">
            <v>1251</v>
          </cell>
          <cell r="C174" t="str">
            <v>12</v>
          </cell>
          <cell r="D174" t="str">
            <v>22</v>
          </cell>
          <cell r="E174">
            <v>17</v>
          </cell>
          <cell r="G174">
            <v>552334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10704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A175" t="str">
            <v>453473</v>
          </cell>
          <cell r="B175" t="str">
            <v>1251</v>
          </cell>
          <cell r="C175" t="str">
            <v>12</v>
          </cell>
          <cell r="D175" t="str">
            <v>22</v>
          </cell>
          <cell r="E175">
            <v>17</v>
          </cell>
          <cell r="G175">
            <v>751768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3230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</row>
        <row r="176">
          <cell r="A176" t="str">
            <v>453473</v>
          </cell>
          <cell r="B176" t="str">
            <v>1251</v>
          </cell>
          <cell r="C176" t="str">
            <v>12</v>
          </cell>
          <cell r="D176" t="str">
            <v>22</v>
          </cell>
          <cell r="E176">
            <v>17</v>
          </cell>
          <cell r="G176">
            <v>751922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</row>
        <row r="177">
          <cell r="A177" t="str">
            <v>453473</v>
          </cell>
          <cell r="B177" t="str">
            <v>1251</v>
          </cell>
          <cell r="C177" t="str">
            <v>12</v>
          </cell>
          <cell r="D177" t="str">
            <v>22</v>
          </cell>
          <cell r="E177">
            <v>17</v>
          </cell>
          <cell r="G177">
            <v>751950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10353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</row>
        <row r="178">
          <cell r="A178" t="str">
            <v>453473</v>
          </cell>
          <cell r="B178" t="str">
            <v>1251</v>
          </cell>
          <cell r="C178" t="str">
            <v>12</v>
          </cell>
          <cell r="D178" t="str">
            <v>22</v>
          </cell>
          <cell r="E178">
            <v>17</v>
          </cell>
          <cell r="G178">
            <v>751952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5258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A179" t="str">
            <v>453473</v>
          </cell>
          <cell r="B179" t="str">
            <v>1251</v>
          </cell>
          <cell r="C179" t="str">
            <v>12</v>
          </cell>
          <cell r="D179" t="str">
            <v>22</v>
          </cell>
          <cell r="E179">
            <v>17</v>
          </cell>
          <cell r="G179">
            <v>805124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A180" t="str">
            <v>453473</v>
          </cell>
          <cell r="B180" t="str">
            <v>1251</v>
          </cell>
          <cell r="C180" t="str">
            <v>12</v>
          </cell>
          <cell r="D180" t="str">
            <v>22</v>
          </cell>
          <cell r="E180">
            <v>17</v>
          </cell>
          <cell r="G180">
            <v>999999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29788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1">
          <cell r="A181" t="str">
            <v>453473</v>
          </cell>
          <cell r="B181" t="str">
            <v>1251</v>
          </cell>
          <cell r="C181" t="str">
            <v>12</v>
          </cell>
          <cell r="D181" t="str">
            <v>22</v>
          </cell>
          <cell r="E181">
            <v>33</v>
          </cell>
          <cell r="G181">
            <v>552323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A182" t="str">
            <v>453473</v>
          </cell>
          <cell r="B182" t="str">
            <v>1251</v>
          </cell>
          <cell r="C182" t="str">
            <v>12</v>
          </cell>
          <cell r="D182" t="str">
            <v>22</v>
          </cell>
          <cell r="E182">
            <v>33</v>
          </cell>
          <cell r="G182">
            <v>552334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</row>
        <row r="183">
          <cell r="A183" t="str">
            <v>453473</v>
          </cell>
          <cell r="B183" t="str">
            <v>1251</v>
          </cell>
          <cell r="C183" t="str">
            <v>12</v>
          </cell>
          <cell r="D183" t="str">
            <v>22</v>
          </cell>
          <cell r="E183">
            <v>33</v>
          </cell>
          <cell r="G183">
            <v>751768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A184" t="str">
            <v>453473</v>
          </cell>
          <cell r="B184" t="str">
            <v>1251</v>
          </cell>
          <cell r="C184" t="str">
            <v>12</v>
          </cell>
          <cell r="D184" t="str">
            <v>22</v>
          </cell>
          <cell r="E184">
            <v>33</v>
          </cell>
          <cell r="G184">
            <v>751922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</row>
        <row r="185">
          <cell r="A185" t="str">
            <v>453473</v>
          </cell>
          <cell r="B185" t="str">
            <v>1251</v>
          </cell>
          <cell r="C185" t="str">
            <v>12</v>
          </cell>
          <cell r="D185" t="str">
            <v>22</v>
          </cell>
          <cell r="E185">
            <v>33</v>
          </cell>
          <cell r="G185">
            <v>751950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</row>
        <row r="186">
          <cell r="A186" t="str">
            <v>453473</v>
          </cell>
          <cell r="B186" t="str">
            <v>1251</v>
          </cell>
          <cell r="C186" t="str">
            <v>12</v>
          </cell>
          <cell r="D186" t="str">
            <v>22</v>
          </cell>
          <cell r="E186">
            <v>33</v>
          </cell>
          <cell r="G186">
            <v>751952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A187" t="str">
            <v>453473</v>
          </cell>
          <cell r="B187" t="str">
            <v>1251</v>
          </cell>
          <cell r="C187" t="str">
            <v>12</v>
          </cell>
          <cell r="D187" t="str">
            <v>22</v>
          </cell>
          <cell r="E187">
            <v>33</v>
          </cell>
          <cell r="G187">
            <v>805124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208</v>
          </cell>
          <cell r="M187">
            <v>0</v>
          </cell>
          <cell r="N187">
            <v>0</v>
          </cell>
          <cell r="O187">
            <v>208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208</v>
          </cell>
          <cell r="V187">
            <v>0</v>
          </cell>
          <cell r="W187">
            <v>208</v>
          </cell>
        </row>
        <row r="188">
          <cell r="A188" t="str">
            <v>453473</v>
          </cell>
          <cell r="B188" t="str">
            <v>1251</v>
          </cell>
          <cell r="C188" t="str">
            <v>12</v>
          </cell>
          <cell r="D188" t="str">
            <v>22</v>
          </cell>
          <cell r="E188">
            <v>33</v>
          </cell>
          <cell r="G188">
            <v>999999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208</v>
          </cell>
          <cell r="M188">
            <v>0</v>
          </cell>
          <cell r="N188">
            <v>0</v>
          </cell>
          <cell r="O188">
            <v>208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208</v>
          </cell>
          <cell r="V188">
            <v>0</v>
          </cell>
          <cell r="W188">
            <v>208</v>
          </cell>
        </row>
        <row r="189">
          <cell r="A189" t="str">
            <v>453473</v>
          </cell>
          <cell r="B189" t="str">
            <v>1251</v>
          </cell>
          <cell r="C189" t="str">
            <v>12</v>
          </cell>
          <cell r="D189" t="str">
            <v>22</v>
          </cell>
          <cell r="E189">
            <v>49</v>
          </cell>
          <cell r="G189">
            <v>552323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243</v>
          </cell>
          <cell r="P189">
            <v>0</v>
          </cell>
          <cell r="Q189">
            <v>243</v>
          </cell>
          <cell r="R189">
            <v>0</v>
          </cell>
          <cell r="S189">
            <v>243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</row>
        <row r="190">
          <cell r="A190" t="str">
            <v>453473</v>
          </cell>
          <cell r="B190" t="str">
            <v>1251</v>
          </cell>
          <cell r="C190" t="str">
            <v>12</v>
          </cell>
          <cell r="D190" t="str">
            <v>22</v>
          </cell>
          <cell r="E190">
            <v>49</v>
          </cell>
          <cell r="G190">
            <v>552334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10704</v>
          </cell>
          <cell r="P190">
            <v>0</v>
          </cell>
          <cell r="Q190">
            <v>10704</v>
          </cell>
          <cell r="R190">
            <v>0</v>
          </cell>
          <cell r="S190">
            <v>10704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</row>
        <row r="191">
          <cell r="A191" t="str">
            <v>453473</v>
          </cell>
          <cell r="B191" t="str">
            <v>1251</v>
          </cell>
          <cell r="C191" t="str">
            <v>12</v>
          </cell>
          <cell r="D191" t="str">
            <v>22</v>
          </cell>
          <cell r="E191">
            <v>49</v>
          </cell>
          <cell r="G191">
            <v>751768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3230</v>
          </cell>
          <cell r="P191">
            <v>389</v>
          </cell>
          <cell r="Q191">
            <v>3619</v>
          </cell>
          <cell r="R191">
            <v>0</v>
          </cell>
          <cell r="S191">
            <v>3619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A192" t="str">
            <v>453473</v>
          </cell>
          <cell r="B192" t="str">
            <v>1251</v>
          </cell>
          <cell r="C192" t="str">
            <v>12</v>
          </cell>
          <cell r="D192" t="str">
            <v>22</v>
          </cell>
          <cell r="E192">
            <v>49</v>
          </cell>
          <cell r="G192">
            <v>751922</v>
          </cell>
          <cell r="H192">
            <v>142031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142031</v>
          </cell>
          <cell r="P192">
            <v>0</v>
          </cell>
          <cell r="Q192">
            <v>142031</v>
          </cell>
          <cell r="R192">
            <v>0</v>
          </cell>
          <cell r="S192">
            <v>142031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A193" t="str">
            <v>453473</v>
          </cell>
          <cell r="B193" t="str">
            <v>1251</v>
          </cell>
          <cell r="C193" t="str">
            <v>12</v>
          </cell>
          <cell r="D193" t="str">
            <v>22</v>
          </cell>
          <cell r="E193">
            <v>49</v>
          </cell>
          <cell r="G193">
            <v>751950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10353</v>
          </cell>
          <cell r="P193">
            <v>0</v>
          </cell>
          <cell r="Q193">
            <v>10353</v>
          </cell>
          <cell r="R193">
            <v>0</v>
          </cell>
          <cell r="S193">
            <v>10353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A194" t="str">
            <v>453473</v>
          </cell>
          <cell r="B194" t="str">
            <v>1251</v>
          </cell>
          <cell r="C194" t="str">
            <v>12</v>
          </cell>
          <cell r="D194" t="str">
            <v>22</v>
          </cell>
          <cell r="E194">
            <v>49</v>
          </cell>
          <cell r="G194">
            <v>751952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5258</v>
          </cell>
          <cell r="P194">
            <v>0</v>
          </cell>
          <cell r="Q194">
            <v>5258</v>
          </cell>
          <cell r="R194">
            <v>0</v>
          </cell>
          <cell r="S194">
            <v>5258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</row>
        <row r="195">
          <cell r="A195" t="str">
            <v>453473</v>
          </cell>
          <cell r="B195" t="str">
            <v>1251</v>
          </cell>
          <cell r="C195" t="str">
            <v>12</v>
          </cell>
          <cell r="D195" t="str">
            <v>22</v>
          </cell>
          <cell r="E195">
            <v>49</v>
          </cell>
          <cell r="G195">
            <v>805124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208</v>
          </cell>
          <cell r="P195">
            <v>0</v>
          </cell>
          <cell r="Q195">
            <v>208</v>
          </cell>
          <cell r="R195">
            <v>0</v>
          </cell>
          <cell r="S195">
            <v>208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</row>
        <row r="196">
          <cell r="A196" t="str">
            <v>453473</v>
          </cell>
          <cell r="B196" t="str">
            <v>1251</v>
          </cell>
          <cell r="C196" t="str">
            <v>12</v>
          </cell>
          <cell r="D196" t="str">
            <v>22</v>
          </cell>
          <cell r="E196">
            <v>49</v>
          </cell>
          <cell r="G196">
            <v>999999</v>
          </cell>
          <cell r="H196">
            <v>142031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172027</v>
          </cell>
          <cell r="P196">
            <v>389</v>
          </cell>
          <cell r="Q196">
            <v>172416</v>
          </cell>
          <cell r="R196">
            <v>0</v>
          </cell>
          <cell r="S196">
            <v>172416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</row>
        <row r="197">
          <cell r="A197" t="str">
            <v>453473</v>
          </cell>
          <cell r="B197" t="str">
            <v>1251</v>
          </cell>
          <cell r="C197" t="str">
            <v>12</v>
          </cell>
          <cell r="D197" t="str">
            <v>23</v>
          </cell>
          <cell r="E197">
            <v>1</v>
          </cell>
          <cell r="G197">
            <v>68261</v>
          </cell>
          <cell r="H197">
            <v>0</v>
          </cell>
          <cell r="I197">
            <v>0</v>
          </cell>
          <cell r="J197">
            <v>-437</v>
          </cell>
          <cell r="K197">
            <v>0</v>
          </cell>
          <cell r="L197">
            <v>-437</v>
          </cell>
          <cell r="M197">
            <v>67824</v>
          </cell>
          <cell r="N197">
            <v>67162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A198" t="str">
            <v>453473</v>
          </cell>
          <cell r="B198" t="str">
            <v>1251</v>
          </cell>
          <cell r="C198" t="str">
            <v>12</v>
          </cell>
          <cell r="D198" t="str">
            <v>23</v>
          </cell>
          <cell r="E198">
            <v>2</v>
          </cell>
          <cell r="G198">
            <v>21931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21931</v>
          </cell>
          <cell r="N198">
            <v>21603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</row>
        <row r="199">
          <cell r="A199" t="str">
            <v>453473</v>
          </cell>
          <cell r="B199" t="str">
            <v>1251</v>
          </cell>
          <cell r="C199" t="str">
            <v>12</v>
          </cell>
          <cell r="D199" t="str">
            <v>23</v>
          </cell>
          <cell r="E199">
            <v>3</v>
          </cell>
          <cell r="G199">
            <v>77556</v>
          </cell>
          <cell r="H199">
            <v>0</v>
          </cell>
          <cell r="I199">
            <v>0</v>
          </cell>
          <cell r="J199">
            <v>6020</v>
          </cell>
          <cell r="K199">
            <v>0</v>
          </cell>
          <cell r="L199">
            <v>6020</v>
          </cell>
          <cell r="M199">
            <v>83576</v>
          </cell>
          <cell r="N199">
            <v>72014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</row>
        <row r="200">
          <cell r="A200" t="str">
            <v>453473</v>
          </cell>
          <cell r="B200" t="str">
            <v>1251</v>
          </cell>
          <cell r="C200" t="str">
            <v>12</v>
          </cell>
          <cell r="D200" t="str">
            <v>23</v>
          </cell>
          <cell r="E200">
            <v>4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A201" t="str">
            <v>453473</v>
          </cell>
          <cell r="B201" t="str">
            <v>1251</v>
          </cell>
          <cell r="C201" t="str">
            <v>12</v>
          </cell>
          <cell r="D201" t="str">
            <v>23</v>
          </cell>
          <cell r="E201">
            <v>5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A202" t="str">
            <v>453473</v>
          </cell>
          <cell r="B202" t="str">
            <v>1251</v>
          </cell>
          <cell r="C202" t="str">
            <v>12</v>
          </cell>
          <cell r="D202" t="str">
            <v>23</v>
          </cell>
          <cell r="E202">
            <v>6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</row>
        <row r="203">
          <cell r="A203" t="str">
            <v>453473</v>
          </cell>
          <cell r="B203" t="str">
            <v>1251</v>
          </cell>
          <cell r="C203" t="str">
            <v>12</v>
          </cell>
          <cell r="D203" t="str">
            <v>23</v>
          </cell>
          <cell r="E203">
            <v>7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</row>
        <row r="204">
          <cell r="A204" t="str">
            <v>453473</v>
          </cell>
          <cell r="B204" t="str">
            <v>1251</v>
          </cell>
          <cell r="C204" t="str">
            <v>12</v>
          </cell>
          <cell r="D204" t="str">
            <v>23</v>
          </cell>
          <cell r="E204">
            <v>8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</row>
        <row r="205">
          <cell r="A205" t="str">
            <v>453473</v>
          </cell>
          <cell r="B205" t="str">
            <v>1251</v>
          </cell>
          <cell r="C205" t="str">
            <v>12</v>
          </cell>
          <cell r="D205" t="str">
            <v>23</v>
          </cell>
          <cell r="E205">
            <v>9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A206" t="str">
            <v>453473</v>
          </cell>
          <cell r="B206" t="str">
            <v>1251</v>
          </cell>
          <cell r="C206" t="str">
            <v>12</v>
          </cell>
          <cell r="D206" t="str">
            <v>23</v>
          </cell>
          <cell r="E206">
            <v>10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</row>
        <row r="207">
          <cell r="A207" t="str">
            <v>453473</v>
          </cell>
          <cell r="B207" t="str">
            <v>1251</v>
          </cell>
          <cell r="C207" t="str">
            <v>12</v>
          </cell>
          <cell r="D207" t="str">
            <v>23</v>
          </cell>
          <cell r="E207">
            <v>11</v>
          </cell>
          <cell r="G207">
            <v>4000</v>
          </cell>
          <cell r="H207">
            <v>0</v>
          </cell>
          <cell r="I207">
            <v>0</v>
          </cell>
          <cell r="J207">
            <v>500</v>
          </cell>
          <cell r="K207">
            <v>0</v>
          </cell>
          <cell r="L207">
            <v>500</v>
          </cell>
          <cell r="M207">
            <v>4500</v>
          </cell>
          <cell r="N207">
            <v>4442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</row>
        <row r="208">
          <cell r="A208" t="str">
            <v>453473</v>
          </cell>
          <cell r="B208" t="str">
            <v>1251</v>
          </cell>
          <cell r="C208" t="str">
            <v>12</v>
          </cell>
          <cell r="D208" t="str">
            <v>23</v>
          </cell>
          <cell r="E208">
            <v>12</v>
          </cell>
          <cell r="G208">
            <v>171748</v>
          </cell>
          <cell r="H208">
            <v>0</v>
          </cell>
          <cell r="I208">
            <v>0</v>
          </cell>
          <cell r="J208">
            <v>6083</v>
          </cell>
          <cell r="K208">
            <v>0</v>
          </cell>
          <cell r="L208">
            <v>6083</v>
          </cell>
          <cell r="M208">
            <v>177831</v>
          </cell>
          <cell r="N208">
            <v>165221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</row>
        <row r="209">
          <cell r="A209" t="str">
            <v>453473</v>
          </cell>
          <cell r="B209" t="str">
            <v>1251</v>
          </cell>
          <cell r="C209" t="str">
            <v>12</v>
          </cell>
          <cell r="D209" t="str">
            <v>23</v>
          </cell>
          <cell r="E209">
            <v>13</v>
          </cell>
          <cell r="G209">
            <v>1524</v>
          </cell>
          <cell r="H209">
            <v>0</v>
          </cell>
          <cell r="I209">
            <v>0</v>
          </cell>
          <cell r="J209">
            <v>7215</v>
          </cell>
          <cell r="K209">
            <v>0</v>
          </cell>
          <cell r="L209">
            <v>7215</v>
          </cell>
          <cell r="M209">
            <v>8739</v>
          </cell>
          <cell r="N209">
            <v>6857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A210" t="str">
            <v>453473</v>
          </cell>
          <cell r="B210" t="str">
            <v>1251</v>
          </cell>
          <cell r="C210" t="str">
            <v>12</v>
          </cell>
          <cell r="D210" t="str">
            <v>23</v>
          </cell>
          <cell r="E210">
            <v>14</v>
          </cell>
          <cell r="G210">
            <v>1080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1080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</row>
        <row r="211">
          <cell r="A211" t="str">
            <v>453473</v>
          </cell>
          <cell r="B211" t="str">
            <v>1251</v>
          </cell>
          <cell r="C211" t="str">
            <v>12</v>
          </cell>
          <cell r="D211" t="str">
            <v>23</v>
          </cell>
          <cell r="E211">
            <v>15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</row>
        <row r="212">
          <cell r="A212" t="str">
            <v>453473</v>
          </cell>
          <cell r="B212" t="str">
            <v>1251</v>
          </cell>
          <cell r="C212" t="str">
            <v>12</v>
          </cell>
          <cell r="D212" t="str">
            <v>23</v>
          </cell>
          <cell r="E212">
            <v>16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</row>
        <row r="213">
          <cell r="A213" t="str">
            <v>453473</v>
          </cell>
          <cell r="B213" t="str">
            <v>1251</v>
          </cell>
          <cell r="C213" t="str">
            <v>12</v>
          </cell>
          <cell r="D213" t="str">
            <v>23</v>
          </cell>
          <cell r="E213">
            <v>17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</row>
        <row r="214">
          <cell r="A214" t="str">
            <v>453473</v>
          </cell>
          <cell r="B214" t="str">
            <v>1251</v>
          </cell>
          <cell r="C214" t="str">
            <v>12</v>
          </cell>
          <cell r="D214" t="str">
            <v>23</v>
          </cell>
          <cell r="E214">
            <v>18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A215" t="str">
            <v>453473</v>
          </cell>
          <cell r="B215" t="str">
            <v>1251</v>
          </cell>
          <cell r="C215" t="str">
            <v>12</v>
          </cell>
          <cell r="D215" t="str">
            <v>23</v>
          </cell>
          <cell r="E215">
            <v>19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</row>
        <row r="216">
          <cell r="A216" t="str">
            <v>453473</v>
          </cell>
          <cell r="B216" t="str">
            <v>1251</v>
          </cell>
          <cell r="C216" t="str">
            <v>12</v>
          </cell>
          <cell r="D216" t="str">
            <v>23</v>
          </cell>
          <cell r="E216">
            <v>20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</row>
        <row r="217">
          <cell r="A217" t="str">
            <v>453473</v>
          </cell>
          <cell r="B217" t="str">
            <v>1251</v>
          </cell>
          <cell r="C217" t="str">
            <v>12</v>
          </cell>
          <cell r="D217" t="str">
            <v>23</v>
          </cell>
          <cell r="E217">
            <v>21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</row>
        <row r="218">
          <cell r="A218" t="str">
            <v>453473</v>
          </cell>
          <cell r="B218" t="str">
            <v>1251</v>
          </cell>
          <cell r="C218" t="str">
            <v>12</v>
          </cell>
          <cell r="D218" t="str">
            <v>23</v>
          </cell>
          <cell r="E218">
            <v>22</v>
          </cell>
          <cell r="G218">
            <v>2604</v>
          </cell>
          <cell r="H218">
            <v>0</v>
          </cell>
          <cell r="I218">
            <v>0</v>
          </cell>
          <cell r="J218">
            <v>7215</v>
          </cell>
          <cell r="K218">
            <v>0</v>
          </cell>
          <cell r="L218">
            <v>7215</v>
          </cell>
          <cell r="M218">
            <v>9819</v>
          </cell>
          <cell r="N218">
            <v>6857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</row>
        <row r="219">
          <cell r="A219" t="str">
            <v>453473</v>
          </cell>
          <cell r="B219" t="str">
            <v>1251</v>
          </cell>
          <cell r="C219" t="str">
            <v>12</v>
          </cell>
          <cell r="D219" t="str">
            <v>23</v>
          </cell>
          <cell r="E219">
            <v>23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A220" t="str">
            <v>453473</v>
          </cell>
          <cell r="B220" t="str">
            <v>1251</v>
          </cell>
          <cell r="C220" t="str">
            <v>12</v>
          </cell>
          <cell r="D220" t="str">
            <v>23</v>
          </cell>
          <cell r="E220">
            <v>24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</row>
        <row r="221">
          <cell r="A221" t="str">
            <v>453473</v>
          </cell>
          <cell r="B221" t="str">
            <v>1251</v>
          </cell>
          <cell r="C221" t="str">
            <v>12</v>
          </cell>
          <cell r="D221" t="str">
            <v>23</v>
          </cell>
          <cell r="E221">
            <v>25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</row>
        <row r="222">
          <cell r="A222" t="str">
            <v>453473</v>
          </cell>
          <cell r="B222" t="str">
            <v>1251</v>
          </cell>
          <cell r="C222" t="str">
            <v>12</v>
          </cell>
          <cell r="D222" t="str">
            <v>23</v>
          </cell>
          <cell r="E222">
            <v>26</v>
          </cell>
          <cell r="G222">
            <v>174352</v>
          </cell>
          <cell r="H222">
            <v>0</v>
          </cell>
          <cell r="I222">
            <v>0</v>
          </cell>
          <cell r="J222">
            <v>13298</v>
          </cell>
          <cell r="K222">
            <v>0</v>
          </cell>
          <cell r="L222">
            <v>13298</v>
          </cell>
          <cell r="M222">
            <v>187650</v>
          </cell>
          <cell r="N222">
            <v>172078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</row>
        <row r="223">
          <cell r="A223" t="str">
            <v>453473</v>
          </cell>
          <cell r="B223" t="str">
            <v>1251</v>
          </cell>
          <cell r="C223" t="str">
            <v>12</v>
          </cell>
          <cell r="D223" t="str">
            <v>23</v>
          </cell>
          <cell r="E223">
            <v>27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A224" t="str">
            <v>453473</v>
          </cell>
          <cell r="B224" t="str">
            <v>1251</v>
          </cell>
          <cell r="C224" t="str">
            <v>12</v>
          </cell>
          <cell r="D224" t="str">
            <v>23</v>
          </cell>
          <cell r="E224">
            <v>28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-304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</row>
        <row r="225">
          <cell r="A225" t="str">
            <v>453473</v>
          </cell>
          <cell r="B225" t="str">
            <v>1251</v>
          </cell>
          <cell r="C225" t="str">
            <v>12</v>
          </cell>
          <cell r="D225" t="str">
            <v>23</v>
          </cell>
          <cell r="E225">
            <v>29</v>
          </cell>
          <cell r="G225">
            <v>174352</v>
          </cell>
          <cell r="H225">
            <v>0</v>
          </cell>
          <cell r="I225">
            <v>0</v>
          </cell>
          <cell r="J225">
            <v>13298</v>
          </cell>
          <cell r="K225">
            <v>0</v>
          </cell>
          <cell r="L225">
            <v>13298</v>
          </cell>
          <cell r="M225">
            <v>187650</v>
          </cell>
          <cell r="N225">
            <v>171774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</row>
        <row r="226">
          <cell r="A226" t="str">
            <v>453473</v>
          </cell>
          <cell r="B226" t="str">
            <v>1251</v>
          </cell>
          <cell r="C226" t="str">
            <v>12</v>
          </cell>
          <cell r="D226" t="str">
            <v>23</v>
          </cell>
          <cell r="E226">
            <v>30</v>
          </cell>
          <cell r="G226">
            <v>27237</v>
          </cell>
          <cell r="H226">
            <v>0</v>
          </cell>
          <cell r="I226">
            <v>0</v>
          </cell>
          <cell r="J226">
            <v>2543</v>
          </cell>
          <cell r="K226">
            <v>0</v>
          </cell>
          <cell r="L226">
            <v>2543</v>
          </cell>
          <cell r="M226">
            <v>29780</v>
          </cell>
          <cell r="N226">
            <v>29788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A227" t="str">
            <v>453473</v>
          </cell>
          <cell r="B227" t="str">
            <v>1251</v>
          </cell>
          <cell r="C227" t="str">
            <v>12</v>
          </cell>
          <cell r="D227" t="str">
            <v>23</v>
          </cell>
          <cell r="E227">
            <v>31</v>
          </cell>
          <cell r="G227">
            <v>0</v>
          </cell>
          <cell r="H227">
            <v>0</v>
          </cell>
          <cell r="I227">
            <v>0</v>
          </cell>
          <cell r="J227">
            <v>208</v>
          </cell>
          <cell r="K227">
            <v>0</v>
          </cell>
          <cell r="L227">
            <v>208</v>
          </cell>
          <cell r="M227">
            <v>208</v>
          </cell>
          <cell r="N227">
            <v>208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A228" t="str">
            <v>453473</v>
          </cell>
          <cell r="B228" t="str">
            <v>1251</v>
          </cell>
          <cell r="C228" t="str">
            <v>12</v>
          </cell>
          <cell r="D228" t="str">
            <v>23</v>
          </cell>
          <cell r="E228">
            <v>32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</row>
        <row r="229">
          <cell r="A229" t="str">
            <v>453473</v>
          </cell>
          <cell r="B229" t="str">
            <v>1251</v>
          </cell>
          <cell r="C229" t="str">
            <v>12</v>
          </cell>
          <cell r="D229" t="str">
            <v>23</v>
          </cell>
          <cell r="E229">
            <v>33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</row>
        <row r="230">
          <cell r="A230" t="str">
            <v>453473</v>
          </cell>
          <cell r="B230" t="str">
            <v>1251</v>
          </cell>
          <cell r="C230" t="str">
            <v>12</v>
          </cell>
          <cell r="D230" t="str">
            <v>23</v>
          </cell>
          <cell r="E230">
            <v>34</v>
          </cell>
          <cell r="G230">
            <v>147115</v>
          </cell>
          <cell r="H230">
            <v>0</v>
          </cell>
          <cell r="I230">
            <v>0</v>
          </cell>
          <cell r="J230">
            <v>10158</v>
          </cell>
          <cell r="K230">
            <v>0</v>
          </cell>
          <cell r="L230">
            <v>10158</v>
          </cell>
          <cell r="M230">
            <v>157273</v>
          </cell>
          <cell r="N230">
            <v>142031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</row>
        <row r="231">
          <cell r="A231" t="str">
            <v>453473</v>
          </cell>
          <cell r="B231" t="str">
            <v>1251</v>
          </cell>
          <cell r="C231" t="str">
            <v>12</v>
          </cell>
          <cell r="D231" t="str">
            <v>23</v>
          </cell>
          <cell r="E231">
            <v>35</v>
          </cell>
          <cell r="G231">
            <v>0</v>
          </cell>
          <cell r="H231">
            <v>0</v>
          </cell>
          <cell r="I231">
            <v>0</v>
          </cell>
          <cell r="J231">
            <v>389</v>
          </cell>
          <cell r="K231">
            <v>0</v>
          </cell>
          <cell r="L231">
            <v>389</v>
          </cell>
          <cell r="M231">
            <v>389</v>
          </cell>
          <cell r="N231">
            <v>389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</row>
        <row r="232">
          <cell r="A232" t="str">
            <v>453473</v>
          </cell>
          <cell r="B232" t="str">
            <v>1251</v>
          </cell>
          <cell r="C232" t="str">
            <v>12</v>
          </cell>
          <cell r="D232" t="str">
            <v>23</v>
          </cell>
          <cell r="E232">
            <v>36</v>
          </cell>
          <cell r="G232">
            <v>174352</v>
          </cell>
          <cell r="H232">
            <v>0</v>
          </cell>
          <cell r="I232">
            <v>0</v>
          </cell>
          <cell r="J232">
            <v>13298</v>
          </cell>
          <cell r="K232">
            <v>0</v>
          </cell>
          <cell r="L232">
            <v>13298</v>
          </cell>
          <cell r="M232">
            <v>187650</v>
          </cell>
          <cell r="N232">
            <v>172416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</row>
        <row r="233">
          <cell r="A233" t="str">
            <v>453473</v>
          </cell>
          <cell r="B233" t="str">
            <v>1251</v>
          </cell>
          <cell r="C233" t="str">
            <v>12</v>
          </cell>
          <cell r="D233" t="str">
            <v>23</v>
          </cell>
          <cell r="E233">
            <v>37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</row>
        <row r="234">
          <cell r="A234" t="str">
            <v>453473</v>
          </cell>
          <cell r="B234" t="str">
            <v>1251</v>
          </cell>
          <cell r="C234" t="str">
            <v>12</v>
          </cell>
          <cell r="D234" t="str">
            <v>23</v>
          </cell>
          <cell r="E234">
            <v>38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</row>
        <row r="235">
          <cell r="A235" t="str">
            <v>453473</v>
          </cell>
          <cell r="B235" t="str">
            <v>1251</v>
          </cell>
          <cell r="C235" t="str">
            <v>12</v>
          </cell>
          <cell r="D235" t="str">
            <v>23</v>
          </cell>
          <cell r="E235">
            <v>39</v>
          </cell>
          <cell r="G235">
            <v>174352</v>
          </cell>
          <cell r="H235">
            <v>0</v>
          </cell>
          <cell r="I235">
            <v>0</v>
          </cell>
          <cell r="J235">
            <v>13298</v>
          </cell>
          <cell r="K235">
            <v>0</v>
          </cell>
          <cell r="L235">
            <v>13298</v>
          </cell>
          <cell r="M235">
            <v>187650</v>
          </cell>
          <cell r="N235">
            <v>172416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</row>
        <row r="236">
          <cell r="A236" t="str">
            <v>453473</v>
          </cell>
          <cell r="B236" t="str">
            <v>1251</v>
          </cell>
          <cell r="C236" t="str">
            <v>12</v>
          </cell>
          <cell r="D236" t="str">
            <v>24</v>
          </cell>
          <cell r="E236">
            <v>1</v>
          </cell>
          <cell r="G236">
            <v>0</v>
          </cell>
          <cell r="H236">
            <v>0</v>
          </cell>
          <cell r="I236">
            <v>36</v>
          </cell>
          <cell r="J236">
            <v>0</v>
          </cell>
          <cell r="K236">
            <v>36</v>
          </cell>
          <cell r="L236">
            <v>172027</v>
          </cell>
          <cell r="M236">
            <v>171774</v>
          </cell>
          <cell r="N236">
            <v>147</v>
          </cell>
          <cell r="O236">
            <v>0</v>
          </cell>
          <cell r="P236">
            <v>142</v>
          </cell>
          <cell r="Q236">
            <v>0</v>
          </cell>
          <cell r="R236">
            <v>289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7">
          <cell r="A237" t="str">
            <v>453473</v>
          </cell>
          <cell r="B237" t="str">
            <v>1251</v>
          </cell>
          <cell r="C237" t="str">
            <v>12</v>
          </cell>
          <cell r="D237" t="str">
            <v>29</v>
          </cell>
          <cell r="E237">
            <v>1</v>
          </cell>
          <cell r="G237">
            <v>0</v>
          </cell>
          <cell r="H237">
            <v>147</v>
          </cell>
          <cell r="I237">
            <v>36</v>
          </cell>
          <cell r="J237">
            <v>142</v>
          </cell>
          <cell r="K237">
            <v>36</v>
          </cell>
          <cell r="L237">
            <v>289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329</v>
          </cell>
          <cell r="R237">
            <v>49</v>
          </cell>
          <cell r="S237">
            <v>0</v>
          </cell>
          <cell r="T237">
            <v>0</v>
          </cell>
          <cell r="U237">
            <v>24</v>
          </cell>
          <cell r="V237">
            <v>0</v>
          </cell>
          <cell r="W237">
            <v>0</v>
          </cell>
        </row>
        <row r="238">
          <cell r="A238" t="str">
            <v>453473</v>
          </cell>
          <cell r="B238" t="str">
            <v>1251</v>
          </cell>
          <cell r="C238" t="str">
            <v>12</v>
          </cell>
          <cell r="D238" t="str">
            <v>29</v>
          </cell>
          <cell r="E238">
            <v>9</v>
          </cell>
          <cell r="G238">
            <v>0</v>
          </cell>
          <cell r="H238">
            <v>0</v>
          </cell>
          <cell r="I238">
            <v>353</v>
          </cell>
          <cell r="J238">
            <v>49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389</v>
          </cell>
          <cell r="P238">
            <v>338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12236</v>
          </cell>
          <cell r="V238">
            <v>15242</v>
          </cell>
          <cell r="W238">
            <v>0</v>
          </cell>
        </row>
        <row r="239">
          <cell r="A239" t="str">
            <v>453473</v>
          </cell>
          <cell r="B239" t="str">
            <v>1251</v>
          </cell>
          <cell r="C239" t="str">
            <v>12</v>
          </cell>
          <cell r="D239" t="str">
            <v>29</v>
          </cell>
          <cell r="E239">
            <v>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12625</v>
          </cell>
          <cell r="L239">
            <v>15580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12625</v>
          </cell>
          <cell r="R239">
            <v>15580</v>
          </cell>
          <cell r="S239">
            <v>0</v>
          </cell>
          <cell r="T239">
            <v>0</v>
          </cell>
          <cell r="U239">
            <v>12625</v>
          </cell>
          <cell r="V239">
            <v>15580</v>
          </cell>
          <cell r="W239">
            <v>0</v>
          </cell>
        </row>
        <row r="240">
          <cell r="A240" t="str">
            <v>453473</v>
          </cell>
          <cell r="B240" t="str">
            <v>1251</v>
          </cell>
          <cell r="C240" t="str">
            <v>12</v>
          </cell>
          <cell r="D240" t="str">
            <v>29</v>
          </cell>
          <cell r="E240">
            <v>25</v>
          </cell>
          <cell r="G240">
            <v>0</v>
          </cell>
          <cell r="H240">
            <v>0</v>
          </cell>
          <cell r="I240">
            <v>25250</v>
          </cell>
          <cell r="J240">
            <v>31160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</row>
        <row r="241">
          <cell r="A241" t="str">
            <v>453473</v>
          </cell>
          <cell r="B241" t="str">
            <v>1251</v>
          </cell>
          <cell r="C241" t="str">
            <v>12</v>
          </cell>
          <cell r="D241" t="str">
            <v>34</v>
          </cell>
          <cell r="E241">
            <v>0</v>
          </cell>
          <cell r="G241">
            <v>84</v>
          </cell>
          <cell r="H241">
            <v>2718</v>
          </cell>
          <cell r="I241">
            <v>0</v>
          </cell>
          <cell r="J241">
            <v>0</v>
          </cell>
          <cell r="K241">
            <v>697</v>
          </cell>
          <cell r="L241">
            <v>0</v>
          </cell>
          <cell r="M241">
            <v>0</v>
          </cell>
          <cell r="N241">
            <v>206</v>
          </cell>
          <cell r="O241">
            <v>3415</v>
          </cell>
          <cell r="P241">
            <v>819</v>
          </cell>
          <cell r="Q241">
            <v>1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A242" t="str">
            <v>453473</v>
          </cell>
          <cell r="B242" t="str">
            <v>1251</v>
          </cell>
          <cell r="C242" t="str">
            <v>12</v>
          </cell>
          <cell r="D242" t="str">
            <v>34</v>
          </cell>
          <cell r="E242">
            <v>0</v>
          </cell>
          <cell r="G242">
            <v>86</v>
          </cell>
          <cell r="H242">
            <v>5019</v>
          </cell>
          <cell r="I242">
            <v>0</v>
          </cell>
          <cell r="J242">
            <v>0</v>
          </cell>
          <cell r="K242">
            <v>744</v>
          </cell>
          <cell r="L242">
            <v>0</v>
          </cell>
          <cell r="M242">
            <v>0</v>
          </cell>
          <cell r="N242">
            <v>384</v>
          </cell>
          <cell r="O242">
            <v>5763</v>
          </cell>
          <cell r="P242">
            <v>990</v>
          </cell>
          <cell r="Q242">
            <v>2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</row>
        <row r="243">
          <cell r="A243" t="str">
            <v>453473</v>
          </cell>
          <cell r="B243" t="str">
            <v>1251</v>
          </cell>
          <cell r="C243" t="str">
            <v>12</v>
          </cell>
          <cell r="D243" t="str">
            <v>34</v>
          </cell>
          <cell r="E243">
            <v>0</v>
          </cell>
          <cell r="G243">
            <v>94</v>
          </cell>
          <cell r="H243">
            <v>4905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368</v>
          </cell>
          <cell r="O243">
            <v>4905</v>
          </cell>
          <cell r="P243">
            <v>361</v>
          </cell>
          <cell r="Q243">
            <v>5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</row>
        <row r="244">
          <cell r="A244" t="str">
            <v>453473</v>
          </cell>
          <cell r="B244" t="str">
            <v>1251</v>
          </cell>
          <cell r="C244" t="str">
            <v>12</v>
          </cell>
          <cell r="D244" t="str">
            <v>34</v>
          </cell>
          <cell r="E244">
            <v>0</v>
          </cell>
          <cell r="G244">
            <v>95</v>
          </cell>
          <cell r="H244">
            <v>11799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910</v>
          </cell>
          <cell r="O244">
            <v>11799</v>
          </cell>
          <cell r="P244">
            <v>1403</v>
          </cell>
          <cell r="Q244">
            <v>10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A245" t="str">
            <v>453473</v>
          </cell>
          <cell r="B245" t="str">
            <v>1251</v>
          </cell>
          <cell r="C245" t="str">
            <v>12</v>
          </cell>
          <cell r="D245" t="str">
            <v>34</v>
          </cell>
          <cell r="E245">
            <v>0</v>
          </cell>
          <cell r="G245">
            <v>96</v>
          </cell>
          <cell r="H245">
            <v>1244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94</v>
          </cell>
          <cell r="O245">
            <v>1244</v>
          </cell>
          <cell r="P245">
            <v>89</v>
          </cell>
          <cell r="Q245">
            <v>1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</row>
        <row r="246">
          <cell r="A246" t="str">
            <v>453473</v>
          </cell>
          <cell r="B246" t="str">
            <v>1251</v>
          </cell>
          <cell r="C246" t="str">
            <v>12</v>
          </cell>
          <cell r="D246" t="str">
            <v>34</v>
          </cell>
          <cell r="E246">
            <v>0</v>
          </cell>
          <cell r="G246">
            <v>97</v>
          </cell>
          <cell r="H246">
            <v>3050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229</v>
          </cell>
          <cell r="O246">
            <v>3050</v>
          </cell>
          <cell r="P246">
            <v>486</v>
          </cell>
          <cell r="Q246">
            <v>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A247" t="str">
            <v>453473</v>
          </cell>
          <cell r="B247" t="str">
            <v>1251</v>
          </cell>
          <cell r="C247" t="str">
            <v>12</v>
          </cell>
          <cell r="D247" t="str">
            <v>34</v>
          </cell>
          <cell r="E247">
            <v>0</v>
          </cell>
          <cell r="G247">
            <v>98</v>
          </cell>
          <cell r="H247">
            <v>2959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221</v>
          </cell>
          <cell r="O247">
            <v>2959</v>
          </cell>
          <cell r="P247">
            <v>559</v>
          </cell>
          <cell r="Q247">
            <v>2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</row>
        <row r="248">
          <cell r="A248" t="str">
            <v>453473</v>
          </cell>
          <cell r="B248" t="str">
            <v>1251</v>
          </cell>
          <cell r="C248" t="str">
            <v>12</v>
          </cell>
          <cell r="D248" t="str">
            <v>34</v>
          </cell>
          <cell r="E248">
            <v>0</v>
          </cell>
          <cell r="G248">
            <v>99</v>
          </cell>
          <cell r="H248">
            <v>6661</v>
          </cell>
          <cell r="I248">
            <v>0</v>
          </cell>
          <cell r="J248">
            <v>0</v>
          </cell>
          <cell r="K248">
            <v>263</v>
          </cell>
          <cell r="L248">
            <v>0</v>
          </cell>
          <cell r="M248">
            <v>0</v>
          </cell>
          <cell r="N248">
            <v>502</v>
          </cell>
          <cell r="O248">
            <v>6924</v>
          </cell>
          <cell r="P248">
            <v>1782</v>
          </cell>
          <cell r="Q248">
            <v>3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</row>
        <row r="249">
          <cell r="A249" t="str">
            <v>453473</v>
          </cell>
          <cell r="B249" t="str">
            <v>1251</v>
          </cell>
          <cell r="C249" t="str">
            <v>12</v>
          </cell>
          <cell r="D249" t="str">
            <v>34</v>
          </cell>
          <cell r="E249">
            <v>0</v>
          </cell>
          <cell r="G249">
            <v>101</v>
          </cell>
          <cell r="H249">
            <v>10490</v>
          </cell>
          <cell r="I249">
            <v>0</v>
          </cell>
          <cell r="J249">
            <v>0</v>
          </cell>
          <cell r="K249">
            <v>394</v>
          </cell>
          <cell r="L249">
            <v>0</v>
          </cell>
          <cell r="M249">
            <v>0</v>
          </cell>
          <cell r="N249">
            <v>783</v>
          </cell>
          <cell r="O249">
            <v>10884</v>
          </cell>
          <cell r="P249">
            <v>2089</v>
          </cell>
          <cell r="Q249">
            <v>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</row>
        <row r="250">
          <cell r="A250" t="str">
            <v>453473</v>
          </cell>
          <cell r="B250" t="str">
            <v>1251</v>
          </cell>
          <cell r="C250" t="str">
            <v>12</v>
          </cell>
          <cell r="D250" t="str">
            <v>34</v>
          </cell>
          <cell r="E250">
            <v>0</v>
          </cell>
          <cell r="G250">
            <v>105</v>
          </cell>
          <cell r="H250">
            <v>48845</v>
          </cell>
          <cell r="I250">
            <v>0</v>
          </cell>
          <cell r="J250">
            <v>0</v>
          </cell>
          <cell r="K250">
            <v>2098</v>
          </cell>
          <cell r="L250">
            <v>0</v>
          </cell>
          <cell r="M250">
            <v>0</v>
          </cell>
          <cell r="N250">
            <v>3697</v>
          </cell>
          <cell r="O250">
            <v>50943</v>
          </cell>
          <cell r="P250">
            <v>8578</v>
          </cell>
          <cell r="Q250">
            <v>32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</row>
        <row r="251">
          <cell r="A251" t="str">
            <v>453473</v>
          </cell>
          <cell r="B251" t="str">
            <v>1251</v>
          </cell>
          <cell r="C251" t="str">
            <v>12</v>
          </cell>
          <cell r="D251" t="str">
            <v>34</v>
          </cell>
          <cell r="E251">
            <v>0</v>
          </cell>
          <cell r="G251">
            <v>151</v>
          </cell>
          <cell r="H251">
            <v>48845</v>
          </cell>
          <cell r="I251">
            <v>0</v>
          </cell>
          <cell r="J251">
            <v>0</v>
          </cell>
          <cell r="K251">
            <v>2098</v>
          </cell>
          <cell r="L251">
            <v>0</v>
          </cell>
          <cell r="M251">
            <v>0</v>
          </cell>
          <cell r="N251">
            <v>3697</v>
          </cell>
          <cell r="O251">
            <v>50943</v>
          </cell>
          <cell r="P251">
            <v>8578</v>
          </cell>
          <cell r="Q251">
            <v>32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</row>
        <row r="252">
          <cell r="A252" t="str">
            <v>453473</v>
          </cell>
          <cell r="B252" t="str">
            <v>1251</v>
          </cell>
          <cell r="C252" t="str">
            <v>12</v>
          </cell>
          <cell r="D252" t="str">
            <v>34</v>
          </cell>
          <cell r="E252">
            <v>0</v>
          </cell>
          <cell r="G252">
            <v>153</v>
          </cell>
          <cell r="H252">
            <v>1279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84</v>
          </cell>
          <cell r="O252">
            <v>1279</v>
          </cell>
          <cell r="P252">
            <v>269</v>
          </cell>
          <cell r="Q252">
            <v>1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</row>
        <row r="253">
          <cell r="A253" t="str">
            <v>453473</v>
          </cell>
          <cell r="B253" t="str">
            <v>1251</v>
          </cell>
          <cell r="C253" t="str">
            <v>12</v>
          </cell>
          <cell r="D253" t="str">
            <v>34</v>
          </cell>
          <cell r="E253">
            <v>0</v>
          </cell>
          <cell r="G253">
            <v>157</v>
          </cell>
          <cell r="H253">
            <v>1279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84</v>
          </cell>
          <cell r="O253">
            <v>1279</v>
          </cell>
          <cell r="P253">
            <v>269</v>
          </cell>
          <cell r="Q253">
            <v>1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</row>
        <row r="254">
          <cell r="A254" t="str">
            <v>453473</v>
          </cell>
          <cell r="B254" t="str">
            <v>1251</v>
          </cell>
          <cell r="C254" t="str">
            <v>12</v>
          </cell>
          <cell r="D254" t="str">
            <v>34</v>
          </cell>
          <cell r="E254">
            <v>0</v>
          </cell>
          <cell r="G254">
            <v>158</v>
          </cell>
          <cell r="H254">
            <v>50124</v>
          </cell>
          <cell r="I254">
            <v>0</v>
          </cell>
          <cell r="J254">
            <v>0</v>
          </cell>
          <cell r="K254">
            <v>2098</v>
          </cell>
          <cell r="L254">
            <v>0</v>
          </cell>
          <cell r="M254">
            <v>0</v>
          </cell>
          <cell r="N254">
            <v>3781</v>
          </cell>
          <cell r="O254">
            <v>52222</v>
          </cell>
          <cell r="P254">
            <v>8847</v>
          </cell>
          <cell r="Q254">
            <v>33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A255" t="str">
            <v>453473</v>
          </cell>
          <cell r="B255" t="str">
            <v>1251</v>
          </cell>
          <cell r="C255" t="str">
            <v>12</v>
          </cell>
          <cell r="D255" t="str">
            <v>35</v>
          </cell>
          <cell r="E255">
            <v>1</v>
          </cell>
          <cell r="G255">
            <v>50943</v>
          </cell>
          <cell r="H255">
            <v>1279</v>
          </cell>
          <cell r="I255">
            <v>0</v>
          </cell>
          <cell r="J255">
            <v>0</v>
          </cell>
          <cell r="K255">
            <v>52222</v>
          </cell>
          <cell r="L255">
            <v>8578</v>
          </cell>
          <cell r="M255">
            <v>269</v>
          </cell>
          <cell r="N255">
            <v>0</v>
          </cell>
          <cell r="O255">
            <v>0</v>
          </cell>
          <cell r="P255">
            <v>8847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</row>
        <row r="256">
          <cell r="A256" t="str">
            <v>453473</v>
          </cell>
          <cell r="B256" t="str">
            <v>1251</v>
          </cell>
          <cell r="C256" t="str">
            <v>12</v>
          </cell>
          <cell r="D256" t="str">
            <v>35</v>
          </cell>
          <cell r="E256">
            <v>4</v>
          </cell>
          <cell r="G256">
            <v>912</v>
          </cell>
          <cell r="H256">
            <v>0</v>
          </cell>
          <cell r="I256">
            <v>0</v>
          </cell>
          <cell r="J256">
            <v>0</v>
          </cell>
          <cell r="K256">
            <v>912</v>
          </cell>
          <cell r="L256">
            <v>1575</v>
          </cell>
          <cell r="M256">
            <v>0</v>
          </cell>
          <cell r="N256">
            <v>0</v>
          </cell>
          <cell r="O256">
            <v>0</v>
          </cell>
          <cell r="P256">
            <v>1575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A257" t="str">
            <v>453473</v>
          </cell>
          <cell r="B257" t="str">
            <v>1251</v>
          </cell>
          <cell r="C257" t="str">
            <v>12</v>
          </cell>
          <cell r="D257" t="str">
            <v>35</v>
          </cell>
          <cell r="E257">
            <v>7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11065</v>
          </cell>
          <cell r="M257">
            <v>269</v>
          </cell>
          <cell r="N257">
            <v>0</v>
          </cell>
          <cell r="O257">
            <v>0</v>
          </cell>
          <cell r="P257">
            <v>11334</v>
          </cell>
          <cell r="Q257">
            <v>0</v>
          </cell>
          <cell r="R257">
            <v>0</v>
          </cell>
          <cell r="S257">
            <v>3606</v>
          </cell>
          <cell r="T257">
            <v>0</v>
          </cell>
          <cell r="U257">
            <v>3606</v>
          </cell>
          <cell r="V257">
            <v>0</v>
          </cell>
          <cell r="W257">
            <v>0</v>
          </cell>
        </row>
        <row r="258">
          <cell r="A258" t="str">
            <v>453473</v>
          </cell>
          <cell r="B258" t="str">
            <v>1251</v>
          </cell>
          <cell r="C258" t="str">
            <v>12</v>
          </cell>
          <cell r="D258" t="str">
            <v>35</v>
          </cell>
          <cell r="E258">
            <v>10</v>
          </cell>
          <cell r="G258">
            <v>62008</v>
          </cell>
          <cell r="H258">
            <v>1548</v>
          </cell>
          <cell r="I258">
            <v>3606</v>
          </cell>
          <cell r="J258">
            <v>0</v>
          </cell>
          <cell r="K258">
            <v>67162</v>
          </cell>
          <cell r="L258">
            <v>32</v>
          </cell>
          <cell r="M258">
            <v>1</v>
          </cell>
          <cell r="N258">
            <v>0</v>
          </cell>
          <cell r="O258">
            <v>0</v>
          </cell>
          <cell r="P258">
            <v>33</v>
          </cell>
          <cell r="Q258">
            <v>32</v>
          </cell>
          <cell r="R258">
            <v>1</v>
          </cell>
          <cell r="S258">
            <v>0</v>
          </cell>
          <cell r="T258">
            <v>0</v>
          </cell>
          <cell r="U258">
            <v>33</v>
          </cell>
          <cell r="V258">
            <v>0</v>
          </cell>
          <cell r="W258">
            <v>0</v>
          </cell>
        </row>
        <row r="259">
          <cell r="A259" t="str">
            <v>453473</v>
          </cell>
          <cell r="B259" t="str">
            <v>1251</v>
          </cell>
          <cell r="C259" t="str">
            <v>12</v>
          </cell>
          <cell r="D259" t="str">
            <v>35</v>
          </cell>
          <cell r="E259">
            <v>13</v>
          </cell>
          <cell r="G259">
            <v>32</v>
          </cell>
          <cell r="H259">
            <v>1</v>
          </cell>
          <cell r="I259">
            <v>0</v>
          </cell>
          <cell r="J259">
            <v>0</v>
          </cell>
          <cell r="K259">
            <v>33</v>
          </cell>
          <cell r="L259">
            <v>32</v>
          </cell>
          <cell r="M259">
            <v>1</v>
          </cell>
          <cell r="N259">
            <v>0</v>
          </cell>
          <cell r="O259">
            <v>0</v>
          </cell>
          <cell r="P259">
            <v>33</v>
          </cell>
          <cell r="Q259">
            <v>32</v>
          </cell>
          <cell r="R259">
            <v>1</v>
          </cell>
          <cell r="S259">
            <v>0</v>
          </cell>
          <cell r="T259">
            <v>0</v>
          </cell>
          <cell r="U259">
            <v>33</v>
          </cell>
          <cell r="V259">
            <v>0</v>
          </cell>
          <cell r="W259">
            <v>0</v>
          </cell>
        </row>
        <row r="260">
          <cell r="A260" t="str">
            <v>453473</v>
          </cell>
          <cell r="B260" t="str">
            <v>1251</v>
          </cell>
          <cell r="C260" t="str">
            <v>12</v>
          </cell>
          <cell r="D260" t="str">
            <v>35</v>
          </cell>
          <cell r="E260">
            <v>16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32</v>
          </cell>
          <cell r="R260">
            <v>1</v>
          </cell>
          <cell r="S260">
            <v>0</v>
          </cell>
          <cell r="T260">
            <v>0</v>
          </cell>
          <cell r="U260">
            <v>33</v>
          </cell>
          <cell r="V260">
            <v>0</v>
          </cell>
          <cell r="W260">
            <v>0</v>
          </cell>
        </row>
        <row r="261">
          <cell r="A261" t="str">
            <v>453473</v>
          </cell>
          <cell r="B261" t="str">
            <v>1251</v>
          </cell>
          <cell r="C261" t="str">
            <v>12</v>
          </cell>
          <cell r="D261" t="str">
            <v>35</v>
          </cell>
          <cell r="E261">
            <v>19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A262" t="str">
            <v>453473</v>
          </cell>
          <cell r="B262" t="str">
            <v>1251</v>
          </cell>
          <cell r="C262" t="str">
            <v>12</v>
          </cell>
          <cell r="D262" t="str">
            <v>37</v>
          </cell>
          <cell r="E262">
            <v>0</v>
          </cell>
          <cell r="G262">
            <v>55131501</v>
          </cell>
          <cell r="H262">
            <v>210</v>
          </cell>
          <cell r="I262">
            <v>0</v>
          </cell>
          <cell r="J262">
            <v>225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A263" t="str">
            <v>453473</v>
          </cell>
          <cell r="B263" t="str">
            <v>1251</v>
          </cell>
          <cell r="C263" t="str">
            <v>12</v>
          </cell>
          <cell r="D263" t="str">
            <v>37</v>
          </cell>
          <cell r="E263">
            <v>0</v>
          </cell>
          <cell r="G263">
            <v>55131502</v>
          </cell>
          <cell r="H263">
            <v>0</v>
          </cell>
          <cell r="I263">
            <v>0</v>
          </cell>
          <cell r="J263">
            <v>230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4">
          <cell r="A264" t="str">
            <v>453473</v>
          </cell>
          <cell r="B264" t="str">
            <v>1251</v>
          </cell>
          <cell r="C264" t="str">
            <v>12</v>
          </cell>
          <cell r="D264" t="str">
            <v>37</v>
          </cell>
          <cell r="E264">
            <v>0</v>
          </cell>
          <cell r="G264">
            <v>55232301</v>
          </cell>
          <cell r="H264">
            <v>5</v>
          </cell>
          <cell r="I264">
            <v>0</v>
          </cell>
          <cell r="J264">
            <v>8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</row>
        <row r="265">
          <cell r="A265" t="str">
            <v>453473</v>
          </cell>
          <cell r="B265" t="str">
            <v>1251</v>
          </cell>
          <cell r="C265" t="str">
            <v>12</v>
          </cell>
          <cell r="D265" t="str">
            <v>37</v>
          </cell>
          <cell r="E265">
            <v>0</v>
          </cell>
          <cell r="G265">
            <v>55232302</v>
          </cell>
          <cell r="H265">
            <v>0</v>
          </cell>
          <cell r="I265">
            <v>0</v>
          </cell>
          <cell r="J265">
            <v>1542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A266" t="str">
            <v>453473</v>
          </cell>
          <cell r="B266" t="str">
            <v>1251</v>
          </cell>
          <cell r="C266" t="str">
            <v>12</v>
          </cell>
          <cell r="D266" t="str">
            <v>37</v>
          </cell>
          <cell r="E266">
            <v>0</v>
          </cell>
          <cell r="G266">
            <v>55233401</v>
          </cell>
          <cell r="H266">
            <v>169</v>
          </cell>
          <cell r="I266">
            <v>0</v>
          </cell>
          <cell r="J266">
            <v>189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</row>
        <row r="267">
          <cell r="A267" t="str">
            <v>453473</v>
          </cell>
          <cell r="B267" t="str">
            <v>1251</v>
          </cell>
          <cell r="C267" t="str">
            <v>12</v>
          </cell>
          <cell r="D267" t="str">
            <v>37</v>
          </cell>
          <cell r="E267">
            <v>0</v>
          </cell>
          <cell r="G267">
            <v>55233402</v>
          </cell>
          <cell r="H267">
            <v>0</v>
          </cell>
          <cell r="I267">
            <v>0</v>
          </cell>
          <cell r="J267">
            <v>37805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A268" t="str">
            <v>453473</v>
          </cell>
          <cell r="B268" t="str">
            <v>1251</v>
          </cell>
          <cell r="C268" t="str">
            <v>12</v>
          </cell>
          <cell r="D268" t="str">
            <v>37</v>
          </cell>
          <cell r="E268">
            <v>0</v>
          </cell>
          <cell r="G268">
            <v>75176801</v>
          </cell>
          <cell r="H268">
            <v>230</v>
          </cell>
          <cell r="I268">
            <v>0</v>
          </cell>
          <cell r="J268">
            <v>230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</row>
        <row r="269">
          <cell r="A269" t="str">
            <v>453473</v>
          </cell>
          <cell r="B269" t="str">
            <v>1251</v>
          </cell>
          <cell r="C269" t="str">
            <v>12</v>
          </cell>
          <cell r="D269" t="str">
            <v>37</v>
          </cell>
          <cell r="E269">
            <v>0</v>
          </cell>
          <cell r="G269">
            <v>75195001</v>
          </cell>
          <cell r="H269">
            <v>83</v>
          </cell>
          <cell r="I269">
            <v>0</v>
          </cell>
          <cell r="J269">
            <v>111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</row>
        <row r="270">
          <cell r="A270" t="str">
            <v>453473</v>
          </cell>
          <cell r="B270" t="str">
            <v>1251</v>
          </cell>
          <cell r="C270" t="str">
            <v>12</v>
          </cell>
          <cell r="D270" t="str">
            <v>37</v>
          </cell>
          <cell r="E270">
            <v>0</v>
          </cell>
          <cell r="G270">
            <v>75195002</v>
          </cell>
          <cell r="H270">
            <v>0</v>
          </cell>
          <cell r="I270">
            <v>0</v>
          </cell>
          <cell r="J270">
            <v>20581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1">
          <cell r="A271" t="str">
            <v>453473</v>
          </cell>
          <cell r="B271" t="str">
            <v>1251</v>
          </cell>
          <cell r="C271" t="str">
            <v>12</v>
          </cell>
          <cell r="D271" t="str">
            <v>37</v>
          </cell>
          <cell r="E271">
            <v>0</v>
          </cell>
          <cell r="G271">
            <v>80512401</v>
          </cell>
          <cell r="H271">
            <v>210</v>
          </cell>
          <cell r="I271">
            <v>0</v>
          </cell>
          <cell r="J271">
            <v>225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</row>
        <row r="272">
          <cell r="A272" t="str">
            <v>453473</v>
          </cell>
          <cell r="B272" t="str">
            <v>1251</v>
          </cell>
          <cell r="C272" t="str">
            <v>12</v>
          </cell>
          <cell r="D272" t="str">
            <v>37</v>
          </cell>
          <cell r="E272">
            <v>0</v>
          </cell>
          <cell r="G272">
            <v>80512402</v>
          </cell>
          <cell r="H272">
            <v>0</v>
          </cell>
          <cell r="I272">
            <v>0</v>
          </cell>
          <cell r="J272">
            <v>8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</row>
        <row r="273">
          <cell r="A273" t="str">
            <v>453473</v>
          </cell>
          <cell r="B273" t="str">
            <v>1251</v>
          </cell>
          <cell r="C273" t="str">
            <v>12</v>
          </cell>
          <cell r="D273" t="str">
            <v>37</v>
          </cell>
          <cell r="E273">
            <v>0</v>
          </cell>
          <cell r="G273">
            <v>99999901</v>
          </cell>
          <cell r="H273">
            <v>907</v>
          </cell>
          <cell r="I273">
            <v>0</v>
          </cell>
          <cell r="J273">
            <v>988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A274" t="str">
            <v>453473</v>
          </cell>
          <cell r="B274" t="str">
            <v>1251</v>
          </cell>
          <cell r="C274" t="str">
            <v>12</v>
          </cell>
          <cell r="D274" t="str">
            <v>37</v>
          </cell>
          <cell r="E274">
            <v>0</v>
          </cell>
          <cell r="G274">
            <v>99999902</v>
          </cell>
          <cell r="H274">
            <v>0</v>
          </cell>
          <cell r="I274">
            <v>0</v>
          </cell>
          <cell r="J274">
            <v>60166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</row>
        <row r="275">
          <cell r="A275" t="str">
            <v>453473</v>
          </cell>
          <cell r="B275" t="str">
            <v>1251</v>
          </cell>
          <cell r="C275" t="str">
            <v>12</v>
          </cell>
          <cell r="D275" t="str">
            <v>38</v>
          </cell>
          <cell r="E275">
            <v>1</v>
          </cell>
          <cell r="G275">
            <v>153</v>
          </cell>
          <cell r="H275">
            <v>74598</v>
          </cell>
          <cell r="I275">
            <v>23741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98492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</row>
        <row r="276">
          <cell r="A276" t="str">
            <v>453473</v>
          </cell>
          <cell r="B276" t="str">
            <v>1251</v>
          </cell>
          <cell r="C276" t="str">
            <v>12</v>
          </cell>
          <cell r="D276" t="str">
            <v>38</v>
          </cell>
          <cell r="E276">
            <v>2</v>
          </cell>
          <cell r="G276">
            <v>108</v>
          </cell>
          <cell r="H276">
            <v>0</v>
          </cell>
          <cell r="I276">
            <v>247</v>
          </cell>
          <cell r="J276">
            <v>5533</v>
          </cell>
          <cell r="K276">
            <v>0</v>
          </cell>
          <cell r="L276">
            <v>0</v>
          </cell>
          <cell r="M276">
            <v>0</v>
          </cell>
          <cell r="N276">
            <v>5888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</row>
        <row r="277">
          <cell r="A277" t="str">
            <v>453473</v>
          </cell>
          <cell r="B277" t="str">
            <v>1251</v>
          </cell>
          <cell r="C277" t="str">
            <v>12</v>
          </cell>
          <cell r="D277" t="str">
            <v>38</v>
          </cell>
          <cell r="E277">
            <v>3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</row>
        <row r="278">
          <cell r="A278" t="str">
            <v>453473</v>
          </cell>
          <cell r="B278" t="str">
            <v>1251</v>
          </cell>
          <cell r="C278" t="str">
            <v>12</v>
          </cell>
          <cell r="D278" t="str">
            <v>38</v>
          </cell>
          <cell r="E278">
            <v>4</v>
          </cell>
          <cell r="G278">
            <v>22</v>
          </cell>
          <cell r="H278">
            <v>0</v>
          </cell>
          <cell r="I278">
            <v>49</v>
          </cell>
          <cell r="J278">
            <v>898</v>
          </cell>
          <cell r="K278">
            <v>0</v>
          </cell>
          <cell r="L278">
            <v>0</v>
          </cell>
          <cell r="M278">
            <v>0</v>
          </cell>
          <cell r="N278">
            <v>969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</row>
        <row r="279">
          <cell r="A279" t="str">
            <v>453473</v>
          </cell>
          <cell r="B279" t="str">
            <v>1251</v>
          </cell>
          <cell r="C279" t="str">
            <v>12</v>
          </cell>
          <cell r="D279" t="str">
            <v>38</v>
          </cell>
          <cell r="E279">
            <v>5</v>
          </cell>
          <cell r="G279">
            <v>130</v>
          </cell>
          <cell r="H279">
            <v>0</v>
          </cell>
          <cell r="I279">
            <v>296</v>
          </cell>
          <cell r="J279">
            <v>6431</v>
          </cell>
          <cell r="K279">
            <v>0</v>
          </cell>
          <cell r="L279">
            <v>0</v>
          </cell>
          <cell r="M279">
            <v>0</v>
          </cell>
          <cell r="N279">
            <v>6857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</row>
        <row r="280">
          <cell r="A280" t="str">
            <v>453473</v>
          </cell>
          <cell r="B280" t="str">
            <v>1251</v>
          </cell>
          <cell r="C280" t="str">
            <v>12</v>
          </cell>
          <cell r="D280" t="str">
            <v>38</v>
          </cell>
          <cell r="E280">
            <v>6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</row>
        <row r="281">
          <cell r="A281" t="str">
            <v>453473</v>
          </cell>
          <cell r="B281" t="str">
            <v>1251</v>
          </cell>
          <cell r="C281" t="str">
            <v>12</v>
          </cell>
          <cell r="D281" t="str">
            <v>38</v>
          </cell>
          <cell r="E281">
            <v>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</row>
        <row r="282">
          <cell r="A282" t="str">
            <v>453473</v>
          </cell>
          <cell r="B282" t="str">
            <v>1251</v>
          </cell>
          <cell r="C282" t="str">
            <v>12</v>
          </cell>
          <cell r="D282" t="str">
            <v>38</v>
          </cell>
          <cell r="E282">
            <v>8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83">
          <cell r="A283" t="str">
            <v>453473</v>
          </cell>
          <cell r="B283" t="str">
            <v>1251</v>
          </cell>
          <cell r="C283" t="str">
            <v>12</v>
          </cell>
          <cell r="D283" t="str">
            <v>38</v>
          </cell>
          <cell r="E283">
            <v>9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</row>
        <row r="284">
          <cell r="A284" t="str">
            <v>453473</v>
          </cell>
          <cell r="B284" t="str">
            <v>1251</v>
          </cell>
          <cell r="C284" t="str">
            <v>12</v>
          </cell>
          <cell r="D284" t="str">
            <v>38</v>
          </cell>
          <cell r="E284">
            <v>10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</row>
        <row r="285">
          <cell r="A285" t="str">
            <v>453473</v>
          </cell>
          <cell r="B285" t="str">
            <v>1251</v>
          </cell>
          <cell r="C285" t="str">
            <v>12</v>
          </cell>
          <cell r="D285" t="str">
            <v>38</v>
          </cell>
          <cell r="E285">
            <v>11</v>
          </cell>
          <cell r="G285">
            <v>130</v>
          </cell>
          <cell r="H285">
            <v>0</v>
          </cell>
          <cell r="I285">
            <v>296</v>
          </cell>
          <cell r="J285">
            <v>6431</v>
          </cell>
          <cell r="K285">
            <v>0</v>
          </cell>
          <cell r="L285">
            <v>0</v>
          </cell>
          <cell r="M285">
            <v>0</v>
          </cell>
          <cell r="N285">
            <v>6857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</row>
        <row r="286">
          <cell r="A286" t="str">
            <v>453473</v>
          </cell>
          <cell r="B286" t="str">
            <v>1251</v>
          </cell>
          <cell r="C286" t="str">
            <v>12</v>
          </cell>
          <cell r="D286" t="str">
            <v>38</v>
          </cell>
          <cell r="E286">
            <v>12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</row>
        <row r="287">
          <cell r="A287" t="str">
            <v>453473</v>
          </cell>
          <cell r="B287" t="str">
            <v>1251</v>
          </cell>
          <cell r="C287" t="str">
            <v>12</v>
          </cell>
          <cell r="D287" t="str">
            <v>38</v>
          </cell>
          <cell r="E287">
            <v>13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A288" t="str">
            <v>453473</v>
          </cell>
          <cell r="B288" t="str">
            <v>1251</v>
          </cell>
          <cell r="C288" t="str">
            <v>12</v>
          </cell>
          <cell r="D288" t="str">
            <v>38</v>
          </cell>
          <cell r="E288">
            <v>14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A289" t="str">
            <v>453473</v>
          </cell>
          <cell r="B289" t="str">
            <v>1251</v>
          </cell>
          <cell r="C289" t="str">
            <v>12</v>
          </cell>
          <cell r="D289" t="str">
            <v>38</v>
          </cell>
          <cell r="E289">
            <v>15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</row>
        <row r="290">
          <cell r="A290" t="str">
            <v>453473</v>
          </cell>
          <cell r="B290" t="str">
            <v>1251</v>
          </cell>
          <cell r="C290" t="str">
            <v>12</v>
          </cell>
          <cell r="D290" t="str">
            <v>38</v>
          </cell>
          <cell r="E290">
            <v>16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291">
          <cell r="A291" t="str">
            <v>453473</v>
          </cell>
          <cell r="B291" t="str">
            <v>1251</v>
          </cell>
          <cell r="C291" t="str">
            <v>12</v>
          </cell>
          <cell r="D291" t="str">
            <v>38</v>
          </cell>
          <cell r="E291">
            <v>17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A292" t="str">
            <v>453473</v>
          </cell>
          <cell r="B292" t="str">
            <v>1251</v>
          </cell>
          <cell r="C292" t="str">
            <v>12</v>
          </cell>
          <cell r="D292" t="str">
            <v>38</v>
          </cell>
          <cell r="E292">
            <v>18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</row>
        <row r="293">
          <cell r="A293" t="str">
            <v>453473</v>
          </cell>
          <cell r="B293" t="str">
            <v>1251</v>
          </cell>
          <cell r="C293" t="str">
            <v>12</v>
          </cell>
          <cell r="D293" t="str">
            <v>38</v>
          </cell>
          <cell r="E293">
            <v>19</v>
          </cell>
          <cell r="G293">
            <v>283</v>
          </cell>
          <cell r="H293">
            <v>74598</v>
          </cell>
          <cell r="I293">
            <v>24037</v>
          </cell>
          <cell r="J293">
            <v>6431</v>
          </cell>
          <cell r="K293">
            <v>0</v>
          </cell>
          <cell r="L293">
            <v>0</v>
          </cell>
          <cell r="M293">
            <v>0</v>
          </cell>
          <cell r="N293">
            <v>105349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</row>
        <row r="294">
          <cell r="A294" t="str">
            <v>453473</v>
          </cell>
          <cell r="B294" t="str">
            <v>1251</v>
          </cell>
          <cell r="C294" t="str">
            <v>12</v>
          </cell>
          <cell r="D294" t="str">
            <v>38</v>
          </cell>
          <cell r="E294">
            <v>20</v>
          </cell>
          <cell r="G294">
            <v>135</v>
          </cell>
          <cell r="H294">
            <v>9455</v>
          </cell>
          <cell r="I294">
            <v>15825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25415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</row>
        <row r="295">
          <cell r="A295" t="str">
            <v>453473</v>
          </cell>
          <cell r="B295" t="str">
            <v>1251</v>
          </cell>
          <cell r="C295" t="str">
            <v>12</v>
          </cell>
          <cell r="D295" t="str">
            <v>38</v>
          </cell>
          <cell r="E295">
            <v>21</v>
          </cell>
          <cell r="G295">
            <v>59</v>
          </cell>
          <cell r="H295">
            <v>1491</v>
          </cell>
          <cell r="I295">
            <v>2534</v>
          </cell>
          <cell r="J295">
            <v>1022</v>
          </cell>
          <cell r="K295">
            <v>0</v>
          </cell>
          <cell r="L295">
            <v>0</v>
          </cell>
          <cell r="M295">
            <v>0</v>
          </cell>
          <cell r="N295">
            <v>5106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</row>
        <row r="296">
          <cell r="A296" t="str">
            <v>453473</v>
          </cell>
          <cell r="B296" t="str">
            <v>1251</v>
          </cell>
          <cell r="C296" t="str">
            <v>12</v>
          </cell>
          <cell r="D296" t="str">
            <v>38</v>
          </cell>
          <cell r="E296">
            <v>22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</row>
        <row r="297">
          <cell r="A297" t="str">
            <v>453473</v>
          </cell>
          <cell r="B297" t="str">
            <v>1251</v>
          </cell>
          <cell r="C297" t="str">
            <v>12</v>
          </cell>
          <cell r="D297" t="str">
            <v>38</v>
          </cell>
          <cell r="E297">
            <v>23</v>
          </cell>
          <cell r="G297">
            <v>194</v>
          </cell>
          <cell r="H297">
            <v>10946</v>
          </cell>
          <cell r="I297">
            <v>18359</v>
          </cell>
          <cell r="J297">
            <v>1022</v>
          </cell>
          <cell r="K297">
            <v>0</v>
          </cell>
          <cell r="L297">
            <v>0</v>
          </cell>
          <cell r="M297">
            <v>0</v>
          </cell>
          <cell r="N297">
            <v>30521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</row>
        <row r="298">
          <cell r="A298" t="str">
            <v>453473</v>
          </cell>
          <cell r="B298" t="str">
            <v>1251</v>
          </cell>
          <cell r="C298" t="str">
            <v>12</v>
          </cell>
          <cell r="D298" t="str">
            <v>38</v>
          </cell>
          <cell r="E298">
            <v>24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</row>
        <row r="299">
          <cell r="A299" t="str">
            <v>453473</v>
          </cell>
          <cell r="B299" t="str">
            <v>1251</v>
          </cell>
          <cell r="C299" t="str">
            <v>12</v>
          </cell>
          <cell r="D299" t="str">
            <v>38</v>
          </cell>
          <cell r="E299">
            <v>25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</row>
        <row r="300">
          <cell r="A300" t="str">
            <v>453473</v>
          </cell>
          <cell r="B300" t="str">
            <v>1251</v>
          </cell>
          <cell r="C300" t="str">
            <v>12</v>
          </cell>
          <cell r="D300" t="str">
            <v>38</v>
          </cell>
          <cell r="E300">
            <v>26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</row>
        <row r="301">
          <cell r="A301" t="str">
            <v>453473</v>
          </cell>
          <cell r="B301" t="str">
            <v>1251</v>
          </cell>
          <cell r="C301" t="str">
            <v>12</v>
          </cell>
          <cell r="D301" t="str">
            <v>38</v>
          </cell>
          <cell r="E301">
            <v>27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A302" t="str">
            <v>453473</v>
          </cell>
          <cell r="B302" t="str">
            <v>1251</v>
          </cell>
          <cell r="C302" t="str">
            <v>12</v>
          </cell>
          <cell r="D302" t="str">
            <v>38</v>
          </cell>
          <cell r="E302">
            <v>28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A303" t="str">
            <v>453473</v>
          </cell>
          <cell r="B303" t="str">
            <v>1251</v>
          </cell>
          <cell r="C303" t="str">
            <v>12</v>
          </cell>
          <cell r="D303" t="str">
            <v>38</v>
          </cell>
          <cell r="E303">
            <v>29</v>
          </cell>
          <cell r="G303">
            <v>194</v>
          </cell>
          <cell r="H303">
            <v>10946</v>
          </cell>
          <cell r="I303">
            <v>18359</v>
          </cell>
          <cell r="J303">
            <v>1022</v>
          </cell>
          <cell r="K303">
            <v>0</v>
          </cell>
          <cell r="L303">
            <v>0</v>
          </cell>
          <cell r="M303">
            <v>0</v>
          </cell>
          <cell r="N303">
            <v>30521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</row>
        <row r="304">
          <cell r="A304" t="str">
            <v>453473</v>
          </cell>
          <cell r="B304" t="str">
            <v>1251</v>
          </cell>
          <cell r="C304" t="str">
            <v>12</v>
          </cell>
          <cell r="D304" t="str">
            <v>38</v>
          </cell>
          <cell r="E304">
            <v>30</v>
          </cell>
          <cell r="G304">
            <v>89</v>
          </cell>
          <cell r="H304">
            <v>63652</v>
          </cell>
          <cell r="I304">
            <v>5678</v>
          </cell>
          <cell r="J304">
            <v>5409</v>
          </cell>
          <cell r="K304">
            <v>0</v>
          </cell>
          <cell r="L304">
            <v>0</v>
          </cell>
          <cell r="M304">
            <v>0</v>
          </cell>
          <cell r="N304">
            <v>74828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A305" t="str">
            <v>453473</v>
          </cell>
          <cell r="B305" t="str">
            <v>1251</v>
          </cell>
          <cell r="C305" t="str">
            <v>12</v>
          </cell>
          <cell r="D305" t="str">
            <v>38</v>
          </cell>
          <cell r="E305">
            <v>31</v>
          </cell>
          <cell r="G305">
            <v>153</v>
          </cell>
          <cell r="H305">
            <v>0</v>
          </cell>
          <cell r="I305">
            <v>9629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9782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</row>
        <row r="306">
          <cell r="A306" t="str">
            <v>453473</v>
          </cell>
          <cell r="B306" t="str">
            <v>1251</v>
          </cell>
          <cell r="C306" t="str">
            <v>12</v>
          </cell>
          <cell r="D306" t="str">
            <v>53</v>
          </cell>
          <cell r="E306">
            <v>1</v>
          </cell>
          <cell r="G306">
            <v>311</v>
          </cell>
          <cell r="H306">
            <v>12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</row>
        <row r="307">
          <cell r="A307" t="str">
            <v>453473</v>
          </cell>
          <cell r="B307" t="str">
            <v>1251</v>
          </cell>
          <cell r="C307" t="str">
            <v>12</v>
          </cell>
          <cell r="D307" t="str">
            <v>53</v>
          </cell>
          <cell r="E307">
            <v>15</v>
          </cell>
          <cell r="G307">
            <v>27</v>
          </cell>
          <cell r="H307">
            <v>0</v>
          </cell>
          <cell r="I307">
            <v>4974</v>
          </cell>
          <cell r="J307">
            <v>3782</v>
          </cell>
          <cell r="K307">
            <v>4882</v>
          </cell>
          <cell r="L307">
            <v>3957</v>
          </cell>
          <cell r="M307">
            <v>1296</v>
          </cell>
          <cell r="N307">
            <v>1097</v>
          </cell>
          <cell r="O307">
            <v>1359</v>
          </cell>
          <cell r="P307">
            <v>1148</v>
          </cell>
          <cell r="Q307">
            <v>128</v>
          </cell>
          <cell r="R307">
            <v>113</v>
          </cell>
          <cell r="S307">
            <v>135</v>
          </cell>
          <cell r="T307">
            <v>119</v>
          </cell>
          <cell r="U307">
            <v>0</v>
          </cell>
          <cell r="V307">
            <v>0</v>
          </cell>
          <cell r="W307">
            <v>0</v>
          </cell>
        </row>
        <row r="308">
          <cell r="A308" t="str">
            <v>453473</v>
          </cell>
          <cell r="B308" t="str">
            <v>1251</v>
          </cell>
          <cell r="C308" t="str">
            <v>12</v>
          </cell>
          <cell r="D308" t="str">
            <v>53</v>
          </cell>
          <cell r="E308">
            <v>29</v>
          </cell>
          <cell r="G308">
            <v>66</v>
          </cell>
          <cell r="H308">
            <v>70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48307</v>
          </cell>
          <cell r="S308">
            <v>623</v>
          </cell>
          <cell r="T308">
            <v>24659</v>
          </cell>
          <cell r="U308">
            <v>0</v>
          </cell>
          <cell r="V308">
            <v>0</v>
          </cell>
          <cell r="W308">
            <v>0</v>
          </cell>
        </row>
        <row r="309">
          <cell r="A309" t="str">
            <v>453473</v>
          </cell>
          <cell r="B309" t="str">
            <v>1251</v>
          </cell>
          <cell r="C309" t="str">
            <v>12</v>
          </cell>
          <cell r="D309" t="str">
            <v>53</v>
          </cell>
          <cell r="E309">
            <v>43</v>
          </cell>
          <cell r="G309">
            <v>22504</v>
          </cell>
          <cell r="H309">
            <v>521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</row>
        <row r="310">
          <cell r="A310" t="str">
            <v>453473</v>
          </cell>
          <cell r="B310" t="str">
            <v>1251</v>
          </cell>
          <cell r="C310" t="str">
            <v>12</v>
          </cell>
          <cell r="D310" t="str">
            <v>53</v>
          </cell>
          <cell r="E310">
            <v>57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</row>
        <row r="311">
          <cell r="A311" t="str">
            <v>453473</v>
          </cell>
          <cell r="B311" t="str">
            <v>1251</v>
          </cell>
          <cell r="C311" t="str">
            <v>12</v>
          </cell>
          <cell r="D311" t="str">
            <v>53</v>
          </cell>
          <cell r="E311">
            <v>71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</row>
        <row r="312">
          <cell r="A312" t="str">
            <v>453473</v>
          </cell>
          <cell r="B312" t="str">
            <v>1251</v>
          </cell>
          <cell r="C312" t="str">
            <v>12</v>
          </cell>
          <cell r="D312" t="str">
            <v>56</v>
          </cell>
          <cell r="E312">
            <v>1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</row>
        <row r="313">
          <cell r="A313" t="str">
            <v>453473</v>
          </cell>
          <cell r="B313" t="str">
            <v>1251</v>
          </cell>
          <cell r="C313" t="str">
            <v>12</v>
          </cell>
          <cell r="D313" t="str">
            <v>56</v>
          </cell>
          <cell r="E313">
            <v>6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23741</v>
          </cell>
          <cell r="N313">
            <v>0</v>
          </cell>
          <cell r="O313">
            <v>0</v>
          </cell>
          <cell r="P313">
            <v>23741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</row>
        <row r="314">
          <cell r="A314" t="str">
            <v>453473</v>
          </cell>
          <cell r="B314" t="str">
            <v>1251</v>
          </cell>
          <cell r="C314" t="str">
            <v>12</v>
          </cell>
          <cell r="D314" t="str">
            <v>57</v>
          </cell>
          <cell r="E314">
            <v>1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</row>
        <row r="315">
          <cell r="A315" t="str">
            <v>453473</v>
          </cell>
          <cell r="B315" t="str">
            <v>1251</v>
          </cell>
          <cell r="C315" t="str">
            <v>12</v>
          </cell>
          <cell r="D315" t="str">
            <v>57</v>
          </cell>
          <cell r="E315">
            <v>3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</row>
        <row r="316">
          <cell r="A316" t="str">
            <v>453473</v>
          </cell>
          <cell r="B316" t="str">
            <v>1251</v>
          </cell>
          <cell r="C316" t="str">
            <v>12</v>
          </cell>
          <cell r="D316" t="str">
            <v>57</v>
          </cell>
          <cell r="E316">
            <v>5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</row>
        <row r="317">
          <cell r="A317" t="str">
            <v>453473</v>
          </cell>
          <cell r="B317" t="str">
            <v>1251</v>
          </cell>
          <cell r="C317" t="str">
            <v>12</v>
          </cell>
          <cell r="D317" t="str">
            <v>57</v>
          </cell>
          <cell r="E317">
            <v>7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177</v>
          </cell>
          <cell r="N317">
            <v>0</v>
          </cell>
          <cell r="O317">
            <v>0</v>
          </cell>
          <cell r="P317">
            <v>0</v>
          </cell>
          <cell r="Q317">
            <v>196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</row>
        <row r="318">
          <cell r="A318" t="str">
            <v>453473</v>
          </cell>
          <cell r="B318" t="str">
            <v>1251</v>
          </cell>
          <cell r="C318" t="str">
            <v>12</v>
          </cell>
          <cell r="D318" t="str">
            <v>57</v>
          </cell>
          <cell r="E318">
            <v>9</v>
          </cell>
          <cell r="G318">
            <v>67</v>
          </cell>
          <cell r="H318">
            <v>0</v>
          </cell>
          <cell r="I318">
            <v>0</v>
          </cell>
          <cell r="J318">
            <v>0</v>
          </cell>
          <cell r="K318">
            <v>214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A319" t="str">
            <v>453473</v>
          </cell>
          <cell r="B319" t="str">
            <v>1251</v>
          </cell>
          <cell r="C319" t="str">
            <v>12</v>
          </cell>
          <cell r="D319" t="str">
            <v>57</v>
          </cell>
          <cell r="E319">
            <v>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</row>
        <row r="320">
          <cell r="A320" t="str">
            <v>453473</v>
          </cell>
          <cell r="B320" t="str">
            <v>1251</v>
          </cell>
          <cell r="C320" t="str">
            <v>12</v>
          </cell>
          <cell r="D320" t="str">
            <v>57</v>
          </cell>
          <cell r="E320">
            <v>13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A321" t="str">
            <v>453473</v>
          </cell>
          <cell r="B321" t="str">
            <v>1251</v>
          </cell>
          <cell r="C321" t="str">
            <v>12</v>
          </cell>
          <cell r="D321" t="str">
            <v>57</v>
          </cell>
          <cell r="E321">
            <v>15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244</v>
          </cell>
          <cell r="N321">
            <v>0</v>
          </cell>
          <cell r="O321">
            <v>0</v>
          </cell>
          <cell r="P321">
            <v>0</v>
          </cell>
          <cell r="Q321">
            <v>410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</row>
        <row r="322">
          <cell r="A322" t="str">
            <v>453473</v>
          </cell>
          <cell r="B322" t="str">
            <v>1251</v>
          </cell>
          <cell r="C322" t="str">
            <v>12</v>
          </cell>
          <cell r="D322" t="str">
            <v>57</v>
          </cell>
          <cell r="E322">
            <v>17</v>
          </cell>
          <cell r="G322">
            <v>244</v>
          </cell>
          <cell r="H322">
            <v>0</v>
          </cell>
          <cell r="I322">
            <v>0</v>
          </cell>
          <cell r="J322">
            <v>0</v>
          </cell>
          <cell r="K322">
            <v>410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A323" t="str">
            <v>453473</v>
          </cell>
          <cell r="B323" t="str">
            <v>1251</v>
          </cell>
          <cell r="C323" t="str">
            <v>12</v>
          </cell>
          <cell r="D323" t="str">
            <v>58</v>
          </cell>
          <cell r="E323">
            <v>1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</row>
        <row r="324">
          <cell r="A324" t="str">
            <v>453473</v>
          </cell>
          <cell r="B324" t="str">
            <v>1251</v>
          </cell>
          <cell r="C324" t="str">
            <v>12</v>
          </cell>
          <cell r="D324" t="str">
            <v>58</v>
          </cell>
          <cell r="E324">
            <v>2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</row>
        <row r="325">
          <cell r="A325" t="str">
            <v>453473</v>
          </cell>
          <cell r="B325" t="str">
            <v>1251</v>
          </cell>
          <cell r="C325" t="str">
            <v>12</v>
          </cell>
          <cell r="D325" t="str">
            <v>58</v>
          </cell>
          <cell r="E325">
            <v>3</v>
          </cell>
          <cell r="G325">
            <v>67</v>
          </cell>
          <cell r="H325">
            <v>0</v>
          </cell>
          <cell r="I325">
            <v>8896</v>
          </cell>
          <cell r="J325">
            <v>0</v>
          </cell>
          <cell r="K325">
            <v>8963</v>
          </cell>
          <cell r="L325">
            <v>0</v>
          </cell>
          <cell r="M325">
            <v>67</v>
          </cell>
          <cell r="N325">
            <v>8682</v>
          </cell>
          <cell r="O325">
            <v>0</v>
          </cell>
          <cell r="P325">
            <v>214</v>
          </cell>
          <cell r="Q325">
            <v>214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</row>
        <row r="326">
          <cell r="A326" t="str">
            <v>453473</v>
          </cell>
          <cell r="B326" t="str">
            <v>1251</v>
          </cell>
          <cell r="C326" t="str">
            <v>12</v>
          </cell>
          <cell r="D326" t="str">
            <v>58</v>
          </cell>
          <cell r="E326">
            <v>4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</row>
        <row r="327">
          <cell r="A327" t="str">
            <v>453473</v>
          </cell>
          <cell r="B327" t="str">
            <v>1251</v>
          </cell>
          <cell r="C327" t="str">
            <v>12</v>
          </cell>
          <cell r="D327" t="str">
            <v>58</v>
          </cell>
          <cell r="E327">
            <v>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</row>
        <row r="328">
          <cell r="A328" t="str">
            <v>453473</v>
          </cell>
          <cell r="B328" t="str">
            <v>1251</v>
          </cell>
          <cell r="C328" t="str">
            <v>12</v>
          </cell>
          <cell r="D328" t="str">
            <v>58</v>
          </cell>
          <cell r="E328">
            <v>6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</row>
        <row r="329">
          <cell r="A329" t="str">
            <v>453473</v>
          </cell>
          <cell r="B329" t="str">
            <v>1251</v>
          </cell>
          <cell r="C329" t="str">
            <v>12</v>
          </cell>
          <cell r="D329" t="str">
            <v>58</v>
          </cell>
          <cell r="E329">
            <v>7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</row>
        <row r="330">
          <cell r="A330" t="str">
            <v>453473</v>
          </cell>
          <cell r="B330" t="str">
            <v>1251</v>
          </cell>
          <cell r="C330" t="str">
            <v>12</v>
          </cell>
          <cell r="D330" t="str">
            <v>58</v>
          </cell>
          <cell r="E330">
            <v>8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</row>
        <row r="331">
          <cell r="A331" t="str">
            <v>453473</v>
          </cell>
          <cell r="B331" t="str">
            <v>1251</v>
          </cell>
          <cell r="C331" t="str">
            <v>12</v>
          </cell>
          <cell r="D331" t="str">
            <v>58</v>
          </cell>
          <cell r="E331">
            <v>9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</row>
        <row r="332">
          <cell r="A332" t="str">
            <v>453473</v>
          </cell>
          <cell r="B332" t="str">
            <v>1251</v>
          </cell>
          <cell r="C332" t="str">
            <v>12</v>
          </cell>
          <cell r="D332" t="str">
            <v>58</v>
          </cell>
          <cell r="E332">
            <v>10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A333" t="str">
            <v>453473</v>
          </cell>
          <cell r="B333" t="str">
            <v>1251</v>
          </cell>
          <cell r="C333" t="str">
            <v>12</v>
          </cell>
          <cell r="D333" t="str">
            <v>58</v>
          </cell>
          <cell r="E333">
            <v>11</v>
          </cell>
          <cell r="G333">
            <v>67</v>
          </cell>
          <cell r="H333">
            <v>0</v>
          </cell>
          <cell r="I333">
            <v>8896</v>
          </cell>
          <cell r="J333">
            <v>0</v>
          </cell>
          <cell r="K333">
            <v>8963</v>
          </cell>
          <cell r="L333">
            <v>0</v>
          </cell>
          <cell r="M333">
            <v>67</v>
          </cell>
          <cell r="N333">
            <v>8682</v>
          </cell>
          <cell r="O333">
            <v>0</v>
          </cell>
          <cell r="P333">
            <v>214</v>
          </cell>
          <cell r="Q333">
            <v>214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</row>
        <row r="334">
          <cell r="A334" t="str">
            <v>453473</v>
          </cell>
          <cell r="B334" t="str">
            <v>1251</v>
          </cell>
          <cell r="C334" t="str">
            <v>12</v>
          </cell>
          <cell r="D334" t="str">
            <v>59</v>
          </cell>
          <cell r="E334">
            <v>1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</row>
        <row r="335">
          <cell r="A335" t="str">
            <v>453473</v>
          </cell>
          <cell r="B335" t="str">
            <v>1251</v>
          </cell>
          <cell r="C335" t="str">
            <v>12</v>
          </cell>
          <cell r="D335" t="str">
            <v>59</v>
          </cell>
          <cell r="E335">
            <v>2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</row>
        <row r="336">
          <cell r="A336" t="str">
            <v>453473</v>
          </cell>
          <cell r="B336" t="str">
            <v>1251</v>
          </cell>
          <cell r="C336" t="str">
            <v>12</v>
          </cell>
          <cell r="D336" t="str">
            <v>59</v>
          </cell>
          <cell r="E336">
            <v>3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</row>
        <row r="337">
          <cell r="A337" t="str">
            <v>453473</v>
          </cell>
          <cell r="B337" t="str">
            <v>1251</v>
          </cell>
          <cell r="C337" t="str">
            <v>12</v>
          </cell>
          <cell r="D337" t="str">
            <v>59</v>
          </cell>
          <cell r="E337">
            <v>4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</row>
        <row r="338">
          <cell r="A338" t="str">
            <v>453473</v>
          </cell>
          <cell r="B338" t="str">
            <v>1251</v>
          </cell>
          <cell r="C338" t="str">
            <v>12</v>
          </cell>
          <cell r="D338" t="str">
            <v>59</v>
          </cell>
          <cell r="E338">
            <v>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</row>
        <row r="339">
          <cell r="A339" t="str">
            <v>453473</v>
          </cell>
          <cell r="B339" t="str">
            <v>1251</v>
          </cell>
          <cell r="C339" t="str">
            <v>12</v>
          </cell>
          <cell r="D339" t="str">
            <v>59</v>
          </cell>
          <cell r="E339">
            <v>6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A340" t="str">
            <v>453473</v>
          </cell>
          <cell r="B340" t="str">
            <v>1251</v>
          </cell>
          <cell r="C340" t="str">
            <v>12</v>
          </cell>
          <cell r="D340" t="str">
            <v>59</v>
          </cell>
          <cell r="E340">
            <v>7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</row>
        <row r="341">
          <cell r="A341" t="str">
            <v>453473</v>
          </cell>
          <cell r="B341" t="str">
            <v>1251</v>
          </cell>
          <cell r="C341" t="str">
            <v>12</v>
          </cell>
          <cell r="D341" t="str">
            <v>59</v>
          </cell>
          <cell r="E341">
            <v>8</v>
          </cell>
          <cell r="G341">
            <v>6262</v>
          </cell>
          <cell r="H341">
            <v>0</v>
          </cell>
          <cell r="I341">
            <v>74258</v>
          </cell>
          <cell r="J341">
            <v>0</v>
          </cell>
          <cell r="K341">
            <v>80520</v>
          </cell>
          <cell r="L341">
            <v>0</v>
          </cell>
          <cell r="M341">
            <v>6262</v>
          </cell>
          <cell r="N341">
            <v>66999</v>
          </cell>
          <cell r="O341">
            <v>0</v>
          </cell>
          <cell r="P341">
            <v>0</v>
          </cell>
          <cell r="Q341">
            <v>7259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</row>
        <row r="342">
          <cell r="A342" t="str">
            <v>453473</v>
          </cell>
          <cell r="B342" t="str">
            <v>1251</v>
          </cell>
          <cell r="C342" t="str">
            <v>12</v>
          </cell>
          <cell r="D342" t="str">
            <v>59</v>
          </cell>
          <cell r="E342">
            <v>9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A343" t="str">
            <v>453473</v>
          </cell>
          <cell r="B343" t="str">
            <v>1251</v>
          </cell>
          <cell r="C343" t="str">
            <v>12</v>
          </cell>
          <cell r="D343" t="str">
            <v>59</v>
          </cell>
          <cell r="E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</row>
        <row r="344">
          <cell r="A344" t="str">
            <v>453473</v>
          </cell>
          <cell r="B344" t="str">
            <v>1251</v>
          </cell>
          <cell r="C344" t="str">
            <v>12</v>
          </cell>
          <cell r="D344" t="str">
            <v>59</v>
          </cell>
          <cell r="E344">
            <v>11</v>
          </cell>
          <cell r="G344">
            <v>6262</v>
          </cell>
          <cell r="H344">
            <v>0</v>
          </cell>
          <cell r="I344">
            <v>74258</v>
          </cell>
          <cell r="J344">
            <v>0</v>
          </cell>
          <cell r="K344">
            <v>80520</v>
          </cell>
          <cell r="L344">
            <v>0</v>
          </cell>
          <cell r="M344">
            <v>6262</v>
          </cell>
          <cell r="N344">
            <v>66999</v>
          </cell>
          <cell r="O344">
            <v>0</v>
          </cell>
          <cell r="P344">
            <v>0</v>
          </cell>
          <cell r="Q344">
            <v>7259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</row>
        <row r="345">
          <cell r="A345" t="str">
            <v>453473</v>
          </cell>
          <cell r="B345" t="str">
            <v>1251</v>
          </cell>
          <cell r="C345" t="str">
            <v>12</v>
          </cell>
          <cell r="D345" t="str">
            <v>59</v>
          </cell>
          <cell r="E345">
            <v>12</v>
          </cell>
          <cell r="G345">
            <v>0</v>
          </cell>
          <cell r="H345">
            <v>0</v>
          </cell>
          <cell r="I345">
            <v>7833</v>
          </cell>
          <cell r="J345">
            <v>0</v>
          </cell>
          <cell r="K345">
            <v>7833</v>
          </cell>
          <cell r="L345">
            <v>0</v>
          </cell>
          <cell r="M345">
            <v>0</v>
          </cell>
          <cell r="N345">
            <v>6857</v>
          </cell>
          <cell r="O345">
            <v>0</v>
          </cell>
          <cell r="P345">
            <v>0</v>
          </cell>
          <cell r="Q345">
            <v>976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</row>
        <row r="346">
          <cell r="A346" t="str">
            <v>453473</v>
          </cell>
          <cell r="B346" t="str">
            <v>1251</v>
          </cell>
          <cell r="C346" t="str">
            <v>12</v>
          </cell>
          <cell r="D346" t="str">
            <v>59</v>
          </cell>
          <cell r="E346">
            <v>13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A347" t="str">
            <v>453473</v>
          </cell>
          <cell r="B347" t="str">
            <v>1251</v>
          </cell>
          <cell r="C347" t="str">
            <v>12</v>
          </cell>
          <cell r="D347" t="str">
            <v>59</v>
          </cell>
          <cell r="E347">
            <v>14</v>
          </cell>
          <cell r="G347">
            <v>3390</v>
          </cell>
          <cell r="H347">
            <v>0</v>
          </cell>
          <cell r="I347">
            <v>32092</v>
          </cell>
          <cell r="J347">
            <v>0</v>
          </cell>
          <cell r="K347">
            <v>35482</v>
          </cell>
          <cell r="L347">
            <v>0</v>
          </cell>
          <cell r="M347">
            <v>3390</v>
          </cell>
          <cell r="N347">
            <v>26068</v>
          </cell>
          <cell r="O347">
            <v>0</v>
          </cell>
          <cell r="P347">
            <v>0</v>
          </cell>
          <cell r="Q347">
            <v>6024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A348" t="str">
            <v>453473</v>
          </cell>
          <cell r="B348" t="str">
            <v>1251</v>
          </cell>
          <cell r="C348" t="str">
            <v>12</v>
          </cell>
          <cell r="D348" t="str">
            <v>59</v>
          </cell>
          <cell r="E348">
            <v>15</v>
          </cell>
          <cell r="G348">
            <v>2872</v>
          </cell>
          <cell r="H348">
            <v>0</v>
          </cell>
          <cell r="I348">
            <v>34333</v>
          </cell>
          <cell r="J348">
            <v>0</v>
          </cell>
          <cell r="K348">
            <v>37205</v>
          </cell>
          <cell r="L348">
            <v>0</v>
          </cell>
          <cell r="M348">
            <v>2872</v>
          </cell>
          <cell r="N348">
            <v>34074</v>
          </cell>
          <cell r="O348">
            <v>0</v>
          </cell>
          <cell r="P348">
            <v>0</v>
          </cell>
          <cell r="Q348">
            <v>259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</row>
        <row r="349">
          <cell r="A349" t="str">
            <v>453473</v>
          </cell>
          <cell r="B349" t="str">
            <v>1251</v>
          </cell>
          <cell r="C349" t="str">
            <v>12</v>
          </cell>
          <cell r="D349" t="str">
            <v>59</v>
          </cell>
          <cell r="E349">
            <v>16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A350" t="str">
            <v>453473</v>
          </cell>
          <cell r="B350" t="str">
            <v>1251</v>
          </cell>
          <cell r="C350" t="str">
            <v>12</v>
          </cell>
          <cell r="D350" t="str">
            <v>59</v>
          </cell>
          <cell r="E350">
            <v>17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A351" t="str">
            <v>453473</v>
          </cell>
          <cell r="B351" t="str">
            <v>1251</v>
          </cell>
          <cell r="C351" t="str">
            <v>12</v>
          </cell>
          <cell r="D351" t="str">
            <v>59</v>
          </cell>
          <cell r="E351">
            <v>18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A352" t="str">
            <v>453473</v>
          </cell>
          <cell r="B352" t="str">
            <v>1251</v>
          </cell>
          <cell r="C352" t="str">
            <v>12</v>
          </cell>
          <cell r="D352" t="str">
            <v>59</v>
          </cell>
          <cell r="E352">
            <v>19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A353" t="str">
            <v>453473</v>
          </cell>
          <cell r="B353" t="str">
            <v>1251</v>
          </cell>
          <cell r="C353" t="str">
            <v>12</v>
          </cell>
          <cell r="D353" t="str">
            <v>59</v>
          </cell>
          <cell r="E353">
            <v>20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A354" t="str">
            <v>453473</v>
          </cell>
          <cell r="B354" t="str">
            <v>1251</v>
          </cell>
          <cell r="C354" t="str">
            <v>12</v>
          </cell>
          <cell r="D354" t="str">
            <v>59</v>
          </cell>
          <cell r="E354">
            <v>21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A355" t="str">
            <v>453473</v>
          </cell>
          <cell r="B355" t="str">
            <v>1251</v>
          </cell>
          <cell r="C355" t="str">
            <v>12</v>
          </cell>
          <cell r="D355" t="str">
            <v>59</v>
          </cell>
          <cell r="E355">
            <v>22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</row>
        <row r="356">
          <cell r="A356" t="str">
            <v>453473</v>
          </cell>
          <cell r="B356" t="str">
            <v>1251</v>
          </cell>
          <cell r="C356" t="str">
            <v>12</v>
          </cell>
          <cell r="D356" t="str">
            <v>59</v>
          </cell>
          <cell r="E356">
            <v>23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A357" t="str">
            <v>453473</v>
          </cell>
          <cell r="B357" t="str">
            <v>1251</v>
          </cell>
          <cell r="C357" t="str">
            <v>12</v>
          </cell>
          <cell r="D357" t="str">
            <v>59</v>
          </cell>
          <cell r="E357">
            <v>24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A358" t="str">
            <v>453473</v>
          </cell>
          <cell r="B358" t="str">
            <v>1251</v>
          </cell>
          <cell r="C358" t="str">
            <v>12</v>
          </cell>
          <cell r="D358" t="str">
            <v>59</v>
          </cell>
          <cell r="E358">
            <v>25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A359" t="str">
            <v>453473</v>
          </cell>
          <cell r="B359" t="str">
            <v>1251</v>
          </cell>
          <cell r="C359" t="str">
            <v>12</v>
          </cell>
          <cell r="D359" t="str">
            <v>59</v>
          </cell>
          <cell r="E359">
            <v>26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</row>
        <row r="360">
          <cell r="A360" t="str">
            <v>453473</v>
          </cell>
          <cell r="B360" t="str">
            <v>1251</v>
          </cell>
          <cell r="C360" t="str">
            <v>12</v>
          </cell>
          <cell r="D360" t="str">
            <v>59</v>
          </cell>
          <cell r="E360">
            <v>27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</row>
        <row r="361">
          <cell r="A361" t="str">
            <v>453473</v>
          </cell>
          <cell r="B361" t="str">
            <v>1251</v>
          </cell>
          <cell r="C361" t="str">
            <v>12</v>
          </cell>
          <cell r="D361" t="str">
            <v>59</v>
          </cell>
          <cell r="E361">
            <v>28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</row>
        <row r="362">
          <cell r="A362" t="str">
            <v>453473</v>
          </cell>
          <cell r="B362" t="str">
            <v>1251</v>
          </cell>
          <cell r="C362" t="str">
            <v>12</v>
          </cell>
          <cell r="D362" t="str">
            <v>59</v>
          </cell>
          <cell r="E362">
            <v>29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</row>
        <row r="363">
          <cell r="A363" t="str">
            <v>453473</v>
          </cell>
          <cell r="B363" t="str">
            <v>1251</v>
          </cell>
          <cell r="C363" t="str">
            <v>12</v>
          </cell>
          <cell r="D363" t="str">
            <v>59</v>
          </cell>
          <cell r="E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A364" t="str">
            <v>453473</v>
          </cell>
          <cell r="B364" t="str">
            <v>1251</v>
          </cell>
          <cell r="C364" t="str">
            <v>12</v>
          </cell>
          <cell r="D364" t="str">
            <v>59</v>
          </cell>
          <cell r="E364">
            <v>31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A365" t="str">
            <v>453473</v>
          </cell>
          <cell r="B365" t="str">
            <v>1251</v>
          </cell>
          <cell r="C365" t="str">
            <v>12</v>
          </cell>
          <cell r="D365" t="str">
            <v>59</v>
          </cell>
          <cell r="E365">
            <v>32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A366" t="str">
            <v>453473</v>
          </cell>
          <cell r="B366" t="str">
            <v>1251</v>
          </cell>
          <cell r="C366" t="str">
            <v>12</v>
          </cell>
          <cell r="D366" t="str">
            <v>59</v>
          </cell>
          <cell r="E366">
            <v>33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A367" t="str">
            <v>453473</v>
          </cell>
          <cell r="B367" t="str">
            <v>1251</v>
          </cell>
          <cell r="C367" t="str">
            <v>12</v>
          </cell>
          <cell r="D367" t="str">
            <v>59</v>
          </cell>
          <cell r="E367">
            <v>34</v>
          </cell>
          <cell r="G367">
            <v>6262</v>
          </cell>
          <cell r="H367">
            <v>0</v>
          </cell>
          <cell r="I367">
            <v>74258</v>
          </cell>
          <cell r="J367">
            <v>0</v>
          </cell>
          <cell r="K367">
            <v>80520</v>
          </cell>
          <cell r="L367">
            <v>0</v>
          </cell>
          <cell r="M367">
            <v>6262</v>
          </cell>
          <cell r="N367">
            <v>66999</v>
          </cell>
          <cell r="O367">
            <v>0</v>
          </cell>
          <cell r="P367">
            <v>0</v>
          </cell>
          <cell r="Q367">
            <v>7259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</row>
        <row r="368">
          <cell r="A368" t="str">
            <v>453473</v>
          </cell>
          <cell r="B368" t="str">
            <v>1251</v>
          </cell>
          <cell r="C368" t="str">
            <v>12</v>
          </cell>
          <cell r="D368" t="str">
            <v>75</v>
          </cell>
          <cell r="E368">
            <v>1</v>
          </cell>
          <cell r="G368">
            <v>7547</v>
          </cell>
          <cell r="H368">
            <v>5534</v>
          </cell>
          <cell r="I368">
            <v>-1</v>
          </cell>
          <cell r="J368">
            <v>0</v>
          </cell>
          <cell r="K368">
            <v>0</v>
          </cell>
          <cell r="L368">
            <v>1250</v>
          </cell>
          <cell r="M368">
            <v>700</v>
          </cell>
          <cell r="N368">
            <v>0</v>
          </cell>
          <cell r="O368">
            <v>0</v>
          </cell>
          <cell r="P368">
            <v>5533</v>
          </cell>
          <cell r="Q368">
            <v>355</v>
          </cell>
          <cell r="R368">
            <v>5888</v>
          </cell>
          <cell r="S368">
            <v>0</v>
          </cell>
          <cell r="T368">
            <v>1595</v>
          </cell>
          <cell r="U368">
            <v>-64</v>
          </cell>
          <cell r="V368">
            <v>0</v>
          </cell>
          <cell r="W368">
            <v>0</v>
          </cell>
        </row>
        <row r="369">
          <cell r="A369" t="str">
            <v>453473</v>
          </cell>
          <cell r="B369" t="str">
            <v>1251</v>
          </cell>
          <cell r="C369" t="str">
            <v>12</v>
          </cell>
          <cell r="D369" t="str">
            <v>75</v>
          </cell>
          <cell r="E369">
            <v>2</v>
          </cell>
          <cell r="G369">
            <v>900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900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900</v>
          </cell>
          <cell r="U369">
            <v>0</v>
          </cell>
          <cell r="V369">
            <v>0</v>
          </cell>
          <cell r="W369">
            <v>0</v>
          </cell>
        </row>
        <row r="370">
          <cell r="A370" t="str">
            <v>453473</v>
          </cell>
          <cell r="B370" t="str">
            <v>1251</v>
          </cell>
          <cell r="C370" t="str">
            <v>12</v>
          </cell>
          <cell r="D370" t="str">
            <v>75</v>
          </cell>
          <cell r="E370">
            <v>3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</row>
        <row r="371">
          <cell r="A371" t="str">
            <v>453473</v>
          </cell>
          <cell r="B371" t="str">
            <v>1251</v>
          </cell>
          <cell r="C371" t="str">
            <v>12</v>
          </cell>
          <cell r="D371" t="str">
            <v>75</v>
          </cell>
          <cell r="E371">
            <v>4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A372" t="str">
            <v>453473</v>
          </cell>
          <cell r="B372" t="str">
            <v>1251</v>
          </cell>
          <cell r="C372" t="str">
            <v>12</v>
          </cell>
          <cell r="D372" t="str">
            <v>75</v>
          </cell>
          <cell r="E372">
            <v>5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</row>
        <row r="373">
          <cell r="A373" t="str">
            <v>453473</v>
          </cell>
          <cell r="B373" t="str">
            <v>1251</v>
          </cell>
          <cell r="C373" t="str">
            <v>12</v>
          </cell>
          <cell r="D373" t="str">
            <v>75</v>
          </cell>
          <cell r="E373">
            <v>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</row>
        <row r="374">
          <cell r="A374" t="str">
            <v>453473</v>
          </cell>
          <cell r="B374" t="str">
            <v>1251</v>
          </cell>
          <cell r="C374" t="str">
            <v>12</v>
          </cell>
          <cell r="D374" t="str">
            <v>75</v>
          </cell>
          <cell r="E374">
            <v>7</v>
          </cell>
          <cell r="G374">
            <v>1372</v>
          </cell>
          <cell r="H374">
            <v>898</v>
          </cell>
          <cell r="I374">
            <v>0</v>
          </cell>
          <cell r="J374">
            <v>0</v>
          </cell>
          <cell r="K374">
            <v>0</v>
          </cell>
          <cell r="L374">
            <v>152</v>
          </cell>
          <cell r="M374">
            <v>320</v>
          </cell>
          <cell r="N374">
            <v>0</v>
          </cell>
          <cell r="O374">
            <v>0</v>
          </cell>
          <cell r="P374">
            <v>898</v>
          </cell>
          <cell r="Q374">
            <v>71</v>
          </cell>
          <cell r="R374">
            <v>969</v>
          </cell>
          <cell r="S374">
            <v>0</v>
          </cell>
          <cell r="T374">
            <v>401</v>
          </cell>
          <cell r="U374">
            <v>-2</v>
          </cell>
          <cell r="V374">
            <v>0</v>
          </cell>
          <cell r="W374">
            <v>0</v>
          </cell>
        </row>
        <row r="375">
          <cell r="A375" t="str">
            <v>453473</v>
          </cell>
          <cell r="B375" t="str">
            <v>1251</v>
          </cell>
          <cell r="C375" t="str">
            <v>12</v>
          </cell>
          <cell r="D375" t="str">
            <v>75</v>
          </cell>
          <cell r="E375">
            <v>8</v>
          </cell>
          <cell r="G375">
            <v>9819</v>
          </cell>
          <cell r="H375">
            <v>6432</v>
          </cell>
          <cell r="I375">
            <v>-1</v>
          </cell>
          <cell r="J375">
            <v>0</v>
          </cell>
          <cell r="K375">
            <v>0</v>
          </cell>
          <cell r="L375">
            <v>1402</v>
          </cell>
          <cell r="M375">
            <v>1920</v>
          </cell>
          <cell r="N375">
            <v>0</v>
          </cell>
          <cell r="O375">
            <v>0</v>
          </cell>
          <cell r="P375">
            <v>6431</v>
          </cell>
          <cell r="Q375">
            <v>426</v>
          </cell>
          <cell r="R375">
            <v>6857</v>
          </cell>
          <cell r="S375">
            <v>0</v>
          </cell>
          <cell r="T375">
            <v>2896</v>
          </cell>
          <cell r="U375">
            <v>-66</v>
          </cell>
          <cell r="V375">
            <v>0</v>
          </cell>
          <cell r="W375">
            <v>0</v>
          </cell>
        </row>
        <row r="376">
          <cell r="A376" t="str">
            <v>453473</v>
          </cell>
          <cell r="B376" t="str">
            <v>1251</v>
          </cell>
          <cell r="C376" t="str">
            <v>12</v>
          </cell>
          <cell r="D376" t="str">
            <v>75</v>
          </cell>
          <cell r="E376">
            <v>9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A377" t="str">
            <v>453473</v>
          </cell>
          <cell r="B377" t="str">
            <v>1251</v>
          </cell>
          <cell r="C377" t="str">
            <v>12</v>
          </cell>
          <cell r="D377" t="str">
            <v>75</v>
          </cell>
          <cell r="E377">
            <v>10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</row>
        <row r="378">
          <cell r="A378" t="str">
            <v>453473</v>
          </cell>
          <cell r="B378" t="str">
            <v>1251</v>
          </cell>
          <cell r="C378" t="str">
            <v>12</v>
          </cell>
          <cell r="D378" t="str">
            <v>75</v>
          </cell>
          <cell r="E378">
            <v>11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A379" t="str">
            <v>453473</v>
          </cell>
          <cell r="B379" t="str">
            <v>1251</v>
          </cell>
          <cell r="C379" t="str">
            <v>12</v>
          </cell>
          <cell r="D379" t="str">
            <v>75</v>
          </cell>
          <cell r="E379">
            <v>12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</row>
        <row r="380">
          <cell r="A380" t="str">
            <v>453473</v>
          </cell>
          <cell r="B380" t="str">
            <v>1251</v>
          </cell>
          <cell r="C380" t="str">
            <v>12</v>
          </cell>
          <cell r="D380" t="str">
            <v>75</v>
          </cell>
          <cell r="E380">
            <v>13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A381" t="str">
            <v>453473</v>
          </cell>
          <cell r="B381" t="str">
            <v>1251</v>
          </cell>
          <cell r="C381" t="str">
            <v>12</v>
          </cell>
          <cell r="D381" t="str">
            <v>75</v>
          </cell>
          <cell r="E381">
            <v>14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</row>
        <row r="382">
          <cell r="A382" t="str">
            <v>453473</v>
          </cell>
          <cell r="B382" t="str">
            <v>1251</v>
          </cell>
          <cell r="C382" t="str">
            <v>12</v>
          </cell>
          <cell r="D382" t="str">
            <v>75</v>
          </cell>
          <cell r="E382">
            <v>15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A383" t="str">
            <v>453473</v>
          </cell>
          <cell r="B383" t="str">
            <v>1251</v>
          </cell>
          <cell r="C383" t="str">
            <v>12</v>
          </cell>
          <cell r="D383" t="str">
            <v>75</v>
          </cell>
          <cell r="E383">
            <v>16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A384" t="str">
            <v>453473</v>
          </cell>
          <cell r="B384" t="str">
            <v>1251</v>
          </cell>
          <cell r="C384" t="str">
            <v>12</v>
          </cell>
          <cell r="D384" t="str">
            <v>75</v>
          </cell>
          <cell r="E384">
            <v>17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</row>
        <row r="385">
          <cell r="A385" t="str">
            <v>453473</v>
          </cell>
          <cell r="B385" t="str">
            <v>1251</v>
          </cell>
          <cell r="C385" t="str">
            <v>12</v>
          </cell>
          <cell r="D385" t="str">
            <v>75</v>
          </cell>
          <cell r="E385">
            <v>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A386" t="str">
            <v>453473</v>
          </cell>
          <cell r="B386" t="str">
            <v>1251</v>
          </cell>
          <cell r="C386" t="str">
            <v>12</v>
          </cell>
          <cell r="D386" t="str">
            <v>75</v>
          </cell>
          <cell r="E386">
            <v>19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A387" t="str">
            <v>453473</v>
          </cell>
          <cell r="B387" t="str">
            <v>1251</v>
          </cell>
          <cell r="C387" t="str">
            <v>12</v>
          </cell>
          <cell r="D387" t="str">
            <v>75</v>
          </cell>
          <cell r="E387">
            <v>20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</row>
        <row r="388">
          <cell r="A388" t="str">
            <v>453473</v>
          </cell>
          <cell r="B388" t="str">
            <v>1251</v>
          </cell>
          <cell r="C388" t="str">
            <v>12</v>
          </cell>
          <cell r="D388" t="str">
            <v>75</v>
          </cell>
          <cell r="E388">
            <v>21</v>
          </cell>
          <cell r="G388">
            <v>4500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4442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4442</v>
          </cell>
          <cell r="R388">
            <v>4442</v>
          </cell>
          <cell r="S388">
            <v>0</v>
          </cell>
          <cell r="T388">
            <v>0</v>
          </cell>
          <cell r="U388">
            <v>-58</v>
          </cell>
          <cell r="V388">
            <v>0</v>
          </cell>
          <cell r="W388">
            <v>0</v>
          </cell>
        </row>
        <row r="389">
          <cell r="A389" t="str">
            <v>453473</v>
          </cell>
          <cell r="B389" t="str">
            <v>1251</v>
          </cell>
          <cell r="C389" t="str">
            <v>12</v>
          </cell>
          <cell r="D389" t="str">
            <v>75</v>
          </cell>
          <cell r="E389">
            <v>22</v>
          </cell>
          <cell r="G389">
            <v>4500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4442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4442</v>
          </cell>
          <cell r="R389">
            <v>4442</v>
          </cell>
          <cell r="S389">
            <v>0</v>
          </cell>
          <cell r="T389">
            <v>0</v>
          </cell>
          <cell r="U389">
            <v>-58</v>
          </cell>
          <cell r="V389">
            <v>0</v>
          </cell>
          <cell r="W389">
            <v>0</v>
          </cell>
        </row>
        <row r="390">
          <cell r="A390" t="str">
            <v>453473</v>
          </cell>
          <cell r="B390" t="str">
            <v>1251</v>
          </cell>
          <cell r="C390" t="str">
            <v>12</v>
          </cell>
          <cell r="D390" t="str">
            <v>75</v>
          </cell>
          <cell r="E390">
            <v>23</v>
          </cell>
          <cell r="G390">
            <v>67824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67162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67162</v>
          </cell>
          <cell r="R390">
            <v>67162</v>
          </cell>
          <cell r="S390">
            <v>0</v>
          </cell>
          <cell r="T390">
            <v>0</v>
          </cell>
          <cell r="U390">
            <v>-662</v>
          </cell>
          <cell r="V390">
            <v>0</v>
          </cell>
          <cell r="W390">
            <v>0</v>
          </cell>
        </row>
        <row r="391">
          <cell r="A391" t="str">
            <v>453473</v>
          </cell>
          <cell r="B391" t="str">
            <v>1251</v>
          </cell>
          <cell r="C391" t="str">
            <v>12</v>
          </cell>
          <cell r="D391" t="str">
            <v>75</v>
          </cell>
          <cell r="E391">
            <v>24</v>
          </cell>
          <cell r="G391">
            <v>21931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21603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21603</v>
          </cell>
          <cell r="R391">
            <v>21603</v>
          </cell>
          <cell r="S391">
            <v>0</v>
          </cell>
          <cell r="T391">
            <v>0</v>
          </cell>
          <cell r="U391">
            <v>-328</v>
          </cell>
          <cell r="V391">
            <v>0</v>
          </cell>
          <cell r="W391">
            <v>0</v>
          </cell>
        </row>
        <row r="392">
          <cell r="A392" t="str">
            <v>453473</v>
          </cell>
          <cell r="B392" t="str">
            <v>1251</v>
          </cell>
          <cell r="C392" t="str">
            <v>12</v>
          </cell>
          <cell r="D392" t="str">
            <v>75</v>
          </cell>
          <cell r="E392">
            <v>25</v>
          </cell>
          <cell r="G392">
            <v>83576</v>
          </cell>
          <cell r="H392">
            <v>2659</v>
          </cell>
          <cell r="I392">
            <v>0</v>
          </cell>
          <cell r="J392">
            <v>0</v>
          </cell>
          <cell r="K392">
            <v>0</v>
          </cell>
          <cell r="L392">
            <v>73962</v>
          </cell>
          <cell r="M392">
            <v>6955</v>
          </cell>
          <cell r="N392">
            <v>0</v>
          </cell>
          <cell r="O392">
            <v>0</v>
          </cell>
          <cell r="P392">
            <v>2659</v>
          </cell>
          <cell r="Q392">
            <v>69355</v>
          </cell>
          <cell r="R392">
            <v>72014</v>
          </cell>
          <cell r="S392">
            <v>0</v>
          </cell>
          <cell r="T392">
            <v>11562</v>
          </cell>
          <cell r="U392">
            <v>0</v>
          </cell>
          <cell r="V392">
            <v>0</v>
          </cell>
          <cell r="W392">
            <v>0</v>
          </cell>
        </row>
        <row r="393">
          <cell r="A393" t="str">
            <v>453473</v>
          </cell>
          <cell r="B393" t="str">
            <v>1251</v>
          </cell>
          <cell r="C393" t="str">
            <v>12</v>
          </cell>
          <cell r="D393" t="str">
            <v>75</v>
          </cell>
          <cell r="E393">
            <v>26</v>
          </cell>
          <cell r="G393">
            <v>173331</v>
          </cell>
          <cell r="H393">
            <v>2659</v>
          </cell>
          <cell r="I393">
            <v>0</v>
          </cell>
          <cell r="J393">
            <v>0</v>
          </cell>
          <cell r="K393">
            <v>0</v>
          </cell>
          <cell r="L393">
            <v>162727</v>
          </cell>
          <cell r="M393">
            <v>6955</v>
          </cell>
          <cell r="N393">
            <v>0</v>
          </cell>
          <cell r="O393">
            <v>0</v>
          </cell>
          <cell r="P393">
            <v>2659</v>
          </cell>
          <cell r="Q393">
            <v>158120</v>
          </cell>
          <cell r="R393">
            <v>160779</v>
          </cell>
          <cell r="S393">
            <v>0</v>
          </cell>
          <cell r="T393">
            <v>11562</v>
          </cell>
          <cell r="U393">
            <v>-990</v>
          </cell>
          <cell r="V393">
            <v>0</v>
          </cell>
          <cell r="W393">
            <v>0</v>
          </cell>
        </row>
        <row r="394">
          <cell r="A394" t="str">
            <v>453473</v>
          </cell>
          <cell r="B394" t="str">
            <v>1251</v>
          </cell>
          <cell r="C394" t="str">
            <v>12</v>
          </cell>
          <cell r="D394" t="str">
            <v>75</v>
          </cell>
          <cell r="E394">
            <v>27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A395" t="str">
            <v>453473</v>
          </cell>
          <cell r="B395" t="str">
            <v>1251</v>
          </cell>
          <cell r="C395" t="str">
            <v>12</v>
          </cell>
          <cell r="D395" t="str">
            <v>75</v>
          </cell>
          <cell r="E395">
            <v>28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</row>
        <row r="396">
          <cell r="A396" t="str">
            <v>453473</v>
          </cell>
          <cell r="B396" t="str">
            <v>1251</v>
          </cell>
          <cell r="C396" t="str">
            <v>12</v>
          </cell>
          <cell r="D396" t="str">
            <v>75</v>
          </cell>
          <cell r="E396">
            <v>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A397" t="str">
            <v>453473</v>
          </cell>
          <cell r="B397" t="str">
            <v>1251</v>
          </cell>
          <cell r="C397" t="str">
            <v>12</v>
          </cell>
          <cell r="D397" t="str">
            <v>75</v>
          </cell>
          <cell r="E397">
            <v>30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A398" t="str">
            <v>453473</v>
          </cell>
          <cell r="B398" t="str">
            <v>1251</v>
          </cell>
          <cell r="C398" t="str">
            <v>12</v>
          </cell>
          <cell r="D398" t="str">
            <v>75</v>
          </cell>
          <cell r="E398">
            <v>31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</row>
        <row r="399">
          <cell r="A399" t="str">
            <v>453473</v>
          </cell>
          <cell r="B399" t="str">
            <v>1251</v>
          </cell>
          <cell r="C399" t="str">
            <v>12</v>
          </cell>
          <cell r="D399" t="str">
            <v>75</v>
          </cell>
          <cell r="E399">
            <v>32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A400" t="str">
            <v>453473</v>
          </cell>
          <cell r="B400" t="str">
            <v>1251</v>
          </cell>
          <cell r="C400" t="str">
            <v>12</v>
          </cell>
          <cell r="D400" t="str">
            <v>75</v>
          </cell>
          <cell r="E400">
            <v>33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A401" t="str">
            <v>453473</v>
          </cell>
          <cell r="B401" t="str">
            <v>1251</v>
          </cell>
          <cell r="C401" t="str">
            <v>12</v>
          </cell>
          <cell r="D401" t="str">
            <v>75</v>
          </cell>
          <cell r="E401">
            <v>34</v>
          </cell>
          <cell r="G401">
            <v>187650</v>
          </cell>
          <cell r="H401">
            <v>9091</v>
          </cell>
          <cell r="I401">
            <v>-1</v>
          </cell>
          <cell r="J401">
            <v>0</v>
          </cell>
          <cell r="K401">
            <v>0</v>
          </cell>
          <cell r="L401">
            <v>168571</v>
          </cell>
          <cell r="M401">
            <v>8875</v>
          </cell>
          <cell r="N401">
            <v>0</v>
          </cell>
          <cell r="O401">
            <v>0</v>
          </cell>
          <cell r="P401">
            <v>9090</v>
          </cell>
          <cell r="Q401">
            <v>162988</v>
          </cell>
          <cell r="R401">
            <v>172078</v>
          </cell>
          <cell r="S401">
            <v>0</v>
          </cell>
          <cell r="T401">
            <v>14458</v>
          </cell>
          <cell r="U401">
            <v>-1114</v>
          </cell>
          <cell r="V401">
            <v>0</v>
          </cell>
          <cell r="W401">
            <v>0</v>
          </cell>
        </row>
        <row r="402">
          <cell r="A402" t="str">
            <v>453473</v>
          </cell>
          <cell r="B402" t="str">
            <v>1251</v>
          </cell>
          <cell r="C402" t="str">
            <v>12</v>
          </cell>
          <cell r="D402" t="str">
            <v>80</v>
          </cell>
          <cell r="E402">
            <v>1</v>
          </cell>
          <cell r="G402">
            <v>53207</v>
          </cell>
          <cell r="H402">
            <v>53270</v>
          </cell>
          <cell r="I402">
            <v>52222</v>
          </cell>
          <cell r="J402">
            <v>0</v>
          </cell>
          <cell r="K402">
            <v>11314</v>
          </cell>
          <cell r="L402">
            <v>10814</v>
          </cell>
          <cell r="M402">
            <v>11334</v>
          </cell>
          <cell r="N402">
            <v>0</v>
          </cell>
          <cell r="O402">
            <v>3740</v>
          </cell>
          <cell r="P402">
            <v>3740</v>
          </cell>
          <cell r="Q402">
            <v>3606</v>
          </cell>
          <cell r="R402">
            <v>0</v>
          </cell>
          <cell r="S402">
            <v>68261</v>
          </cell>
          <cell r="T402">
            <v>67824</v>
          </cell>
          <cell r="U402">
            <v>67162</v>
          </cell>
          <cell r="V402">
            <v>0</v>
          </cell>
          <cell r="W402">
            <v>0</v>
          </cell>
        </row>
        <row r="403">
          <cell r="A403" t="str">
            <v>453473</v>
          </cell>
          <cell r="B403" t="str">
            <v>1251</v>
          </cell>
          <cell r="C403" t="str">
            <v>12</v>
          </cell>
          <cell r="D403" t="str">
            <v>80</v>
          </cell>
          <cell r="E403">
            <v>5</v>
          </cell>
          <cell r="G403">
            <v>21079</v>
          </cell>
          <cell r="H403">
            <v>21079</v>
          </cell>
          <cell r="I403">
            <v>20679</v>
          </cell>
          <cell r="J403">
            <v>0</v>
          </cell>
          <cell r="K403">
            <v>852</v>
          </cell>
          <cell r="L403">
            <v>852</v>
          </cell>
          <cell r="M403">
            <v>924</v>
          </cell>
          <cell r="N403">
            <v>0</v>
          </cell>
          <cell r="O403">
            <v>67632</v>
          </cell>
          <cell r="P403">
            <v>73042</v>
          </cell>
          <cell r="Q403">
            <v>63307</v>
          </cell>
          <cell r="R403">
            <v>0</v>
          </cell>
          <cell r="S403">
            <v>9788</v>
          </cell>
          <cell r="T403">
            <v>10398</v>
          </cell>
          <cell r="U403">
            <v>8362</v>
          </cell>
          <cell r="V403">
            <v>0</v>
          </cell>
          <cell r="W403">
            <v>0</v>
          </cell>
        </row>
        <row r="404">
          <cell r="A404" t="str">
            <v>453473</v>
          </cell>
          <cell r="B404" t="str">
            <v>1251</v>
          </cell>
          <cell r="C404" t="str">
            <v>12</v>
          </cell>
          <cell r="D404" t="str">
            <v>80</v>
          </cell>
          <cell r="E404">
            <v>9</v>
          </cell>
          <cell r="G404">
            <v>136</v>
          </cell>
          <cell r="H404">
            <v>136</v>
          </cell>
          <cell r="I404">
            <v>345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A405" t="str">
            <v>453473</v>
          </cell>
          <cell r="B405" t="str">
            <v>1251</v>
          </cell>
          <cell r="C405" t="str">
            <v>12</v>
          </cell>
          <cell r="D405" t="str">
            <v>80</v>
          </cell>
          <cell r="E405">
            <v>13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</row>
        <row r="406">
          <cell r="A406" t="str">
            <v>453473</v>
          </cell>
          <cell r="B406" t="str">
            <v>1251</v>
          </cell>
          <cell r="C406" t="str">
            <v>12</v>
          </cell>
          <cell r="D406" t="str">
            <v>80</v>
          </cell>
          <cell r="E406">
            <v>17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</row>
        <row r="407">
          <cell r="A407" t="str">
            <v>453473</v>
          </cell>
          <cell r="B407" t="str">
            <v>1251</v>
          </cell>
          <cell r="C407" t="str">
            <v>12</v>
          </cell>
          <cell r="D407" t="str">
            <v>80</v>
          </cell>
          <cell r="E407">
            <v>21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A408" t="str">
            <v>453473</v>
          </cell>
          <cell r="B408" t="str">
            <v>1251</v>
          </cell>
          <cell r="C408" t="str">
            <v>12</v>
          </cell>
          <cell r="D408" t="str">
            <v>80</v>
          </cell>
          <cell r="E408">
            <v>25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A409" t="str">
            <v>453473</v>
          </cell>
          <cell r="B409" t="str">
            <v>1251</v>
          </cell>
          <cell r="C409" t="str">
            <v>12</v>
          </cell>
          <cell r="D409" t="str">
            <v>80</v>
          </cell>
          <cell r="E409">
            <v>29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A410" t="str">
            <v>453473</v>
          </cell>
          <cell r="B410" t="str">
            <v>1251</v>
          </cell>
          <cell r="C410" t="str">
            <v>12</v>
          </cell>
          <cell r="D410" t="str">
            <v>80</v>
          </cell>
          <cell r="E410">
            <v>33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4000</v>
          </cell>
          <cell r="L410">
            <v>4500</v>
          </cell>
          <cell r="M410">
            <v>4442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4000</v>
          </cell>
          <cell r="T410">
            <v>4500</v>
          </cell>
          <cell r="U410">
            <v>4442</v>
          </cell>
          <cell r="V410">
            <v>0</v>
          </cell>
          <cell r="W410">
            <v>0</v>
          </cell>
        </row>
        <row r="411">
          <cell r="A411" t="str">
            <v>453473</v>
          </cell>
          <cell r="B411" t="str">
            <v>1251</v>
          </cell>
          <cell r="C411" t="str">
            <v>12</v>
          </cell>
          <cell r="D411" t="str">
            <v>80</v>
          </cell>
          <cell r="E411">
            <v>37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171748</v>
          </cell>
          <cell r="L411">
            <v>177831</v>
          </cell>
          <cell r="M411">
            <v>165221</v>
          </cell>
          <cell r="N411">
            <v>0</v>
          </cell>
          <cell r="O411">
            <v>1080</v>
          </cell>
          <cell r="P411">
            <v>1080</v>
          </cell>
          <cell r="Q411">
            <v>0</v>
          </cell>
          <cell r="R411">
            <v>0</v>
          </cell>
          <cell r="S411">
            <v>1270</v>
          </cell>
          <cell r="T411">
            <v>7547</v>
          </cell>
          <cell r="U411">
            <v>5888</v>
          </cell>
          <cell r="V411">
            <v>0</v>
          </cell>
          <cell r="W411">
            <v>0</v>
          </cell>
        </row>
        <row r="412">
          <cell r="A412" t="str">
            <v>453473</v>
          </cell>
          <cell r="B412" t="str">
            <v>1251</v>
          </cell>
          <cell r="C412" t="str">
            <v>12</v>
          </cell>
          <cell r="D412" t="str">
            <v>80</v>
          </cell>
          <cell r="E412">
            <v>41</v>
          </cell>
          <cell r="G412">
            <v>254</v>
          </cell>
          <cell r="H412">
            <v>1192</v>
          </cell>
          <cell r="I412">
            <v>969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</row>
        <row r="413">
          <cell r="A413" t="str">
            <v>453473</v>
          </cell>
          <cell r="B413" t="str">
            <v>1251</v>
          </cell>
          <cell r="C413" t="str">
            <v>12</v>
          </cell>
          <cell r="D413" t="str">
            <v>80</v>
          </cell>
          <cell r="E413">
            <v>45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</row>
        <row r="414">
          <cell r="A414" t="str">
            <v>453473</v>
          </cell>
          <cell r="B414" t="str">
            <v>1251</v>
          </cell>
          <cell r="C414" t="str">
            <v>12</v>
          </cell>
          <cell r="D414" t="str">
            <v>80</v>
          </cell>
          <cell r="E414">
            <v>49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</row>
        <row r="415">
          <cell r="A415" t="str">
            <v>453473</v>
          </cell>
          <cell r="B415" t="str">
            <v>1251</v>
          </cell>
          <cell r="C415" t="str">
            <v>12</v>
          </cell>
          <cell r="D415" t="str">
            <v>80</v>
          </cell>
          <cell r="E415">
            <v>53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</row>
        <row r="416">
          <cell r="A416" t="str">
            <v>453473</v>
          </cell>
          <cell r="B416" t="str">
            <v>1251</v>
          </cell>
          <cell r="C416" t="str">
            <v>12</v>
          </cell>
          <cell r="D416" t="str">
            <v>80</v>
          </cell>
          <cell r="E416">
            <v>57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</row>
        <row r="417">
          <cell r="A417" t="str">
            <v>453473</v>
          </cell>
          <cell r="B417" t="str">
            <v>1251</v>
          </cell>
          <cell r="C417" t="str">
            <v>12</v>
          </cell>
          <cell r="D417" t="str">
            <v>80</v>
          </cell>
          <cell r="E417">
            <v>61</v>
          </cell>
          <cell r="G417">
            <v>2604</v>
          </cell>
          <cell r="H417">
            <v>9819</v>
          </cell>
          <cell r="I417">
            <v>6857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</row>
        <row r="418">
          <cell r="A418" t="str">
            <v>453473</v>
          </cell>
          <cell r="B418" t="str">
            <v>1251</v>
          </cell>
          <cell r="C418" t="str">
            <v>12</v>
          </cell>
          <cell r="D418" t="str">
            <v>80</v>
          </cell>
          <cell r="E418">
            <v>65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174352</v>
          </cell>
          <cell r="P418">
            <v>187650</v>
          </cell>
          <cell r="Q418">
            <v>172078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</row>
        <row r="419">
          <cell r="A419" t="str">
            <v>453473</v>
          </cell>
          <cell r="B419" t="str">
            <v>1251</v>
          </cell>
          <cell r="C419" t="str">
            <v>12</v>
          </cell>
          <cell r="D419" t="str">
            <v>80</v>
          </cell>
          <cell r="E419">
            <v>69</v>
          </cell>
          <cell r="G419">
            <v>23873</v>
          </cell>
          <cell r="H419">
            <v>25333</v>
          </cell>
          <cell r="I419">
            <v>25332</v>
          </cell>
          <cell r="J419">
            <v>0</v>
          </cell>
          <cell r="K419">
            <v>3364</v>
          </cell>
          <cell r="L419">
            <v>3884</v>
          </cell>
          <cell r="M419">
            <v>3893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</row>
        <row r="420">
          <cell r="A420" t="str">
            <v>453473</v>
          </cell>
          <cell r="B420" t="str">
            <v>1251</v>
          </cell>
          <cell r="C420" t="str">
            <v>12</v>
          </cell>
          <cell r="D420" t="str">
            <v>80</v>
          </cell>
          <cell r="E420">
            <v>73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</row>
        <row r="421">
          <cell r="A421" t="str">
            <v>453473</v>
          </cell>
          <cell r="B421" t="str">
            <v>1251</v>
          </cell>
          <cell r="C421" t="str">
            <v>12</v>
          </cell>
          <cell r="D421" t="str">
            <v>80</v>
          </cell>
          <cell r="E421">
            <v>77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</row>
        <row r="422">
          <cell r="A422" t="str">
            <v>453473</v>
          </cell>
          <cell r="B422" t="str">
            <v>1251</v>
          </cell>
          <cell r="C422" t="str">
            <v>12</v>
          </cell>
          <cell r="D422" t="str">
            <v>80</v>
          </cell>
          <cell r="E422">
            <v>81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</row>
        <row r="423">
          <cell r="A423" t="str">
            <v>453473</v>
          </cell>
          <cell r="B423" t="str">
            <v>1251</v>
          </cell>
          <cell r="C423" t="str">
            <v>12</v>
          </cell>
          <cell r="D423" t="str">
            <v>80</v>
          </cell>
          <cell r="E423">
            <v>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</row>
        <row r="424">
          <cell r="A424" t="str">
            <v>453473</v>
          </cell>
          <cell r="B424" t="str">
            <v>1251</v>
          </cell>
          <cell r="C424" t="str">
            <v>12</v>
          </cell>
          <cell r="D424" t="str">
            <v>80</v>
          </cell>
          <cell r="E424">
            <v>89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563</v>
          </cell>
          <cell r="Q424">
            <v>563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</row>
        <row r="425">
          <cell r="A425" t="str">
            <v>453473</v>
          </cell>
          <cell r="B425" t="str">
            <v>1251</v>
          </cell>
          <cell r="C425" t="str">
            <v>12</v>
          </cell>
          <cell r="D425" t="str">
            <v>80</v>
          </cell>
          <cell r="E425">
            <v>93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</row>
        <row r="426">
          <cell r="A426" t="str">
            <v>453473</v>
          </cell>
          <cell r="B426" t="str">
            <v>1251</v>
          </cell>
          <cell r="C426" t="str">
            <v>12</v>
          </cell>
          <cell r="D426" t="str">
            <v>80</v>
          </cell>
          <cell r="E426">
            <v>97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563</v>
          </cell>
          <cell r="M426">
            <v>563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</row>
        <row r="427">
          <cell r="A427" t="str">
            <v>453473</v>
          </cell>
          <cell r="B427" t="str">
            <v>1251</v>
          </cell>
          <cell r="C427" t="str">
            <v>12</v>
          </cell>
          <cell r="D427" t="str">
            <v>80</v>
          </cell>
          <cell r="E427">
            <v>101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</row>
        <row r="428">
          <cell r="A428" t="str">
            <v>453473</v>
          </cell>
          <cell r="B428" t="str">
            <v>1251</v>
          </cell>
          <cell r="C428" t="str">
            <v>12</v>
          </cell>
          <cell r="D428" t="str">
            <v>80</v>
          </cell>
          <cell r="E428">
            <v>105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</row>
        <row r="429">
          <cell r="A429" t="str">
            <v>453473</v>
          </cell>
          <cell r="B429" t="str">
            <v>1251</v>
          </cell>
          <cell r="C429" t="str">
            <v>12</v>
          </cell>
          <cell r="D429" t="str">
            <v>80</v>
          </cell>
          <cell r="E429">
            <v>109</v>
          </cell>
          <cell r="G429">
            <v>0</v>
          </cell>
          <cell r="H429">
            <v>208</v>
          </cell>
          <cell r="I429">
            <v>208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</row>
        <row r="430">
          <cell r="A430" t="str">
            <v>453473</v>
          </cell>
          <cell r="B430" t="str">
            <v>1251</v>
          </cell>
          <cell r="C430" t="str">
            <v>12</v>
          </cell>
          <cell r="D430" t="str">
            <v>80</v>
          </cell>
          <cell r="E430">
            <v>113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208</v>
          </cell>
          <cell r="Q430">
            <v>208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</row>
        <row r="431">
          <cell r="A431" t="str">
            <v>453473</v>
          </cell>
          <cell r="B431" t="str">
            <v>1251</v>
          </cell>
          <cell r="C431" t="str">
            <v>12</v>
          </cell>
          <cell r="D431" t="str">
            <v>80</v>
          </cell>
          <cell r="E431">
            <v>117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</row>
        <row r="432">
          <cell r="A432" t="str">
            <v>453473</v>
          </cell>
          <cell r="B432" t="str">
            <v>1251</v>
          </cell>
          <cell r="C432" t="str">
            <v>12</v>
          </cell>
          <cell r="D432" t="str">
            <v>80</v>
          </cell>
          <cell r="E432">
            <v>121</v>
          </cell>
          <cell r="G432">
            <v>27237</v>
          </cell>
          <cell r="H432">
            <v>29988</v>
          </cell>
          <cell r="I432">
            <v>29996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147115</v>
          </cell>
          <cell r="P432">
            <v>157273</v>
          </cell>
          <cell r="Q432">
            <v>142031</v>
          </cell>
          <cell r="R432">
            <v>0</v>
          </cell>
          <cell r="S432">
            <v>0</v>
          </cell>
          <cell r="T432">
            <v>389</v>
          </cell>
          <cell r="U432">
            <v>51</v>
          </cell>
          <cell r="V432">
            <v>0</v>
          </cell>
          <cell r="W432">
            <v>0</v>
          </cell>
        </row>
        <row r="433">
          <cell r="A433" t="str">
            <v>453473</v>
          </cell>
          <cell r="B433" t="str">
            <v>1251</v>
          </cell>
          <cell r="C433" t="str">
            <v>12</v>
          </cell>
          <cell r="D433" t="str">
            <v>80</v>
          </cell>
          <cell r="E433">
            <v>125</v>
          </cell>
          <cell r="G433">
            <v>0</v>
          </cell>
          <cell r="H433">
            <v>389</v>
          </cell>
          <cell r="I433">
            <v>389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</row>
        <row r="434">
          <cell r="A434" t="str">
            <v>453473</v>
          </cell>
          <cell r="B434" t="str">
            <v>1251</v>
          </cell>
          <cell r="C434" t="str">
            <v>12</v>
          </cell>
          <cell r="D434" t="str">
            <v>80</v>
          </cell>
          <cell r="E434">
            <v>129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</row>
        <row r="435">
          <cell r="A435" t="str">
            <v>453473</v>
          </cell>
          <cell r="B435" t="str">
            <v>1251</v>
          </cell>
          <cell r="C435" t="str">
            <v>12</v>
          </cell>
          <cell r="D435" t="str">
            <v>80</v>
          </cell>
          <cell r="E435">
            <v>133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-304</v>
          </cell>
          <cell r="R435">
            <v>0</v>
          </cell>
          <cell r="S435">
            <v>0</v>
          </cell>
          <cell r="T435">
            <v>0</v>
          </cell>
          <cell r="U435">
            <v>-304</v>
          </cell>
          <cell r="V435">
            <v>0</v>
          </cell>
          <cell r="W435">
            <v>0</v>
          </cell>
        </row>
        <row r="436">
          <cell r="A436" t="str">
            <v>453473</v>
          </cell>
          <cell r="B436" t="str">
            <v>1251</v>
          </cell>
          <cell r="C436" t="str">
            <v>12</v>
          </cell>
          <cell r="D436" t="str">
            <v>80</v>
          </cell>
          <cell r="E436">
            <v>137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</row>
        <row r="437">
          <cell r="A437" t="str">
            <v>453473</v>
          </cell>
          <cell r="B437" t="str">
            <v>1251</v>
          </cell>
          <cell r="C437" t="str">
            <v>12</v>
          </cell>
          <cell r="D437" t="str">
            <v>80</v>
          </cell>
          <cell r="E437">
            <v>141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</row>
        <row r="438">
          <cell r="A438" t="str">
            <v>453473</v>
          </cell>
          <cell r="B438" t="str">
            <v>1251</v>
          </cell>
          <cell r="C438" t="str">
            <v>12</v>
          </cell>
          <cell r="D438" t="str">
            <v>80</v>
          </cell>
          <cell r="E438">
            <v>145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389</v>
          </cell>
          <cell r="U438">
            <v>693</v>
          </cell>
          <cell r="V438">
            <v>0</v>
          </cell>
          <cell r="W438">
            <v>0</v>
          </cell>
        </row>
        <row r="439">
          <cell r="A439" t="str">
            <v>453473</v>
          </cell>
          <cell r="B439" t="str">
            <v>1251</v>
          </cell>
          <cell r="C439" t="str">
            <v>12</v>
          </cell>
          <cell r="D439" t="str">
            <v>80</v>
          </cell>
          <cell r="E439">
            <v>149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A440" t="str">
            <v>453473</v>
          </cell>
          <cell r="B440" t="str">
            <v>1251</v>
          </cell>
          <cell r="C440" t="str">
            <v>12</v>
          </cell>
          <cell r="D440" t="str">
            <v>80</v>
          </cell>
          <cell r="E440">
            <v>153</v>
          </cell>
          <cell r="G440">
            <v>0</v>
          </cell>
          <cell r="H440">
            <v>0</v>
          </cell>
          <cell r="I440">
            <v>253</v>
          </cell>
          <cell r="J440">
            <v>0</v>
          </cell>
          <cell r="K440">
            <v>0</v>
          </cell>
          <cell r="L440">
            <v>0</v>
          </cell>
          <cell r="M440">
            <v>36</v>
          </cell>
          <cell r="N440">
            <v>0</v>
          </cell>
          <cell r="O440">
            <v>0</v>
          </cell>
          <cell r="P440">
            <v>0</v>
          </cell>
          <cell r="Q440">
            <v>289</v>
          </cell>
          <cell r="R440">
            <v>0</v>
          </cell>
          <cell r="S440">
            <v>33</v>
          </cell>
          <cell r="T440">
            <v>33</v>
          </cell>
          <cell r="U440">
            <v>33</v>
          </cell>
          <cell r="V440">
            <v>0</v>
          </cell>
          <cell r="W440">
            <v>0</v>
          </cell>
        </row>
        <row r="441">
          <cell r="A441" t="str">
            <v>453473</v>
          </cell>
          <cell r="B441" t="str">
            <v>1251</v>
          </cell>
          <cell r="C441" t="str">
            <v>12</v>
          </cell>
          <cell r="D441" t="str">
            <v>80</v>
          </cell>
          <cell r="E441">
            <v>157</v>
          </cell>
          <cell r="G441">
            <v>0</v>
          </cell>
          <cell r="H441">
            <v>0</v>
          </cell>
          <cell r="I441">
            <v>33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</row>
        <row r="442">
          <cell r="A442" t="str">
            <v>453374</v>
          </cell>
          <cell r="B442" t="str">
            <v>1251</v>
          </cell>
          <cell r="C442" t="str">
            <v>12</v>
          </cell>
          <cell r="D442" t="str">
            <v>01</v>
          </cell>
          <cell r="E442">
            <v>1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679</v>
          </cell>
          <cell r="N442">
            <v>417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679</v>
          </cell>
          <cell r="T442">
            <v>417</v>
          </cell>
          <cell r="U442">
            <v>0</v>
          </cell>
          <cell r="V442">
            <v>0</v>
          </cell>
          <cell r="W442">
            <v>0</v>
          </cell>
        </row>
        <row r="443">
          <cell r="A443" t="str">
            <v>453374</v>
          </cell>
          <cell r="B443" t="str">
            <v>1251</v>
          </cell>
          <cell r="C443" t="str">
            <v>12</v>
          </cell>
          <cell r="D443" t="str">
            <v>01</v>
          </cell>
          <cell r="E443">
            <v>8</v>
          </cell>
          <cell r="G443">
            <v>171083</v>
          </cell>
          <cell r="H443">
            <v>167115</v>
          </cell>
          <cell r="I443">
            <v>58749</v>
          </cell>
          <cell r="J443">
            <v>38448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39283</v>
          </cell>
          <cell r="P443">
            <v>48518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</row>
        <row r="444">
          <cell r="A444" t="str">
            <v>453374</v>
          </cell>
          <cell r="B444" t="str">
            <v>1251</v>
          </cell>
          <cell r="C444" t="str">
            <v>12</v>
          </cell>
          <cell r="D444" t="str">
            <v>01</v>
          </cell>
          <cell r="E444">
            <v>15</v>
          </cell>
          <cell r="G444">
            <v>0</v>
          </cell>
          <cell r="H444">
            <v>0</v>
          </cell>
          <cell r="I444">
            <v>269115</v>
          </cell>
          <cell r="J444">
            <v>254081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</row>
        <row r="445">
          <cell r="A445" t="str">
            <v>453374</v>
          </cell>
          <cell r="B445" t="str">
            <v>1251</v>
          </cell>
          <cell r="C445" t="str">
            <v>12</v>
          </cell>
          <cell r="D445" t="str">
            <v>01</v>
          </cell>
          <cell r="E445">
            <v>22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</row>
        <row r="446">
          <cell r="A446" t="str">
            <v>453374</v>
          </cell>
          <cell r="B446" t="str">
            <v>1251</v>
          </cell>
          <cell r="C446" t="str">
            <v>12</v>
          </cell>
          <cell r="D446" t="str">
            <v>01</v>
          </cell>
          <cell r="E446">
            <v>29</v>
          </cell>
          <cell r="G446">
            <v>0</v>
          </cell>
          <cell r="H446">
            <v>0</v>
          </cell>
          <cell r="I446">
            <v>269794</v>
          </cell>
          <cell r="J446">
            <v>254498</v>
          </cell>
          <cell r="K446">
            <v>1050</v>
          </cell>
          <cell r="L446">
            <v>1783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</row>
        <row r="447">
          <cell r="A447" t="str">
            <v>453374</v>
          </cell>
          <cell r="B447" t="str">
            <v>1251</v>
          </cell>
          <cell r="C447" t="str">
            <v>12</v>
          </cell>
          <cell r="D447" t="str">
            <v>01</v>
          </cell>
          <cell r="E447">
            <v>36</v>
          </cell>
          <cell r="G447">
            <v>0</v>
          </cell>
          <cell r="H447">
            <v>0</v>
          </cell>
          <cell r="I447">
            <v>1050</v>
          </cell>
          <cell r="J447">
            <v>1783</v>
          </cell>
          <cell r="K447">
            <v>93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</row>
        <row r="448">
          <cell r="A448" t="str">
            <v>453374</v>
          </cell>
          <cell r="B448" t="str">
            <v>1251</v>
          </cell>
          <cell r="C448" t="str">
            <v>12</v>
          </cell>
          <cell r="D448" t="str">
            <v>01</v>
          </cell>
          <cell r="E448">
            <v>43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93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</row>
        <row r="449">
          <cell r="A449" t="str">
            <v>453374</v>
          </cell>
          <cell r="B449" t="str">
            <v>1251</v>
          </cell>
          <cell r="C449" t="str">
            <v>12</v>
          </cell>
          <cell r="D449" t="str">
            <v>01</v>
          </cell>
          <cell r="E449">
            <v>50</v>
          </cell>
          <cell r="G449">
            <v>0</v>
          </cell>
          <cell r="H449">
            <v>0</v>
          </cell>
          <cell r="I449">
            <v>18</v>
          </cell>
          <cell r="J449">
            <v>48</v>
          </cell>
          <cell r="K449">
            <v>0</v>
          </cell>
          <cell r="L449">
            <v>22212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18</v>
          </cell>
          <cell r="R449">
            <v>22260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A450" t="str">
            <v>453374</v>
          </cell>
          <cell r="B450" t="str">
            <v>1251</v>
          </cell>
          <cell r="C450" t="str">
            <v>12</v>
          </cell>
          <cell r="D450" t="str">
            <v>01</v>
          </cell>
          <cell r="E450">
            <v>57</v>
          </cell>
          <cell r="G450">
            <v>719</v>
          </cell>
          <cell r="H450">
            <v>430</v>
          </cell>
          <cell r="I450">
            <v>6079</v>
          </cell>
          <cell r="J450">
            <v>0</v>
          </cell>
          <cell r="K450">
            <v>0</v>
          </cell>
          <cell r="L450">
            <v>0</v>
          </cell>
          <cell r="M450">
            <v>6798</v>
          </cell>
          <cell r="N450">
            <v>430</v>
          </cell>
          <cell r="O450">
            <v>7959</v>
          </cell>
          <cell r="P450">
            <v>24473</v>
          </cell>
          <cell r="Q450">
            <v>277753</v>
          </cell>
          <cell r="R450">
            <v>278971</v>
          </cell>
          <cell r="S450">
            <v>52438</v>
          </cell>
          <cell r="T450">
            <v>52438</v>
          </cell>
          <cell r="U450">
            <v>0</v>
          </cell>
          <cell r="V450">
            <v>0</v>
          </cell>
          <cell r="W450">
            <v>0</v>
          </cell>
        </row>
        <row r="451">
          <cell r="A451" t="str">
            <v>453374</v>
          </cell>
          <cell r="B451" t="str">
            <v>1251</v>
          </cell>
          <cell r="C451" t="str">
            <v>12</v>
          </cell>
          <cell r="D451" t="str">
            <v>01</v>
          </cell>
          <cell r="E451">
            <v>64</v>
          </cell>
          <cell r="G451">
            <v>215255</v>
          </cell>
          <cell r="H451">
            <v>198959</v>
          </cell>
          <cell r="I451">
            <v>0</v>
          </cell>
          <cell r="J451">
            <v>0</v>
          </cell>
          <cell r="K451">
            <v>267693</v>
          </cell>
          <cell r="L451">
            <v>251397</v>
          </cell>
          <cell r="M451">
            <v>6816</v>
          </cell>
          <cell r="N451">
            <v>22690</v>
          </cell>
          <cell r="O451">
            <v>6816</v>
          </cell>
          <cell r="P451">
            <v>22690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A452" t="str">
            <v>453374</v>
          </cell>
          <cell r="B452" t="str">
            <v>1251</v>
          </cell>
          <cell r="C452" t="str">
            <v>12</v>
          </cell>
          <cell r="D452" t="str">
            <v>01</v>
          </cell>
          <cell r="E452">
            <v>71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6816</v>
          </cell>
          <cell r="N452">
            <v>22690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A453" t="str">
            <v>453374</v>
          </cell>
          <cell r="B453" t="str">
            <v>1251</v>
          </cell>
          <cell r="C453" t="str">
            <v>12</v>
          </cell>
          <cell r="D453" t="str">
            <v>01</v>
          </cell>
          <cell r="E453">
            <v>78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6816</v>
          </cell>
          <cell r="P453">
            <v>22690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</row>
        <row r="454">
          <cell r="A454" t="str">
            <v>453374</v>
          </cell>
          <cell r="B454" t="str">
            <v>1251</v>
          </cell>
          <cell r="C454" t="str">
            <v>12</v>
          </cell>
          <cell r="D454" t="str">
            <v>01</v>
          </cell>
          <cell r="E454">
            <v>85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</row>
        <row r="455">
          <cell r="A455" t="str">
            <v>453374</v>
          </cell>
          <cell r="B455" t="str">
            <v>1251</v>
          </cell>
          <cell r="C455" t="str">
            <v>12</v>
          </cell>
          <cell r="D455" t="str">
            <v>01</v>
          </cell>
          <cell r="E455">
            <v>92</v>
          </cell>
          <cell r="G455">
            <v>3060</v>
          </cell>
          <cell r="H455">
            <v>3194</v>
          </cell>
          <cell r="I455">
            <v>267</v>
          </cell>
          <cell r="J455">
            <v>3194</v>
          </cell>
          <cell r="K455">
            <v>2793</v>
          </cell>
          <cell r="L455">
            <v>0</v>
          </cell>
          <cell r="M455">
            <v>184</v>
          </cell>
          <cell r="N455">
            <v>1690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</row>
        <row r="456">
          <cell r="A456" t="str">
            <v>453374</v>
          </cell>
          <cell r="B456" t="str">
            <v>1251</v>
          </cell>
          <cell r="C456" t="str">
            <v>12</v>
          </cell>
          <cell r="D456" t="str">
            <v>01</v>
          </cell>
          <cell r="E456">
            <v>99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A457" t="str">
            <v>453374</v>
          </cell>
          <cell r="B457" t="str">
            <v>1251</v>
          </cell>
          <cell r="C457" t="str">
            <v>12</v>
          </cell>
          <cell r="D457" t="str">
            <v>01</v>
          </cell>
          <cell r="E457">
            <v>106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184</v>
          </cell>
          <cell r="P457">
            <v>1690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</row>
        <row r="458">
          <cell r="A458" t="str">
            <v>453374</v>
          </cell>
          <cell r="B458" t="str">
            <v>1251</v>
          </cell>
          <cell r="C458" t="str">
            <v>12</v>
          </cell>
          <cell r="D458" t="str">
            <v>01</v>
          </cell>
          <cell r="E458">
            <v>113</v>
          </cell>
          <cell r="G458">
            <v>3244</v>
          </cell>
          <cell r="H458">
            <v>4884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</row>
        <row r="459">
          <cell r="A459" t="str">
            <v>453374</v>
          </cell>
          <cell r="B459" t="str">
            <v>1251</v>
          </cell>
          <cell r="C459" t="str">
            <v>12</v>
          </cell>
          <cell r="D459" t="str">
            <v>01</v>
          </cell>
          <cell r="E459">
            <v>120</v>
          </cell>
          <cell r="G459">
            <v>0</v>
          </cell>
          <cell r="H459">
            <v>0</v>
          </cell>
          <cell r="I459">
            <v>3244</v>
          </cell>
          <cell r="J459">
            <v>4884</v>
          </cell>
          <cell r="K459">
            <v>277753</v>
          </cell>
          <cell r="L459">
            <v>278971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</row>
        <row r="460">
          <cell r="A460" t="str">
            <v>453374</v>
          </cell>
          <cell r="B460" t="str">
            <v>1251</v>
          </cell>
          <cell r="C460" t="str">
            <v>12</v>
          </cell>
          <cell r="D460" t="str">
            <v>02</v>
          </cell>
          <cell r="E460">
            <v>1</v>
          </cell>
          <cell r="G460">
            <v>216189</v>
          </cell>
          <cell r="H460">
            <v>215499</v>
          </cell>
          <cell r="I460">
            <v>214669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6433</v>
          </cell>
          <cell r="Q460">
            <v>6346</v>
          </cell>
          <cell r="R460">
            <v>6346</v>
          </cell>
          <cell r="S460">
            <v>2440</v>
          </cell>
          <cell r="T460">
            <v>3016</v>
          </cell>
          <cell r="U460">
            <v>3017</v>
          </cell>
          <cell r="V460">
            <v>0</v>
          </cell>
          <cell r="W460">
            <v>0</v>
          </cell>
        </row>
        <row r="461">
          <cell r="A461" t="str">
            <v>453374</v>
          </cell>
          <cell r="B461" t="str">
            <v>1251</v>
          </cell>
          <cell r="C461" t="str">
            <v>12</v>
          </cell>
          <cell r="D461" t="str">
            <v>02</v>
          </cell>
          <cell r="E461">
            <v>6</v>
          </cell>
          <cell r="G461">
            <v>0</v>
          </cell>
          <cell r="H461">
            <v>0</v>
          </cell>
          <cell r="I461">
            <v>0</v>
          </cell>
          <cell r="J461">
            <v>225062</v>
          </cell>
          <cell r="K461">
            <v>224861</v>
          </cell>
          <cell r="L461">
            <v>224032</v>
          </cell>
          <cell r="M461">
            <v>9856</v>
          </cell>
          <cell r="N461">
            <v>5755</v>
          </cell>
          <cell r="O461">
            <v>5754</v>
          </cell>
          <cell r="P461">
            <v>234918</v>
          </cell>
          <cell r="Q461">
            <v>230616</v>
          </cell>
          <cell r="R461">
            <v>229786</v>
          </cell>
          <cell r="S461">
            <v>0</v>
          </cell>
          <cell r="T461">
            <v>237</v>
          </cell>
          <cell r="U461">
            <v>236</v>
          </cell>
          <cell r="V461">
            <v>0</v>
          </cell>
          <cell r="W461">
            <v>0</v>
          </cell>
        </row>
        <row r="462">
          <cell r="A462" t="str">
            <v>453374</v>
          </cell>
          <cell r="B462" t="str">
            <v>1251</v>
          </cell>
          <cell r="C462" t="str">
            <v>12</v>
          </cell>
          <cell r="D462" t="str">
            <v>02</v>
          </cell>
          <cell r="E462">
            <v>11</v>
          </cell>
          <cell r="G462">
            <v>0</v>
          </cell>
          <cell r="H462">
            <v>0</v>
          </cell>
          <cell r="I462">
            <v>0</v>
          </cell>
          <cell r="J462">
            <v>17134</v>
          </cell>
          <cell r="K462">
            <v>19044</v>
          </cell>
          <cell r="L462">
            <v>18838</v>
          </cell>
          <cell r="M462">
            <v>7400</v>
          </cell>
          <cell r="N462">
            <v>8876</v>
          </cell>
          <cell r="O462">
            <v>8876</v>
          </cell>
          <cell r="P462">
            <v>24534</v>
          </cell>
          <cell r="Q462">
            <v>28157</v>
          </cell>
          <cell r="R462">
            <v>27950</v>
          </cell>
          <cell r="S462">
            <v>230</v>
          </cell>
          <cell r="T462">
            <v>415</v>
          </cell>
          <cell r="U462">
            <v>415</v>
          </cell>
          <cell r="V462">
            <v>0</v>
          </cell>
          <cell r="W462">
            <v>0</v>
          </cell>
        </row>
        <row r="463">
          <cell r="A463" t="str">
            <v>453374</v>
          </cell>
          <cell r="B463" t="str">
            <v>1251</v>
          </cell>
          <cell r="C463" t="str">
            <v>12</v>
          </cell>
          <cell r="D463" t="str">
            <v>02</v>
          </cell>
          <cell r="E463">
            <v>16</v>
          </cell>
          <cell r="G463">
            <v>24764</v>
          </cell>
          <cell r="H463">
            <v>28572</v>
          </cell>
          <cell r="I463">
            <v>28365</v>
          </cell>
          <cell r="J463">
            <v>956</v>
          </cell>
          <cell r="K463">
            <v>0</v>
          </cell>
          <cell r="L463">
            <v>0</v>
          </cell>
          <cell r="M463">
            <v>0</v>
          </cell>
          <cell r="N463">
            <v>896</v>
          </cell>
          <cell r="O463">
            <v>896</v>
          </cell>
          <cell r="P463">
            <v>3757</v>
          </cell>
          <cell r="Q463">
            <v>5406</v>
          </cell>
          <cell r="R463">
            <v>5406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</row>
        <row r="464">
          <cell r="A464" t="str">
            <v>453374</v>
          </cell>
          <cell r="B464" t="str">
            <v>1251</v>
          </cell>
          <cell r="C464" t="str">
            <v>12</v>
          </cell>
          <cell r="D464" t="str">
            <v>02</v>
          </cell>
          <cell r="E464">
            <v>21</v>
          </cell>
          <cell r="G464">
            <v>936</v>
          </cell>
          <cell r="H464">
            <v>916</v>
          </cell>
          <cell r="I464">
            <v>865</v>
          </cell>
          <cell r="J464">
            <v>2834</v>
          </cell>
          <cell r="K464">
            <v>4030</v>
          </cell>
          <cell r="L464">
            <v>4842</v>
          </cell>
          <cell r="M464">
            <v>7527</v>
          </cell>
          <cell r="N464">
            <v>11248</v>
          </cell>
          <cell r="O464">
            <v>12009</v>
          </cell>
          <cell r="P464">
            <v>0</v>
          </cell>
          <cell r="Q464">
            <v>72</v>
          </cell>
          <cell r="R464">
            <v>72</v>
          </cell>
          <cell r="S464">
            <v>7527</v>
          </cell>
          <cell r="T464">
            <v>11320</v>
          </cell>
          <cell r="U464">
            <v>12081</v>
          </cell>
          <cell r="V464">
            <v>0</v>
          </cell>
          <cell r="W464">
            <v>0</v>
          </cell>
        </row>
        <row r="465">
          <cell r="A465" t="str">
            <v>453374</v>
          </cell>
          <cell r="B465" t="str">
            <v>1251</v>
          </cell>
          <cell r="C465" t="str">
            <v>12</v>
          </cell>
          <cell r="D465" t="str">
            <v>02</v>
          </cell>
          <cell r="E465">
            <v>26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2393</v>
          </cell>
          <cell r="N465">
            <v>2038</v>
          </cell>
          <cell r="O465">
            <v>2037</v>
          </cell>
          <cell r="P465">
            <v>3660</v>
          </cell>
          <cell r="Q465">
            <v>3601</v>
          </cell>
          <cell r="R465">
            <v>3599</v>
          </cell>
          <cell r="S465">
            <v>256</v>
          </cell>
          <cell r="T465">
            <v>252</v>
          </cell>
          <cell r="U465">
            <v>252</v>
          </cell>
          <cell r="V465">
            <v>0</v>
          </cell>
          <cell r="W465">
            <v>0</v>
          </cell>
        </row>
        <row r="466">
          <cell r="A466" t="str">
            <v>453374</v>
          </cell>
          <cell r="B466" t="str">
            <v>1251</v>
          </cell>
          <cell r="C466" t="str">
            <v>12</v>
          </cell>
          <cell r="D466" t="str">
            <v>02</v>
          </cell>
          <cell r="E466">
            <v>31</v>
          </cell>
          <cell r="G466">
            <v>6309</v>
          </cell>
          <cell r="H466">
            <v>5891</v>
          </cell>
          <cell r="I466">
            <v>5888</v>
          </cell>
          <cell r="J466">
            <v>0</v>
          </cell>
          <cell r="K466">
            <v>54</v>
          </cell>
          <cell r="L466">
            <v>54</v>
          </cell>
          <cell r="M466">
            <v>6309</v>
          </cell>
          <cell r="N466">
            <v>5945</v>
          </cell>
          <cell r="O466">
            <v>5942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</row>
        <row r="467">
          <cell r="A467" t="str">
            <v>453374</v>
          </cell>
          <cell r="B467" t="str">
            <v>1251</v>
          </cell>
          <cell r="C467" t="str">
            <v>12</v>
          </cell>
          <cell r="D467" t="str">
            <v>02</v>
          </cell>
          <cell r="E467">
            <v>36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38370</v>
          </cell>
          <cell r="T467">
            <v>45296</v>
          </cell>
          <cell r="U467">
            <v>45847</v>
          </cell>
          <cell r="V467">
            <v>0</v>
          </cell>
          <cell r="W467">
            <v>0</v>
          </cell>
        </row>
        <row r="468">
          <cell r="A468" t="str">
            <v>453374</v>
          </cell>
          <cell r="B468" t="str">
            <v>1251</v>
          </cell>
          <cell r="C468" t="str">
            <v>12</v>
          </cell>
          <cell r="D468" t="str">
            <v>02</v>
          </cell>
          <cell r="E468">
            <v>41</v>
          </cell>
          <cell r="G468">
            <v>230</v>
          </cell>
          <cell r="H468">
            <v>541</v>
          </cell>
          <cell r="I468">
            <v>541</v>
          </cell>
          <cell r="J468">
            <v>39556</v>
          </cell>
          <cell r="K468">
            <v>45837</v>
          </cell>
          <cell r="L468">
            <v>46388</v>
          </cell>
          <cell r="M468">
            <v>1754</v>
          </cell>
          <cell r="N468">
            <v>10761</v>
          </cell>
          <cell r="O468">
            <v>10607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</row>
        <row r="469">
          <cell r="A469" t="str">
            <v>453374</v>
          </cell>
          <cell r="B469" t="str">
            <v>1251</v>
          </cell>
          <cell r="C469" t="str">
            <v>12</v>
          </cell>
          <cell r="D469" t="str">
            <v>02</v>
          </cell>
          <cell r="E469">
            <v>46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1754</v>
          </cell>
          <cell r="Q469">
            <v>10761</v>
          </cell>
          <cell r="R469">
            <v>10607</v>
          </cell>
          <cell r="S469">
            <v>276228</v>
          </cell>
          <cell r="T469">
            <v>287214</v>
          </cell>
          <cell r="U469">
            <v>286781</v>
          </cell>
          <cell r="V469">
            <v>0</v>
          </cell>
          <cell r="W469">
            <v>0</v>
          </cell>
        </row>
        <row r="470">
          <cell r="A470" t="str">
            <v>453374</v>
          </cell>
          <cell r="B470" t="str">
            <v>1251</v>
          </cell>
          <cell r="C470" t="str">
            <v>12</v>
          </cell>
          <cell r="D470" t="str">
            <v>02</v>
          </cell>
          <cell r="E470">
            <v>51</v>
          </cell>
          <cell r="G470">
            <v>77183</v>
          </cell>
          <cell r="H470">
            <v>80107</v>
          </cell>
          <cell r="I470">
            <v>80106</v>
          </cell>
          <cell r="J470">
            <v>7984</v>
          </cell>
          <cell r="K470">
            <v>8112</v>
          </cell>
          <cell r="L470">
            <v>8112</v>
          </cell>
          <cell r="M470">
            <v>2746</v>
          </cell>
          <cell r="N470">
            <v>2665</v>
          </cell>
          <cell r="O470">
            <v>2669</v>
          </cell>
          <cell r="P470">
            <v>269</v>
          </cell>
          <cell r="Q470">
            <v>895</v>
          </cell>
          <cell r="R470">
            <v>895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</row>
        <row r="471">
          <cell r="A471" t="str">
            <v>453374</v>
          </cell>
          <cell r="B471" t="str">
            <v>1251</v>
          </cell>
          <cell r="C471" t="str">
            <v>12</v>
          </cell>
          <cell r="D471" t="str">
            <v>02</v>
          </cell>
          <cell r="E471">
            <v>56</v>
          </cell>
          <cell r="G471">
            <v>0</v>
          </cell>
          <cell r="H471">
            <v>640</v>
          </cell>
          <cell r="I471">
            <v>640</v>
          </cell>
          <cell r="J471">
            <v>88182</v>
          </cell>
          <cell r="K471">
            <v>92419</v>
          </cell>
          <cell r="L471">
            <v>92422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</row>
        <row r="472">
          <cell r="A472" t="str">
            <v>453374</v>
          </cell>
          <cell r="B472" t="str">
            <v>1251</v>
          </cell>
          <cell r="C472" t="str">
            <v>12</v>
          </cell>
          <cell r="D472" t="str">
            <v>03</v>
          </cell>
          <cell r="E472">
            <v>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800</v>
          </cell>
          <cell r="Q472">
            <v>1442</v>
          </cell>
          <cell r="R472">
            <v>1244</v>
          </cell>
          <cell r="S472">
            <v>6946</v>
          </cell>
          <cell r="T472">
            <v>7281</v>
          </cell>
          <cell r="U472">
            <v>7073</v>
          </cell>
          <cell r="V472">
            <v>0</v>
          </cell>
          <cell r="W472">
            <v>0</v>
          </cell>
        </row>
        <row r="473">
          <cell r="A473" t="str">
            <v>453374</v>
          </cell>
          <cell r="B473" t="str">
            <v>1251</v>
          </cell>
          <cell r="C473" t="str">
            <v>12</v>
          </cell>
          <cell r="D473" t="str">
            <v>03</v>
          </cell>
          <cell r="E473">
            <v>6</v>
          </cell>
          <cell r="G473">
            <v>74</v>
          </cell>
          <cell r="H473">
            <v>295</v>
          </cell>
          <cell r="I473">
            <v>244</v>
          </cell>
          <cell r="J473">
            <v>167</v>
          </cell>
          <cell r="K473">
            <v>198</v>
          </cell>
          <cell r="L473">
            <v>261</v>
          </cell>
          <cell r="M473">
            <v>0</v>
          </cell>
          <cell r="N473">
            <v>0</v>
          </cell>
          <cell r="O473">
            <v>0</v>
          </cell>
          <cell r="P473">
            <v>450</v>
          </cell>
          <cell r="Q473">
            <v>495</v>
          </cell>
          <cell r="R473">
            <v>477</v>
          </cell>
          <cell r="S473">
            <v>1050</v>
          </cell>
          <cell r="T473">
            <v>19267</v>
          </cell>
          <cell r="U473">
            <v>14505</v>
          </cell>
          <cell r="V473">
            <v>0</v>
          </cell>
          <cell r="W473">
            <v>0</v>
          </cell>
        </row>
        <row r="474">
          <cell r="A474" t="str">
            <v>453374</v>
          </cell>
          <cell r="B474" t="str">
            <v>1251</v>
          </cell>
          <cell r="C474" t="str">
            <v>12</v>
          </cell>
          <cell r="D474" t="str">
            <v>03</v>
          </cell>
          <cell r="E474">
            <v>11</v>
          </cell>
          <cell r="G474">
            <v>1000</v>
          </cell>
          <cell r="H474">
            <v>2055</v>
          </cell>
          <cell r="I474">
            <v>2312</v>
          </cell>
          <cell r="J474">
            <v>1000</v>
          </cell>
          <cell r="K474">
            <v>1000</v>
          </cell>
          <cell r="L474">
            <v>461</v>
          </cell>
          <cell r="M474">
            <v>400</v>
          </cell>
          <cell r="N474">
            <v>747</v>
          </cell>
          <cell r="O474">
            <v>588</v>
          </cell>
          <cell r="P474">
            <v>11887</v>
          </cell>
          <cell r="Q474">
            <v>32780</v>
          </cell>
          <cell r="R474">
            <v>27165</v>
          </cell>
          <cell r="S474">
            <v>1000</v>
          </cell>
          <cell r="T474">
            <v>1080</v>
          </cell>
          <cell r="U474">
            <v>1079</v>
          </cell>
          <cell r="V474">
            <v>0</v>
          </cell>
          <cell r="W474">
            <v>0</v>
          </cell>
        </row>
        <row r="475">
          <cell r="A475" t="str">
            <v>453374</v>
          </cell>
          <cell r="B475" t="str">
            <v>1251</v>
          </cell>
          <cell r="C475" t="str">
            <v>12</v>
          </cell>
          <cell r="D475" t="str">
            <v>03</v>
          </cell>
          <cell r="E475">
            <v>16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1000</v>
          </cell>
          <cell r="N475">
            <v>1080</v>
          </cell>
          <cell r="O475">
            <v>1079</v>
          </cell>
          <cell r="P475">
            <v>0</v>
          </cell>
          <cell r="Q475">
            <v>0</v>
          </cell>
          <cell r="R475">
            <v>79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</row>
        <row r="476">
          <cell r="A476" t="str">
            <v>453374</v>
          </cell>
          <cell r="B476" t="str">
            <v>1251</v>
          </cell>
          <cell r="C476" t="str">
            <v>12</v>
          </cell>
          <cell r="D476" t="str">
            <v>03</v>
          </cell>
          <cell r="E476">
            <v>21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884</v>
          </cell>
          <cell r="L476">
            <v>971</v>
          </cell>
          <cell r="M476">
            <v>9734</v>
          </cell>
          <cell r="N476">
            <v>12067</v>
          </cell>
          <cell r="O476">
            <v>11100</v>
          </cell>
          <cell r="P476">
            <v>4933</v>
          </cell>
          <cell r="Q476">
            <v>5801</v>
          </cell>
          <cell r="R476">
            <v>5801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</row>
        <row r="477">
          <cell r="A477" t="str">
            <v>453374</v>
          </cell>
          <cell r="B477" t="str">
            <v>1251</v>
          </cell>
          <cell r="C477" t="str">
            <v>12</v>
          </cell>
          <cell r="D477" t="str">
            <v>03</v>
          </cell>
          <cell r="E477">
            <v>26</v>
          </cell>
          <cell r="G477">
            <v>997</v>
          </cell>
          <cell r="H477">
            <v>1180</v>
          </cell>
          <cell r="I477">
            <v>1179</v>
          </cell>
          <cell r="J477">
            <v>1300</v>
          </cell>
          <cell r="K477">
            <v>2081</v>
          </cell>
          <cell r="L477">
            <v>2197</v>
          </cell>
          <cell r="M477">
            <v>1500</v>
          </cell>
          <cell r="N477">
            <v>2861</v>
          </cell>
          <cell r="O477">
            <v>2713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</row>
        <row r="478">
          <cell r="A478" t="str">
            <v>453374</v>
          </cell>
          <cell r="B478" t="str">
            <v>1251</v>
          </cell>
          <cell r="C478" t="str">
            <v>12</v>
          </cell>
          <cell r="D478" t="str">
            <v>03</v>
          </cell>
          <cell r="E478">
            <v>31</v>
          </cell>
          <cell r="G478">
            <v>18464</v>
          </cell>
          <cell r="H478">
            <v>24874</v>
          </cell>
          <cell r="I478">
            <v>24040</v>
          </cell>
          <cell r="J478">
            <v>0</v>
          </cell>
          <cell r="K478">
            <v>1572</v>
          </cell>
          <cell r="L478">
            <v>1572</v>
          </cell>
          <cell r="M478">
            <v>3550</v>
          </cell>
          <cell r="N478">
            <v>9682</v>
          </cell>
          <cell r="O478">
            <v>10232</v>
          </cell>
          <cell r="P478">
            <v>532</v>
          </cell>
          <cell r="Q478">
            <v>884</v>
          </cell>
          <cell r="R478">
            <v>884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</row>
        <row r="479">
          <cell r="A479" t="str">
            <v>453374</v>
          </cell>
          <cell r="B479" t="str">
            <v>1251</v>
          </cell>
          <cell r="C479" t="str">
            <v>12</v>
          </cell>
          <cell r="D479" t="str">
            <v>03</v>
          </cell>
          <cell r="E479">
            <v>36</v>
          </cell>
          <cell r="G479">
            <v>4082</v>
          </cell>
          <cell r="H479">
            <v>10566</v>
          </cell>
          <cell r="I479">
            <v>11116</v>
          </cell>
          <cell r="J479">
            <v>350</v>
          </cell>
          <cell r="K479">
            <v>652</v>
          </cell>
          <cell r="L479">
            <v>704</v>
          </cell>
          <cell r="M479">
            <v>0</v>
          </cell>
          <cell r="N479">
            <v>0</v>
          </cell>
          <cell r="O479">
            <v>0</v>
          </cell>
          <cell r="P479">
            <v>50</v>
          </cell>
          <cell r="Q479">
            <v>87</v>
          </cell>
          <cell r="R479">
            <v>71</v>
          </cell>
          <cell r="S479">
            <v>41</v>
          </cell>
          <cell r="T479">
            <v>179</v>
          </cell>
          <cell r="U479">
            <v>260</v>
          </cell>
          <cell r="V479">
            <v>0</v>
          </cell>
          <cell r="W479">
            <v>0</v>
          </cell>
        </row>
        <row r="480">
          <cell r="A480" t="str">
            <v>453374</v>
          </cell>
          <cell r="B480" t="str">
            <v>1251</v>
          </cell>
          <cell r="C480" t="str">
            <v>12</v>
          </cell>
          <cell r="D480" t="str">
            <v>03</v>
          </cell>
          <cell r="E480">
            <v>41</v>
          </cell>
          <cell r="G480">
            <v>441</v>
          </cell>
          <cell r="H480">
            <v>918</v>
          </cell>
          <cell r="I480">
            <v>1035</v>
          </cell>
          <cell r="J480">
            <v>0</v>
          </cell>
          <cell r="K480">
            <v>265</v>
          </cell>
          <cell r="L480">
            <v>145</v>
          </cell>
          <cell r="M480">
            <v>584</v>
          </cell>
          <cell r="N480">
            <v>13490</v>
          </cell>
          <cell r="O480">
            <v>13412</v>
          </cell>
          <cell r="P480">
            <v>36458</v>
          </cell>
          <cell r="Q480">
            <v>85545</v>
          </cell>
          <cell r="R480">
            <v>79564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A481" t="str">
            <v>453374</v>
          </cell>
          <cell r="B481" t="str">
            <v>1251</v>
          </cell>
          <cell r="C481" t="str">
            <v>12</v>
          </cell>
          <cell r="D481" t="str">
            <v>03</v>
          </cell>
          <cell r="E481">
            <v>46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A482" t="str">
            <v>453374</v>
          </cell>
          <cell r="B482" t="str">
            <v>1251</v>
          </cell>
          <cell r="C482" t="str">
            <v>12</v>
          </cell>
          <cell r="D482" t="str">
            <v>03</v>
          </cell>
          <cell r="E482">
            <v>51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558</v>
          </cell>
          <cell r="T482">
            <v>558</v>
          </cell>
          <cell r="U482">
            <v>687</v>
          </cell>
          <cell r="V482">
            <v>0</v>
          </cell>
          <cell r="W482">
            <v>0</v>
          </cell>
        </row>
        <row r="483">
          <cell r="A483" t="str">
            <v>453374</v>
          </cell>
          <cell r="B483" t="str">
            <v>1251</v>
          </cell>
          <cell r="C483" t="str">
            <v>12</v>
          </cell>
          <cell r="D483" t="str">
            <v>03</v>
          </cell>
          <cell r="E483">
            <v>56</v>
          </cell>
          <cell r="G483">
            <v>558</v>
          </cell>
          <cell r="H483">
            <v>558</v>
          </cell>
          <cell r="I483">
            <v>687</v>
          </cell>
          <cell r="J483">
            <v>0</v>
          </cell>
          <cell r="K483">
            <v>0</v>
          </cell>
          <cell r="L483">
            <v>80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80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</row>
        <row r="484">
          <cell r="A484" t="str">
            <v>453374</v>
          </cell>
          <cell r="B484" t="str">
            <v>1251</v>
          </cell>
          <cell r="C484" t="str">
            <v>12</v>
          </cell>
          <cell r="D484" t="str">
            <v>03</v>
          </cell>
          <cell r="E484">
            <v>61</v>
          </cell>
          <cell r="G484">
            <v>558</v>
          </cell>
          <cell r="H484">
            <v>558</v>
          </cell>
          <cell r="I484">
            <v>767</v>
          </cell>
          <cell r="J484">
            <v>37016</v>
          </cell>
          <cell r="K484">
            <v>86103</v>
          </cell>
          <cell r="L484">
            <v>80331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A485" t="str">
            <v>453374</v>
          </cell>
          <cell r="B485" t="str">
            <v>1251</v>
          </cell>
          <cell r="C485" t="str">
            <v>12</v>
          </cell>
          <cell r="D485" t="str">
            <v>04</v>
          </cell>
          <cell r="E485">
            <v>1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</row>
        <row r="486">
          <cell r="A486" t="str">
            <v>453374</v>
          </cell>
          <cell r="B486" t="str">
            <v>1251</v>
          </cell>
          <cell r="C486" t="str">
            <v>12</v>
          </cell>
          <cell r="D486" t="str">
            <v>04</v>
          </cell>
          <cell r="E486">
            <v>6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</row>
        <row r="487">
          <cell r="A487" t="str">
            <v>453374</v>
          </cell>
          <cell r="B487" t="str">
            <v>1251</v>
          </cell>
          <cell r="C487" t="str">
            <v>12</v>
          </cell>
          <cell r="D487" t="str">
            <v>04</v>
          </cell>
          <cell r="E487">
            <v>11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</row>
        <row r="488">
          <cell r="A488" t="str">
            <v>453374</v>
          </cell>
          <cell r="B488" t="str">
            <v>1251</v>
          </cell>
          <cell r="C488" t="str">
            <v>12</v>
          </cell>
          <cell r="D488" t="str">
            <v>04</v>
          </cell>
          <cell r="E488">
            <v>16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A489" t="str">
            <v>453374</v>
          </cell>
          <cell r="B489" t="str">
            <v>1251</v>
          </cell>
          <cell r="C489" t="str">
            <v>12</v>
          </cell>
          <cell r="D489" t="str">
            <v>04</v>
          </cell>
          <cell r="E489">
            <v>21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</row>
        <row r="490">
          <cell r="A490" t="str">
            <v>453374</v>
          </cell>
          <cell r="B490" t="str">
            <v>1251</v>
          </cell>
          <cell r="C490" t="str">
            <v>12</v>
          </cell>
          <cell r="D490" t="str">
            <v>04</v>
          </cell>
          <cell r="E490">
            <v>26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</row>
        <row r="491">
          <cell r="A491" t="str">
            <v>453374</v>
          </cell>
          <cell r="B491" t="str">
            <v>1251</v>
          </cell>
          <cell r="C491" t="str">
            <v>12</v>
          </cell>
          <cell r="D491" t="str">
            <v>04</v>
          </cell>
          <cell r="E491">
            <v>31</v>
          </cell>
          <cell r="G491">
            <v>0</v>
          </cell>
          <cell r="H491">
            <v>0</v>
          </cell>
          <cell r="I491">
            <v>0</v>
          </cell>
          <cell r="J491">
            <v>3491</v>
          </cell>
          <cell r="K491">
            <v>3491</v>
          </cell>
          <cell r="L491">
            <v>2089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</row>
        <row r="492">
          <cell r="A492" t="str">
            <v>453374</v>
          </cell>
          <cell r="B492" t="str">
            <v>1251</v>
          </cell>
          <cell r="C492" t="str">
            <v>12</v>
          </cell>
          <cell r="D492" t="str">
            <v>04</v>
          </cell>
          <cell r="E492">
            <v>36</v>
          </cell>
          <cell r="G492">
            <v>3491</v>
          </cell>
          <cell r="H492">
            <v>3491</v>
          </cell>
          <cell r="I492">
            <v>2089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</row>
        <row r="493">
          <cell r="A493" t="str">
            <v>453374</v>
          </cell>
          <cell r="B493" t="str">
            <v>1251</v>
          </cell>
          <cell r="C493" t="str">
            <v>12</v>
          </cell>
          <cell r="D493" t="str">
            <v>05</v>
          </cell>
          <cell r="E493">
            <v>1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A494" t="str">
            <v>453374</v>
          </cell>
          <cell r="B494" t="str">
            <v>1251</v>
          </cell>
          <cell r="C494" t="str">
            <v>12</v>
          </cell>
          <cell r="D494" t="str">
            <v>05</v>
          </cell>
          <cell r="E494">
            <v>6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120</v>
          </cell>
          <cell r="M494">
            <v>8350</v>
          </cell>
          <cell r="N494">
            <v>9373</v>
          </cell>
          <cell r="O494">
            <v>7737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1482</v>
          </cell>
          <cell r="U494">
            <v>1482</v>
          </cell>
          <cell r="V494">
            <v>0</v>
          </cell>
          <cell r="W494">
            <v>0</v>
          </cell>
        </row>
        <row r="495">
          <cell r="A495" t="str">
            <v>453374</v>
          </cell>
          <cell r="B495" t="str">
            <v>1251</v>
          </cell>
          <cell r="C495" t="str">
            <v>12</v>
          </cell>
          <cell r="D495" t="str">
            <v>05</v>
          </cell>
          <cell r="E495">
            <v>11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8350</v>
          </cell>
          <cell r="N495">
            <v>10855</v>
          </cell>
          <cell r="O495">
            <v>9339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A496" t="str">
            <v>453374</v>
          </cell>
          <cell r="B496" t="str">
            <v>1251</v>
          </cell>
          <cell r="C496" t="str">
            <v>12</v>
          </cell>
          <cell r="D496" t="str">
            <v>05</v>
          </cell>
          <cell r="E496">
            <v>16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</row>
        <row r="497">
          <cell r="A497" t="str">
            <v>453374</v>
          </cell>
          <cell r="B497" t="str">
            <v>1251</v>
          </cell>
          <cell r="C497" t="str">
            <v>12</v>
          </cell>
          <cell r="D497" t="str">
            <v>05</v>
          </cell>
          <cell r="E497">
            <v>21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A498" t="str">
            <v>453374</v>
          </cell>
          <cell r="B498" t="str">
            <v>1251</v>
          </cell>
          <cell r="C498" t="str">
            <v>12</v>
          </cell>
          <cell r="D498" t="str">
            <v>05</v>
          </cell>
          <cell r="E498">
            <v>26</v>
          </cell>
          <cell r="G498">
            <v>0</v>
          </cell>
          <cell r="H498">
            <v>0</v>
          </cell>
          <cell r="I498">
            <v>0</v>
          </cell>
          <cell r="J498">
            <v>1650</v>
          </cell>
          <cell r="K498">
            <v>1870</v>
          </cell>
          <cell r="L498">
            <v>1870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</row>
        <row r="499">
          <cell r="A499" t="str">
            <v>453374</v>
          </cell>
          <cell r="B499" t="str">
            <v>1251</v>
          </cell>
          <cell r="C499" t="str">
            <v>12</v>
          </cell>
          <cell r="D499" t="str">
            <v>05</v>
          </cell>
          <cell r="E499">
            <v>31</v>
          </cell>
          <cell r="G499">
            <v>0</v>
          </cell>
          <cell r="H499">
            <v>0</v>
          </cell>
          <cell r="I499">
            <v>0</v>
          </cell>
          <cell r="J499">
            <v>1650</v>
          </cell>
          <cell r="K499">
            <v>1870</v>
          </cell>
          <cell r="L499">
            <v>1870</v>
          </cell>
          <cell r="M499">
            <v>10000</v>
          </cell>
          <cell r="N499">
            <v>12725</v>
          </cell>
          <cell r="O499">
            <v>11209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A500" t="str">
            <v>453374</v>
          </cell>
          <cell r="B500" t="str">
            <v>1251</v>
          </cell>
          <cell r="C500" t="str">
            <v>12</v>
          </cell>
          <cell r="D500" t="str">
            <v>05</v>
          </cell>
          <cell r="E500">
            <v>36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10000</v>
          </cell>
          <cell r="Q500">
            <v>12725</v>
          </cell>
          <cell r="R500">
            <v>11209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</row>
        <row r="501">
          <cell r="A501" t="str">
            <v>453374</v>
          </cell>
          <cell r="B501" t="str">
            <v>1251</v>
          </cell>
          <cell r="C501" t="str">
            <v>12</v>
          </cell>
          <cell r="D501" t="str">
            <v>06</v>
          </cell>
          <cell r="E501">
            <v>1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A502" t="str">
            <v>453374</v>
          </cell>
          <cell r="B502" t="str">
            <v>1251</v>
          </cell>
          <cell r="C502" t="str">
            <v>12</v>
          </cell>
          <cell r="D502" t="str">
            <v>06</v>
          </cell>
          <cell r="E502">
            <v>6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</row>
        <row r="503">
          <cell r="A503" t="str">
            <v>453374</v>
          </cell>
          <cell r="B503" t="str">
            <v>1251</v>
          </cell>
          <cell r="C503" t="str">
            <v>12</v>
          </cell>
          <cell r="D503" t="str">
            <v>06</v>
          </cell>
          <cell r="E503">
            <v>11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</row>
        <row r="504">
          <cell r="A504" t="str">
            <v>453374</v>
          </cell>
          <cell r="B504" t="str">
            <v>1251</v>
          </cell>
          <cell r="C504" t="str">
            <v>12</v>
          </cell>
          <cell r="D504" t="str">
            <v>06</v>
          </cell>
          <cell r="E504">
            <v>16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A505" t="str">
            <v>453374</v>
          </cell>
          <cell r="B505" t="str">
            <v>1251</v>
          </cell>
          <cell r="C505" t="str">
            <v>12</v>
          </cell>
          <cell r="D505" t="str">
            <v>06</v>
          </cell>
          <cell r="E505">
            <v>21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</row>
        <row r="506">
          <cell r="A506" t="str">
            <v>453374</v>
          </cell>
          <cell r="B506" t="str">
            <v>1251</v>
          </cell>
          <cell r="C506" t="str">
            <v>12</v>
          </cell>
          <cell r="D506" t="str">
            <v>06</v>
          </cell>
          <cell r="E506">
            <v>26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A507" t="str">
            <v>453374</v>
          </cell>
          <cell r="B507" t="str">
            <v>1251</v>
          </cell>
          <cell r="C507" t="str">
            <v>12</v>
          </cell>
          <cell r="D507" t="str">
            <v>06</v>
          </cell>
          <cell r="E507">
            <v>31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A508" t="str">
            <v>453374</v>
          </cell>
          <cell r="B508" t="str">
            <v>1251</v>
          </cell>
          <cell r="C508" t="str">
            <v>12</v>
          </cell>
          <cell r="D508" t="str">
            <v>06</v>
          </cell>
          <cell r="E508">
            <v>36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</row>
        <row r="509">
          <cell r="A509" t="str">
            <v>453374</v>
          </cell>
          <cell r="B509" t="str">
            <v>1251</v>
          </cell>
          <cell r="C509" t="str">
            <v>12</v>
          </cell>
          <cell r="D509" t="str">
            <v>06</v>
          </cell>
          <cell r="E509">
            <v>41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A510" t="str">
            <v>453374</v>
          </cell>
          <cell r="B510" t="str">
            <v>1251</v>
          </cell>
          <cell r="C510" t="str">
            <v>12</v>
          </cell>
          <cell r="D510" t="str">
            <v>06</v>
          </cell>
          <cell r="E510">
            <v>46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A511" t="str">
            <v>453374</v>
          </cell>
          <cell r="B511" t="str">
            <v>1251</v>
          </cell>
          <cell r="C511" t="str">
            <v>12</v>
          </cell>
          <cell r="D511" t="str">
            <v>06</v>
          </cell>
          <cell r="E511">
            <v>51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</row>
        <row r="512">
          <cell r="A512" t="str">
            <v>453374</v>
          </cell>
          <cell r="B512" t="str">
            <v>1251</v>
          </cell>
          <cell r="C512" t="str">
            <v>12</v>
          </cell>
          <cell r="D512" t="str">
            <v>06</v>
          </cell>
          <cell r="E512">
            <v>56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A513" t="str">
            <v>453374</v>
          </cell>
          <cell r="B513" t="str">
            <v>1251</v>
          </cell>
          <cell r="C513" t="str">
            <v>12</v>
          </cell>
          <cell r="D513" t="str">
            <v>06</v>
          </cell>
          <cell r="E513">
            <v>61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A514" t="str">
            <v>453374</v>
          </cell>
          <cell r="B514" t="str">
            <v>1251</v>
          </cell>
          <cell r="C514" t="str">
            <v>12</v>
          </cell>
          <cell r="D514" t="str">
            <v>06</v>
          </cell>
          <cell r="E514">
            <v>66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</row>
        <row r="515">
          <cell r="A515" t="str">
            <v>453374</v>
          </cell>
          <cell r="B515" t="str">
            <v>1251</v>
          </cell>
          <cell r="C515" t="str">
            <v>12</v>
          </cell>
          <cell r="D515" t="str">
            <v>06</v>
          </cell>
          <cell r="E515">
            <v>71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</row>
        <row r="516">
          <cell r="A516" t="str">
            <v>453374</v>
          </cell>
          <cell r="B516" t="str">
            <v>1251</v>
          </cell>
          <cell r="C516" t="str">
            <v>12</v>
          </cell>
          <cell r="D516" t="str">
            <v>06</v>
          </cell>
          <cell r="E516">
            <v>76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A517" t="str">
            <v>453374</v>
          </cell>
          <cell r="B517" t="str">
            <v>1251</v>
          </cell>
          <cell r="C517" t="str">
            <v>12</v>
          </cell>
          <cell r="D517" t="str">
            <v>06</v>
          </cell>
          <cell r="E517">
            <v>81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</row>
        <row r="518">
          <cell r="A518" t="str">
            <v>453374</v>
          </cell>
          <cell r="B518" t="str">
            <v>1251</v>
          </cell>
          <cell r="C518" t="str">
            <v>12</v>
          </cell>
          <cell r="D518" t="str">
            <v>06</v>
          </cell>
          <cell r="E518">
            <v>86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</row>
        <row r="519">
          <cell r="A519" t="str">
            <v>453374</v>
          </cell>
          <cell r="B519" t="str">
            <v>1251</v>
          </cell>
          <cell r="C519" t="str">
            <v>12</v>
          </cell>
          <cell r="D519" t="str">
            <v>06</v>
          </cell>
          <cell r="E519">
            <v>91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</row>
        <row r="520">
          <cell r="A520" t="str">
            <v>453374</v>
          </cell>
          <cell r="B520" t="str">
            <v>1251</v>
          </cell>
          <cell r="C520" t="str">
            <v>12</v>
          </cell>
          <cell r="D520" t="str">
            <v>06</v>
          </cell>
          <cell r="E520">
            <v>96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</row>
        <row r="521">
          <cell r="A521" t="str">
            <v>453374</v>
          </cell>
          <cell r="B521" t="str">
            <v>1251</v>
          </cell>
          <cell r="C521" t="str">
            <v>12</v>
          </cell>
          <cell r="D521" t="str">
            <v>06</v>
          </cell>
          <cell r="E521">
            <v>101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</row>
        <row r="522">
          <cell r="A522" t="str">
            <v>453374</v>
          </cell>
          <cell r="B522" t="str">
            <v>1251</v>
          </cell>
          <cell r="C522" t="str">
            <v>12</v>
          </cell>
          <cell r="D522" t="str">
            <v>06</v>
          </cell>
          <cell r="E522">
            <v>106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-289</v>
          </cell>
          <cell r="P522">
            <v>0</v>
          </cell>
          <cell r="Q522">
            <v>0</v>
          </cell>
          <cell r="R522">
            <v>-6079</v>
          </cell>
          <cell r="S522">
            <v>0</v>
          </cell>
          <cell r="T522">
            <v>0</v>
          </cell>
          <cell r="U522">
            <v>-6368</v>
          </cell>
          <cell r="V522">
            <v>0</v>
          </cell>
          <cell r="W522">
            <v>0</v>
          </cell>
        </row>
        <row r="523">
          <cell r="A523" t="str">
            <v>453374</v>
          </cell>
          <cell r="B523" t="str">
            <v>1251</v>
          </cell>
          <cell r="C523" t="str">
            <v>12</v>
          </cell>
          <cell r="D523" t="str">
            <v>07</v>
          </cell>
          <cell r="E523">
            <v>1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</row>
        <row r="524">
          <cell r="A524" t="str">
            <v>453374</v>
          </cell>
          <cell r="B524" t="str">
            <v>1251</v>
          </cell>
          <cell r="C524" t="str">
            <v>12</v>
          </cell>
          <cell r="D524" t="str">
            <v>07</v>
          </cell>
          <cell r="E524">
            <v>5</v>
          </cell>
          <cell r="G524">
            <v>315</v>
          </cell>
          <cell r="H524">
            <v>98</v>
          </cell>
          <cell r="I524">
            <v>98</v>
          </cell>
          <cell r="J524">
            <v>0</v>
          </cell>
          <cell r="K524">
            <v>10000</v>
          </cell>
          <cell r="L524">
            <v>36563</v>
          </cell>
          <cell r="M524">
            <v>35431</v>
          </cell>
          <cell r="N524">
            <v>0</v>
          </cell>
          <cell r="O524">
            <v>0</v>
          </cell>
          <cell r="P524">
            <v>955</v>
          </cell>
          <cell r="Q524">
            <v>1082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</row>
        <row r="525">
          <cell r="A525" t="str">
            <v>453374</v>
          </cell>
          <cell r="B525" t="str">
            <v>1251</v>
          </cell>
          <cell r="C525" t="str">
            <v>12</v>
          </cell>
          <cell r="D525" t="str">
            <v>07</v>
          </cell>
          <cell r="E525">
            <v>9</v>
          </cell>
          <cell r="G525">
            <v>3000</v>
          </cell>
          <cell r="H525">
            <v>3995</v>
          </cell>
          <cell r="I525">
            <v>3701</v>
          </cell>
          <cell r="J525">
            <v>0</v>
          </cell>
          <cell r="K525">
            <v>1935</v>
          </cell>
          <cell r="L525">
            <v>1569</v>
          </cell>
          <cell r="M525">
            <v>1568</v>
          </cell>
          <cell r="N525">
            <v>0</v>
          </cell>
          <cell r="O525">
            <v>0</v>
          </cell>
          <cell r="P525">
            <v>142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39</v>
          </cell>
          <cell r="V525">
            <v>0</v>
          </cell>
          <cell r="W525">
            <v>0</v>
          </cell>
        </row>
        <row r="526">
          <cell r="A526" t="str">
            <v>453374</v>
          </cell>
          <cell r="B526" t="str">
            <v>1251</v>
          </cell>
          <cell r="C526" t="str">
            <v>12</v>
          </cell>
          <cell r="D526" t="str">
            <v>07</v>
          </cell>
          <cell r="E526">
            <v>13</v>
          </cell>
          <cell r="G526">
            <v>142</v>
          </cell>
          <cell r="H526">
            <v>0</v>
          </cell>
          <cell r="I526">
            <v>147</v>
          </cell>
          <cell r="J526">
            <v>0</v>
          </cell>
          <cell r="K526">
            <v>15392</v>
          </cell>
          <cell r="L526">
            <v>43322</v>
          </cell>
          <cell r="M526">
            <v>42066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A527" t="str">
            <v>453374</v>
          </cell>
          <cell r="B527" t="str">
            <v>1251</v>
          </cell>
          <cell r="C527" t="str">
            <v>12</v>
          </cell>
          <cell r="D527" t="str">
            <v>07</v>
          </cell>
          <cell r="E527">
            <v>17</v>
          </cell>
          <cell r="G527">
            <v>2379</v>
          </cell>
          <cell r="H527">
            <v>9096</v>
          </cell>
          <cell r="I527">
            <v>7492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2379</v>
          </cell>
          <cell r="P527">
            <v>9096</v>
          </cell>
          <cell r="Q527">
            <v>7492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</row>
        <row r="528">
          <cell r="A528" t="str">
            <v>453374</v>
          </cell>
          <cell r="B528" t="str">
            <v>1251</v>
          </cell>
          <cell r="C528" t="str">
            <v>12</v>
          </cell>
          <cell r="D528" t="str">
            <v>07</v>
          </cell>
          <cell r="E528">
            <v>21</v>
          </cell>
          <cell r="G528">
            <v>0</v>
          </cell>
          <cell r="H528">
            <v>0</v>
          </cell>
          <cell r="I528">
            <v>1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1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</row>
        <row r="529">
          <cell r="A529" t="str">
            <v>453374</v>
          </cell>
          <cell r="B529" t="str">
            <v>1251</v>
          </cell>
          <cell r="C529" t="str">
            <v>12</v>
          </cell>
          <cell r="D529" t="str">
            <v>07</v>
          </cell>
          <cell r="E529">
            <v>25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</row>
        <row r="530">
          <cell r="A530" t="str">
            <v>453374</v>
          </cell>
          <cell r="B530" t="str">
            <v>1251</v>
          </cell>
          <cell r="C530" t="str">
            <v>12</v>
          </cell>
          <cell r="D530" t="str">
            <v>07</v>
          </cell>
          <cell r="E530">
            <v>29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17771</v>
          </cell>
          <cell r="P530">
            <v>52418</v>
          </cell>
          <cell r="Q530">
            <v>49559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A531" t="str">
            <v>453374</v>
          </cell>
          <cell r="B531" t="str">
            <v>1251</v>
          </cell>
          <cell r="C531" t="str">
            <v>12</v>
          </cell>
          <cell r="D531" t="str">
            <v>08</v>
          </cell>
          <cell r="E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</row>
        <row r="532">
          <cell r="A532" t="str">
            <v>453374</v>
          </cell>
          <cell r="B532" t="str">
            <v>1251</v>
          </cell>
          <cell r="C532" t="str">
            <v>12</v>
          </cell>
          <cell r="D532" t="str">
            <v>08</v>
          </cell>
          <cell r="E532">
            <v>6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</row>
        <row r="533">
          <cell r="A533" t="str">
            <v>453374</v>
          </cell>
          <cell r="B533" t="str">
            <v>1251</v>
          </cell>
          <cell r="C533" t="str">
            <v>12</v>
          </cell>
          <cell r="D533" t="str">
            <v>08</v>
          </cell>
          <cell r="E533">
            <v>11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</row>
        <row r="534">
          <cell r="A534" t="str">
            <v>453374</v>
          </cell>
          <cell r="B534" t="str">
            <v>1251</v>
          </cell>
          <cell r="C534" t="str">
            <v>12</v>
          </cell>
          <cell r="D534" t="str">
            <v>08</v>
          </cell>
          <cell r="E534">
            <v>16</v>
          </cell>
          <cell r="G534">
            <v>10000</v>
          </cell>
          <cell r="H534">
            <v>10000</v>
          </cell>
          <cell r="I534">
            <v>13152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2160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A535" t="str">
            <v>453374</v>
          </cell>
          <cell r="B535" t="str">
            <v>1251</v>
          </cell>
          <cell r="C535" t="str">
            <v>12</v>
          </cell>
          <cell r="D535" t="str">
            <v>08</v>
          </cell>
          <cell r="E535">
            <v>21</v>
          </cell>
          <cell r="G535">
            <v>10000</v>
          </cell>
          <cell r="H535">
            <v>10000</v>
          </cell>
          <cell r="I535">
            <v>15312</v>
          </cell>
          <cell r="J535">
            <v>10000</v>
          </cell>
          <cell r="K535">
            <v>10000</v>
          </cell>
          <cell r="L535">
            <v>15312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A536" t="str">
            <v>453374</v>
          </cell>
          <cell r="B536" t="str">
            <v>1251</v>
          </cell>
          <cell r="C536" t="str">
            <v>12</v>
          </cell>
          <cell r="D536" t="str">
            <v>09</v>
          </cell>
          <cell r="E536">
            <v>1</v>
          </cell>
          <cell r="G536">
            <v>387146</v>
          </cell>
          <cell r="H536">
            <v>410301</v>
          </cell>
          <cell r="I536">
            <v>410304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387146</v>
          </cell>
          <cell r="T536">
            <v>410301</v>
          </cell>
          <cell r="U536">
            <v>410304</v>
          </cell>
          <cell r="V536">
            <v>0</v>
          </cell>
          <cell r="W536">
            <v>0</v>
          </cell>
        </row>
        <row r="537">
          <cell r="A537" t="str">
            <v>453374</v>
          </cell>
          <cell r="B537" t="str">
            <v>1251</v>
          </cell>
          <cell r="C537" t="str">
            <v>12</v>
          </cell>
          <cell r="D537" t="str">
            <v>09</v>
          </cell>
          <cell r="E537">
            <v>6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2417</v>
          </cell>
          <cell r="L537">
            <v>13531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A538" t="str">
            <v>453374</v>
          </cell>
          <cell r="B538" t="str">
            <v>1251</v>
          </cell>
          <cell r="C538" t="str">
            <v>12</v>
          </cell>
          <cell r="D538" t="str">
            <v>09</v>
          </cell>
          <cell r="E538">
            <v>11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2417</v>
          </cell>
          <cell r="R538">
            <v>13531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</row>
        <row r="539">
          <cell r="A539" t="str">
            <v>453374</v>
          </cell>
          <cell r="B539" t="str">
            <v>1251</v>
          </cell>
          <cell r="C539" t="str">
            <v>12</v>
          </cell>
          <cell r="D539" t="str">
            <v>09</v>
          </cell>
          <cell r="E539">
            <v>16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A540" t="str">
            <v>453374</v>
          </cell>
          <cell r="B540" t="str">
            <v>1251</v>
          </cell>
          <cell r="C540" t="str">
            <v>12</v>
          </cell>
          <cell r="D540" t="str">
            <v>09</v>
          </cell>
          <cell r="E540">
            <v>21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2417</v>
          </cell>
          <cell r="L540">
            <v>13531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A541" t="str">
            <v>453374</v>
          </cell>
          <cell r="B541" t="str">
            <v>1251</v>
          </cell>
          <cell r="C541" t="str">
            <v>12</v>
          </cell>
          <cell r="D541" t="str">
            <v>09</v>
          </cell>
          <cell r="E541">
            <v>26</v>
          </cell>
          <cell r="G541">
            <v>0</v>
          </cell>
          <cell r="H541">
            <v>0</v>
          </cell>
          <cell r="I541">
            <v>0</v>
          </cell>
          <cell r="J541">
            <v>387146</v>
          </cell>
          <cell r="K541">
            <v>412718</v>
          </cell>
          <cell r="L541">
            <v>423835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A542" t="str">
            <v>453374</v>
          </cell>
          <cell r="B542" t="str">
            <v>1251</v>
          </cell>
          <cell r="C542" t="str">
            <v>12</v>
          </cell>
          <cell r="D542" t="str">
            <v>10</v>
          </cell>
          <cell r="E542">
            <v>1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</row>
        <row r="543">
          <cell r="A543" t="str">
            <v>453374</v>
          </cell>
          <cell r="B543" t="str">
            <v>1251</v>
          </cell>
          <cell r="C543" t="str">
            <v>12</v>
          </cell>
          <cell r="D543" t="str">
            <v>10</v>
          </cell>
          <cell r="E543">
            <v>6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</row>
        <row r="544">
          <cell r="A544" t="str">
            <v>453374</v>
          </cell>
          <cell r="B544" t="str">
            <v>1251</v>
          </cell>
          <cell r="C544" t="str">
            <v>12</v>
          </cell>
          <cell r="D544" t="str">
            <v>10</v>
          </cell>
          <cell r="E544">
            <v>11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</row>
        <row r="545">
          <cell r="A545" t="str">
            <v>453374</v>
          </cell>
          <cell r="B545" t="str">
            <v>1251</v>
          </cell>
          <cell r="C545" t="str">
            <v>12</v>
          </cell>
          <cell r="D545" t="str">
            <v>10</v>
          </cell>
          <cell r="E545">
            <v>16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</row>
        <row r="546">
          <cell r="A546" t="str">
            <v>453374</v>
          </cell>
          <cell r="B546" t="str">
            <v>1251</v>
          </cell>
          <cell r="C546" t="str">
            <v>12</v>
          </cell>
          <cell r="D546" t="str">
            <v>10</v>
          </cell>
          <cell r="E546">
            <v>21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A547" t="str">
            <v>453374</v>
          </cell>
          <cell r="B547" t="str">
            <v>1251</v>
          </cell>
          <cell r="C547" t="str">
            <v>12</v>
          </cell>
          <cell r="D547" t="str">
            <v>10</v>
          </cell>
          <cell r="E547">
            <v>26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</row>
        <row r="548">
          <cell r="A548" t="str">
            <v>453374</v>
          </cell>
          <cell r="B548" t="str">
            <v>1251</v>
          </cell>
          <cell r="C548" t="str">
            <v>12</v>
          </cell>
          <cell r="D548" t="str">
            <v>10</v>
          </cell>
          <cell r="E548">
            <v>31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</row>
        <row r="549">
          <cell r="A549" t="str">
            <v>453374</v>
          </cell>
          <cell r="B549" t="str">
            <v>1251</v>
          </cell>
          <cell r="C549" t="str">
            <v>12</v>
          </cell>
          <cell r="D549" t="str">
            <v>10</v>
          </cell>
          <cell r="E549">
            <v>36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</row>
        <row r="550">
          <cell r="A550" t="str">
            <v>453374</v>
          </cell>
          <cell r="B550" t="str">
            <v>1251</v>
          </cell>
          <cell r="C550" t="str">
            <v>12</v>
          </cell>
          <cell r="D550" t="str">
            <v>10</v>
          </cell>
          <cell r="E550">
            <v>41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</row>
        <row r="551">
          <cell r="A551" t="str">
            <v>453374</v>
          </cell>
          <cell r="B551" t="str">
            <v>1251</v>
          </cell>
          <cell r="C551" t="str">
            <v>12</v>
          </cell>
          <cell r="D551" t="str">
            <v>10</v>
          </cell>
          <cell r="E551">
            <v>46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A552" t="str">
            <v>453374</v>
          </cell>
          <cell r="B552" t="str">
            <v>1251</v>
          </cell>
          <cell r="C552" t="str">
            <v>12</v>
          </cell>
          <cell r="D552" t="str">
            <v>10</v>
          </cell>
          <cell r="E552">
            <v>51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</row>
        <row r="553">
          <cell r="A553" t="str">
            <v>453374</v>
          </cell>
          <cell r="B553" t="str">
            <v>1251</v>
          </cell>
          <cell r="C553" t="str">
            <v>12</v>
          </cell>
          <cell r="D553" t="str">
            <v>10</v>
          </cell>
          <cell r="E553">
            <v>56</v>
          </cell>
          <cell r="G553">
            <v>0</v>
          </cell>
          <cell r="H553">
            <v>6816</v>
          </cell>
          <cell r="I553">
            <v>6816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6816</v>
          </cell>
          <cell r="R553">
            <v>6816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A554" t="str">
            <v>453374</v>
          </cell>
          <cell r="B554" t="str">
            <v>1251</v>
          </cell>
          <cell r="C554" t="str">
            <v>12</v>
          </cell>
          <cell r="D554" t="str">
            <v>10</v>
          </cell>
          <cell r="E554">
            <v>61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A555" t="str">
            <v>453374</v>
          </cell>
          <cell r="B555" t="str">
            <v>1251</v>
          </cell>
          <cell r="C555" t="str">
            <v>12</v>
          </cell>
          <cell r="D555" t="str">
            <v>10</v>
          </cell>
          <cell r="E555">
            <v>66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</row>
        <row r="556">
          <cell r="A556" t="str">
            <v>453374</v>
          </cell>
          <cell r="B556" t="str">
            <v>1251</v>
          </cell>
          <cell r="C556" t="str">
            <v>12</v>
          </cell>
          <cell r="D556" t="str">
            <v>10</v>
          </cell>
          <cell r="E556">
            <v>71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A557" t="str">
            <v>453374</v>
          </cell>
          <cell r="B557" t="str">
            <v>1251</v>
          </cell>
          <cell r="C557" t="str">
            <v>12</v>
          </cell>
          <cell r="D557" t="str">
            <v>10</v>
          </cell>
          <cell r="E557">
            <v>76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</row>
        <row r="558">
          <cell r="A558" t="str">
            <v>453374</v>
          </cell>
          <cell r="B558" t="str">
            <v>1251</v>
          </cell>
          <cell r="C558" t="str">
            <v>12</v>
          </cell>
          <cell r="D558" t="str">
            <v>10</v>
          </cell>
          <cell r="E558">
            <v>81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59">
          <cell r="A559" t="str">
            <v>453374</v>
          </cell>
          <cell r="B559" t="str">
            <v>1251</v>
          </cell>
          <cell r="C559" t="str">
            <v>12</v>
          </cell>
          <cell r="D559" t="str">
            <v>10</v>
          </cell>
          <cell r="E559">
            <v>86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A560" t="str">
            <v>453374</v>
          </cell>
          <cell r="B560" t="str">
            <v>1251</v>
          </cell>
          <cell r="C560" t="str">
            <v>12</v>
          </cell>
          <cell r="D560" t="str">
            <v>10</v>
          </cell>
          <cell r="E560">
            <v>91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A561" t="str">
            <v>453374</v>
          </cell>
          <cell r="B561" t="str">
            <v>1251</v>
          </cell>
          <cell r="C561" t="str">
            <v>12</v>
          </cell>
          <cell r="D561" t="str">
            <v>10</v>
          </cell>
          <cell r="E561">
            <v>96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A562" t="str">
            <v>453374</v>
          </cell>
          <cell r="B562" t="str">
            <v>1251</v>
          </cell>
          <cell r="C562" t="str">
            <v>12</v>
          </cell>
          <cell r="D562" t="str">
            <v>10</v>
          </cell>
          <cell r="E562">
            <v>101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</row>
        <row r="563">
          <cell r="A563" t="str">
            <v>453374</v>
          </cell>
          <cell r="B563" t="str">
            <v>1251</v>
          </cell>
          <cell r="C563" t="str">
            <v>12</v>
          </cell>
          <cell r="D563" t="str">
            <v>10</v>
          </cell>
          <cell r="E563">
            <v>106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</row>
        <row r="564">
          <cell r="A564" t="str">
            <v>453374</v>
          </cell>
          <cell r="B564" t="str">
            <v>1251</v>
          </cell>
          <cell r="C564" t="str">
            <v>12</v>
          </cell>
          <cell r="D564" t="str">
            <v>10</v>
          </cell>
          <cell r="E564">
            <v>111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6816</v>
          </cell>
          <cell r="L564">
            <v>6816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A565" t="str">
            <v>453374</v>
          </cell>
          <cell r="B565" t="str">
            <v>1251</v>
          </cell>
          <cell r="C565" t="str">
            <v>12</v>
          </cell>
          <cell r="D565" t="str">
            <v>21</v>
          </cell>
          <cell r="E565">
            <v>1</v>
          </cell>
          <cell r="G565">
            <v>551414</v>
          </cell>
          <cell r="H565">
            <v>0</v>
          </cell>
          <cell r="I565">
            <v>0</v>
          </cell>
          <cell r="J565">
            <v>428</v>
          </cell>
          <cell r="K565">
            <v>428</v>
          </cell>
          <cell r="L565">
            <v>112</v>
          </cell>
          <cell r="M565">
            <v>1881</v>
          </cell>
          <cell r="N565">
            <v>144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A566" t="str">
            <v>453374</v>
          </cell>
          <cell r="B566" t="str">
            <v>1251</v>
          </cell>
          <cell r="C566" t="str">
            <v>12</v>
          </cell>
          <cell r="D566" t="str">
            <v>21</v>
          </cell>
          <cell r="E566">
            <v>1</v>
          </cell>
          <cell r="G566">
            <v>751768</v>
          </cell>
          <cell r="H566">
            <v>38215</v>
          </cell>
          <cell r="I566">
            <v>6084</v>
          </cell>
          <cell r="J566">
            <v>503</v>
          </cell>
          <cell r="K566">
            <v>44802</v>
          </cell>
          <cell r="L566">
            <v>14572</v>
          </cell>
          <cell r="M566">
            <v>472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</row>
        <row r="567">
          <cell r="A567" t="str">
            <v>453374</v>
          </cell>
          <cell r="B567" t="str">
            <v>1251</v>
          </cell>
          <cell r="C567" t="str">
            <v>12</v>
          </cell>
          <cell r="D567" t="str">
            <v>21</v>
          </cell>
          <cell r="E567">
            <v>1</v>
          </cell>
          <cell r="G567">
            <v>751952</v>
          </cell>
          <cell r="H567">
            <v>0</v>
          </cell>
          <cell r="I567">
            <v>0</v>
          </cell>
          <cell r="J567">
            <v>1211</v>
          </cell>
          <cell r="K567">
            <v>1211</v>
          </cell>
          <cell r="L567">
            <v>313</v>
          </cell>
          <cell r="M567">
            <v>29559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A568" t="str">
            <v>453374</v>
          </cell>
          <cell r="B568" t="str">
            <v>1251</v>
          </cell>
          <cell r="C568" t="str">
            <v>12</v>
          </cell>
          <cell r="D568" t="str">
            <v>21</v>
          </cell>
          <cell r="E568">
            <v>1</v>
          </cell>
          <cell r="G568">
            <v>802177</v>
          </cell>
          <cell r="H568">
            <v>87480</v>
          </cell>
          <cell r="I568">
            <v>20384</v>
          </cell>
          <cell r="J568">
            <v>5353</v>
          </cell>
          <cell r="K568">
            <v>113217</v>
          </cell>
          <cell r="L568">
            <v>36537</v>
          </cell>
          <cell r="M568">
            <v>14095</v>
          </cell>
          <cell r="N568">
            <v>2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</row>
        <row r="569">
          <cell r="A569" t="str">
            <v>453374</v>
          </cell>
          <cell r="B569" t="str">
            <v>1251</v>
          </cell>
          <cell r="C569" t="str">
            <v>12</v>
          </cell>
          <cell r="D569" t="str">
            <v>21</v>
          </cell>
          <cell r="E569">
            <v>1</v>
          </cell>
          <cell r="G569">
            <v>802225</v>
          </cell>
          <cell r="H569">
            <v>2271</v>
          </cell>
          <cell r="I569">
            <v>459</v>
          </cell>
          <cell r="J569">
            <v>0</v>
          </cell>
          <cell r="K569">
            <v>2730</v>
          </cell>
          <cell r="L569">
            <v>885</v>
          </cell>
          <cell r="M569">
            <v>1379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</row>
        <row r="570">
          <cell r="A570" t="str">
            <v>453374</v>
          </cell>
          <cell r="B570" t="str">
            <v>1251</v>
          </cell>
          <cell r="C570" t="str">
            <v>12</v>
          </cell>
          <cell r="D570" t="str">
            <v>21</v>
          </cell>
          <cell r="E570">
            <v>1</v>
          </cell>
          <cell r="G570">
            <v>802241</v>
          </cell>
          <cell r="H570">
            <v>101820</v>
          </cell>
          <cell r="I570">
            <v>19461</v>
          </cell>
          <cell r="J570">
            <v>3112</v>
          </cell>
          <cell r="K570">
            <v>124393</v>
          </cell>
          <cell r="L570">
            <v>40003</v>
          </cell>
          <cell r="M570">
            <v>32159</v>
          </cell>
          <cell r="N570">
            <v>621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A571" t="str">
            <v>453374</v>
          </cell>
          <cell r="B571" t="str">
            <v>1251</v>
          </cell>
          <cell r="C571" t="str">
            <v>12</v>
          </cell>
          <cell r="D571" t="str">
            <v>21</v>
          </cell>
          <cell r="E571">
            <v>1</v>
          </cell>
          <cell r="G571">
            <v>802263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19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</row>
        <row r="572">
          <cell r="A572" t="str">
            <v>453374</v>
          </cell>
          <cell r="B572" t="str">
            <v>1251</v>
          </cell>
          <cell r="C572" t="str">
            <v>12</v>
          </cell>
          <cell r="D572" t="str">
            <v>21</v>
          </cell>
          <cell r="E572">
            <v>1</v>
          </cell>
          <cell r="G572">
            <v>999999</v>
          </cell>
          <cell r="H572">
            <v>229786</v>
          </cell>
          <cell r="I572">
            <v>46388</v>
          </cell>
          <cell r="J572">
            <v>10607</v>
          </cell>
          <cell r="K572">
            <v>286781</v>
          </cell>
          <cell r="L572">
            <v>92422</v>
          </cell>
          <cell r="M572">
            <v>79564</v>
          </cell>
          <cell r="N572">
            <v>767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</row>
        <row r="573">
          <cell r="A573" t="str">
            <v>453374</v>
          </cell>
          <cell r="B573" t="str">
            <v>1251</v>
          </cell>
          <cell r="C573" t="str">
            <v>12</v>
          </cell>
          <cell r="D573" t="str">
            <v>21</v>
          </cell>
          <cell r="E573">
            <v>17</v>
          </cell>
          <cell r="G573">
            <v>551414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</row>
        <row r="574">
          <cell r="A574" t="str">
            <v>453374</v>
          </cell>
          <cell r="B574" t="str">
            <v>1251</v>
          </cell>
          <cell r="C574" t="str">
            <v>12</v>
          </cell>
          <cell r="D574" t="str">
            <v>21</v>
          </cell>
          <cell r="E574">
            <v>17</v>
          </cell>
          <cell r="G574">
            <v>751768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</row>
        <row r="575">
          <cell r="A575" t="str">
            <v>453374</v>
          </cell>
          <cell r="B575" t="str">
            <v>1251</v>
          </cell>
          <cell r="C575" t="str">
            <v>12</v>
          </cell>
          <cell r="D575" t="str">
            <v>21</v>
          </cell>
          <cell r="E575">
            <v>17</v>
          </cell>
          <cell r="G575">
            <v>751952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</row>
        <row r="576">
          <cell r="A576" t="str">
            <v>453374</v>
          </cell>
          <cell r="B576" t="str">
            <v>1251</v>
          </cell>
          <cell r="C576" t="str">
            <v>12</v>
          </cell>
          <cell r="D576" t="str">
            <v>21</v>
          </cell>
          <cell r="E576">
            <v>17</v>
          </cell>
          <cell r="G576">
            <v>802177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</row>
        <row r="577">
          <cell r="A577" t="str">
            <v>453374</v>
          </cell>
          <cell r="B577" t="str">
            <v>1251</v>
          </cell>
          <cell r="C577" t="str">
            <v>12</v>
          </cell>
          <cell r="D577" t="str">
            <v>21</v>
          </cell>
          <cell r="E577">
            <v>17</v>
          </cell>
          <cell r="G577">
            <v>802225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</row>
        <row r="578">
          <cell r="A578" t="str">
            <v>453374</v>
          </cell>
          <cell r="B578" t="str">
            <v>1251</v>
          </cell>
          <cell r="C578" t="str">
            <v>12</v>
          </cell>
          <cell r="D578" t="str">
            <v>21</v>
          </cell>
          <cell r="E578">
            <v>17</v>
          </cell>
          <cell r="G578">
            <v>802241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</row>
        <row r="579">
          <cell r="A579" t="str">
            <v>453374</v>
          </cell>
          <cell r="B579" t="str">
            <v>1251</v>
          </cell>
          <cell r="C579" t="str">
            <v>12</v>
          </cell>
          <cell r="D579" t="str">
            <v>21</v>
          </cell>
          <cell r="E579">
            <v>17</v>
          </cell>
          <cell r="G579">
            <v>802263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</row>
        <row r="580">
          <cell r="A580" t="str">
            <v>453374</v>
          </cell>
          <cell r="B580" t="str">
            <v>1251</v>
          </cell>
          <cell r="C580" t="str">
            <v>12</v>
          </cell>
          <cell r="D580" t="str">
            <v>21</v>
          </cell>
          <cell r="E580">
            <v>17</v>
          </cell>
          <cell r="G580">
            <v>999999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</row>
        <row r="581">
          <cell r="A581" t="str">
            <v>453374</v>
          </cell>
          <cell r="B581" t="str">
            <v>1251</v>
          </cell>
          <cell r="C581" t="str">
            <v>12</v>
          </cell>
          <cell r="D581" t="str">
            <v>21</v>
          </cell>
          <cell r="E581">
            <v>33</v>
          </cell>
          <cell r="G581">
            <v>551414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</row>
        <row r="582">
          <cell r="A582" t="str">
            <v>453374</v>
          </cell>
          <cell r="B582" t="str">
            <v>1251</v>
          </cell>
          <cell r="C582" t="str">
            <v>12</v>
          </cell>
          <cell r="D582" t="str">
            <v>21</v>
          </cell>
          <cell r="E582">
            <v>33</v>
          </cell>
          <cell r="G582">
            <v>751768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</row>
        <row r="583">
          <cell r="A583" t="str">
            <v>453374</v>
          </cell>
          <cell r="B583" t="str">
            <v>1251</v>
          </cell>
          <cell r="C583" t="str">
            <v>12</v>
          </cell>
          <cell r="D583" t="str">
            <v>21</v>
          </cell>
          <cell r="E583">
            <v>33</v>
          </cell>
          <cell r="G583">
            <v>751952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A584" t="str">
            <v>453374</v>
          </cell>
          <cell r="B584" t="str">
            <v>1251</v>
          </cell>
          <cell r="C584" t="str">
            <v>12</v>
          </cell>
          <cell r="D584" t="str">
            <v>21</v>
          </cell>
          <cell r="E584">
            <v>33</v>
          </cell>
          <cell r="G584">
            <v>802177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A585" t="str">
            <v>453374</v>
          </cell>
          <cell r="B585" t="str">
            <v>1251</v>
          </cell>
          <cell r="C585" t="str">
            <v>12</v>
          </cell>
          <cell r="D585" t="str">
            <v>21</v>
          </cell>
          <cell r="E585">
            <v>33</v>
          </cell>
          <cell r="G585">
            <v>802225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6">
          <cell r="A586" t="str">
            <v>453374</v>
          </cell>
          <cell r="B586" t="str">
            <v>1251</v>
          </cell>
          <cell r="C586" t="str">
            <v>12</v>
          </cell>
          <cell r="D586" t="str">
            <v>21</v>
          </cell>
          <cell r="E586">
            <v>33</v>
          </cell>
          <cell r="G586">
            <v>802241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A587" t="str">
            <v>453374</v>
          </cell>
          <cell r="B587" t="str">
            <v>1251</v>
          </cell>
          <cell r="C587" t="str">
            <v>12</v>
          </cell>
          <cell r="D587" t="str">
            <v>21</v>
          </cell>
          <cell r="E587">
            <v>33</v>
          </cell>
          <cell r="G587">
            <v>802263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</row>
        <row r="588">
          <cell r="A588" t="str">
            <v>453374</v>
          </cell>
          <cell r="B588" t="str">
            <v>1251</v>
          </cell>
          <cell r="C588" t="str">
            <v>12</v>
          </cell>
          <cell r="D588" t="str">
            <v>21</v>
          </cell>
          <cell r="E588">
            <v>33</v>
          </cell>
          <cell r="G588">
            <v>999999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A589" t="str">
            <v>453374</v>
          </cell>
          <cell r="B589" t="str">
            <v>1251</v>
          </cell>
          <cell r="C589" t="str">
            <v>12</v>
          </cell>
          <cell r="D589" t="str">
            <v>21</v>
          </cell>
          <cell r="E589">
            <v>49</v>
          </cell>
          <cell r="G589">
            <v>551414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</row>
        <row r="590">
          <cell r="A590" t="str">
            <v>453374</v>
          </cell>
          <cell r="B590" t="str">
            <v>1251</v>
          </cell>
          <cell r="C590" t="str">
            <v>12</v>
          </cell>
          <cell r="D590" t="str">
            <v>21</v>
          </cell>
          <cell r="E590">
            <v>49</v>
          </cell>
          <cell r="G590">
            <v>751768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234</v>
          </cell>
        </row>
        <row r="591">
          <cell r="A591" t="str">
            <v>453374</v>
          </cell>
          <cell r="B591" t="str">
            <v>1251</v>
          </cell>
          <cell r="C591" t="str">
            <v>12</v>
          </cell>
          <cell r="D591" t="str">
            <v>21</v>
          </cell>
          <cell r="E591">
            <v>49</v>
          </cell>
          <cell r="G591">
            <v>751952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</row>
        <row r="592">
          <cell r="A592" t="str">
            <v>453374</v>
          </cell>
          <cell r="B592" t="str">
            <v>1251</v>
          </cell>
          <cell r="C592" t="str">
            <v>12</v>
          </cell>
          <cell r="D592" t="str">
            <v>21</v>
          </cell>
          <cell r="E592">
            <v>49</v>
          </cell>
          <cell r="G592">
            <v>802177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</v>
          </cell>
          <cell r="V592">
            <v>0</v>
          </cell>
          <cell r="W592">
            <v>0</v>
          </cell>
        </row>
        <row r="593">
          <cell r="A593" t="str">
            <v>453374</v>
          </cell>
          <cell r="B593" t="str">
            <v>1251</v>
          </cell>
          <cell r="C593" t="str">
            <v>12</v>
          </cell>
          <cell r="D593" t="str">
            <v>21</v>
          </cell>
          <cell r="E593">
            <v>49</v>
          </cell>
          <cell r="G593">
            <v>802225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</row>
        <row r="594">
          <cell r="A594" t="str">
            <v>453374</v>
          </cell>
          <cell r="B594" t="str">
            <v>1251</v>
          </cell>
          <cell r="C594" t="str">
            <v>12</v>
          </cell>
          <cell r="D594" t="str">
            <v>21</v>
          </cell>
          <cell r="E594">
            <v>49</v>
          </cell>
          <cell r="G594">
            <v>802241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2086</v>
          </cell>
          <cell r="V594">
            <v>0</v>
          </cell>
          <cell r="W594">
            <v>9105</v>
          </cell>
        </row>
        <row r="595">
          <cell r="A595" t="str">
            <v>453374</v>
          </cell>
          <cell r="B595" t="str">
            <v>1251</v>
          </cell>
          <cell r="C595" t="str">
            <v>12</v>
          </cell>
          <cell r="D595" t="str">
            <v>21</v>
          </cell>
          <cell r="E595">
            <v>49</v>
          </cell>
          <cell r="G595">
            <v>802263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</row>
        <row r="596">
          <cell r="A596" t="str">
            <v>453374</v>
          </cell>
          <cell r="B596" t="str">
            <v>1251</v>
          </cell>
          <cell r="C596" t="str">
            <v>12</v>
          </cell>
          <cell r="D596" t="str">
            <v>21</v>
          </cell>
          <cell r="E596">
            <v>49</v>
          </cell>
          <cell r="G596">
            <v>999999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2089</v>
          </cell>
          <cell r="V596">
            <v>0</v>
          </cell>
          <cell r="W596">
            <v>9339</v>
          </cell>
        </row>
        <row r="597">
          <cell r="A597" t="str">
            <v>453374</v>
          </cell>
          <cell r="B597" t="str">
            <v>1251</v>
          </cell>
          <cell r="C597" t="str">
            <v>12</v>
          </cell>
          <cell r="D597" t="str">
            <v>21</v>
          </cell>
          <cell r="E597">
            <v>65</v>
          </cell>
          <cell r="G597">
            <v>551414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2565</v>
          </cell>
          <cell r="M597">
            <v>0</v>
          </cell>
          <cell r="N597">
            <v>2565</v>
          </cell>
          <cell r="O597">
            <v>0</v>
          </cell>
          <cell r="P597">
            <v>2565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</row>
        <row r="598">
          <cell r="A598" t="str">
            <v>453374</v>
          </cell>
          <cell r="B598" t="str">
            <v>1251</v>
          </cell>
          <cell r="C598" t="str">
            <v>12</v>
          </cell>
          <cell r="D598" t="str">
            <v>21</v>
          </cell>
          <cell r="E598">
            <v>65</v>
          </cell>
          <cell r="G598">
            <v>751768</v>
          </cell>
          <cell r="H598">
            <v>0</v>
          </cell>
          <cell r="I598">
            <v>46</v>
          </cell>
          <cell r="J598">
            <v>0</v>
          </cell>
          <cell r="K598">
            <v>0</v>
          </cell>
          <cell r="L598">
            <v>60126</v>
          </cell>
          <cell r="M598">
            <v>0</v>
          </cell>
          <cell r="N598">
            <v>60126</v>
          </cell>
          <cell r="O598">
            <v>0</v>
          </cell>
          <cell r="P598">
            <v>60126</v>
          </cell>
          <cell r="Q598">
            <v>30</v>
          </cell>
          <cell r="R598">
            <v>29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</row>
        <row r="599">
          <cell r="A599" t="str">
            <v>453374</v>
          </cell>
          <cell r="B599" t="str">
            <v>1251</v>
          </cell>
          <cell r="C599" t="str">
            <v>12</v>
          </cell>
          <cell r="D599" t="str">
            <v>21</v>
          </cell>
          <cell r="E599">
            <v>65</v>
          </cell>
          <cell r="G599">
            <v>751952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31083</v>
          </cell>
          <cell r="M599">
            <v>0</v>
          </cell>
          <cell r="N599">
            <v>31083</v>
          </cell>
          <cell r="O599">
            <v>0</v>
          </cell>
          <cell r="P599">
            <v>31083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A600" t="str">
            <v>453374</v>
          </cell>
          <cell r="B600" t="str">
            <v>1251</v>
          </cell>
          <cell r="C600" t="str">
            <v>12</v>
          </cell>
          <cell r="D600" t="str">
            <v>21</v>
          </cell>
          <cell r="E600">
            <v>65</v>
          </cell>
          <cell r="G600">
            <v>802177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163854</v>
          </cell>
          <cell r="M600">
            <v>0</v>
          </cell>
          <cell r="N600">
            <v>163854</v>
          </cell>
          <cell r="O600">
            <v>0</v>
          </cell>
          <cell r="P600">
            <v>163854</v>
          </cell>
          <cell r="Q600">
            <v>0</v>
          </cell>
          <cell r="R600">
            <v>0</v>
          </cell>
          <cell r="S600">
            <v>41</v>
          </cell>
          <cell r="T600">
            <v>41</v>
          </cell>
          <cell r="U600">
            <v>0</v>
          </cell>
          <cell r="V600">
            <v>0</v>
          </cell>
          <cell r="W600">
            <v>0</v>
          </cell>
        </row>
        <row r="601">
          <cell r="A601" t="str">
            <v>453374</v>
          </cell>
          <cell r="B601" t="str">
            <v>1251</v>
          </cell>
          <cell r="C601" t="str">
            <v>12</v>
          </cell>
          <cell r="D601" t="str">
            <v>21</v>
          </cell>
          <cell r="E601">
            <v>65</v>
          </cell>
          <cell r="G601">
            <v>802225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4994</v>
          </cell>
          <cell r="M601">
            <v>0</v>
          </cell>
          <cell r="N601">
            <v>4994</v>
          </cell>
          <cell r="O601">
            <v>0</v>
          </cell>
          <cell r="P601">
            <v>4994</v>
          </cell>
          <cell r="Q601">
            <v>0</v>
          </cell>
          <cell r="R601">
            <v>0</v>
          </cell>
          <cell r="S601">
            <v>1</v>
          </cell>
          <cell r="T601">
            <v>1</v>
          </cell>
          <cell r="U601">
            <v>0</v>
          </cell>
          <cell r="V601">
            <v>0</v>
          </cell>
          <cell r="W601">
            <v>0</v>
          </cell>
        </row>
        <row r="602">
          <cell r="A602" t="str">
            <v>453374</v>
          </cell>
          <cell r="B602" t="str">
            <v>1251</v>
          </cell>
          <cell r="C602" t="str">
            <v>12</v>
          </cell>
          <cell r="D602" t="str">
            <v>21</v>
          </cell>
          <cell r="E602">
            <v>65</v>
          </cell>
          <cell r="G602">
            <v>802241</v>
          </cell>
          <cell r="H602">
            <v>0</v>
          </cell>
          <cell r="I602">
            <v>1824</v>
          </cell>
          <cell r="J602">
            <v>0</v>
          </cell>
          <cell r="K602">
            <v>0</v>
          </cell>
          <cell r="L602">
            <v>210191</v>
          </cell>
          <cell r="M602">
            <v>0</v>
          </cell>
          <cell r="N602">
            <v>210191</v>
          </cell>
          <cell r="O602">
            <v>0</v>
          </cell>
          <cell r="P602">
            <v>210191</v>
          </cell>
          <cell r="Q602">
            <v>9</v>
          </cell>
          <cell r="R602">
            <v>9</v>
          </cell>
          <cell r="S602">
            <v>59</v>
          </cell>
          <cell r="T602">
            <v>57</v>
          </cell>
          <cell r="U602">
            <v>0</v>
          </cell>
          <cell r="V602">
            <v>0</v>
          </cell>
          <cell r="W602">
            <v>0</v>
          </cell>
        </row>
        <row r="603">
          <cell r="A603" t="str">
            <v>453374</v>
          </cell>
          <cell r="B603" t="str">
            <v>1251</v>
          </cell>
          <cell r="C603" t="str">
            <v>12</v>
          </cell>
          <cell r="D603" t="str">
            <v>21</v>
          </cell>
          <cell r="E603">
            <v>65</v>
          </cell>
          <cell r="G603">
            <v>802263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19</v>
          </cell>
          <cell r="M603">
            <v>0</v>
          </cell>
          <cell r="N603">
            <v>19</v>
          </cell>
          <cell r="O603">
            <v>0</v>
          </cell>
          <cell r="P603">
            <v>19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A604" t="str">
            <v>453374</v>
          </cell>
          <cell r="B604" t="str">
            <v>1251</v>
          </cell>
          <cell r="C604" t="str">
            <v>12</v>
          </cell>
          <cell r="D604" t="str">
            <v>21</v>
          </cell>
          <cell r="E604">
            <v>65</v>
          </cell>
          <cell r="G604">
            <v>999999</v>
          </cell>
          <cell r="H604">
            <v>0</v>
          </cell>
          <cell r="I604">
            <v>1870</v>
          </cell>
          <cell r="J604">
            <v>0</v>
          </cell>
          <cell r="K604">
            <v>0</v>
          </cell>
          <cell r="L604">
            <v>472832</v>
          </cell>
          <cell r="M604">
            <v>0</v>
          </cell>
          <cell r="N604">
            <v>472832</v>
          </cell>
          <cell r="O604">
            <v>0</v>
          </cell>
          <cell r="P604">
            <v>472832</v>
          </cell>
          <cell r="Q604">
            <v>39</v>
          </cell>
          <cell r="R604">
            <v>38</v>
          </cell>
          <cell r="S604">
            <v>101</v>
          </cell>
          <cell r="T604">
            <v>99</v>
          </cell>
          <cell r="U604">
            <v>0</v>
          </cell>
          <cell r="V604">
            <v>0</v>
          </cell>
          <cell r="W604">
            <v>0</v>
          </cell>
        </row>
        <row r="605">
          <cell r="A605" t="str">
            <v>453374</v>
          </cell>
          <cell r="B605" t="str">
            <v>1251</v>
          </cell>
          <cell r="C605" t="str">
            <v>12</v>
          </cell>
          <cell r="D605" t="str">
            <v>22</v>
          </cell>
          <cell r="E605">
            <v>1</v>
          </cell>
          <cell r="G605">
            <v>551414</v>
          </cell>
          <cell r="H605">
            <v>0</v>
          </cell>
          <cell r="I605">
            <v>1236</v>
          </cell>
          <cell r="J605">
            <v>166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</row>
        <row r="606">
          <cell r="A606" t="str">
            <v>453374</v>
          </cell>
          <cell r="B606" t="str">
            <v>1251</v>
          </cell>
          <cell r="C606" t="str">
            <v>12</v>
          </cell>
          <cell r="D606" t="str">
            <v>22</v>
          </cell>
          <cell r="E606">
            <v>1</v>
          </cell>
          <cell r="G606">
            <v>751922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</row>
        <row r="607">
          <cell r="A607" t="str">
            <v>453374</v>
          </cell>
          <cell r="B607" t="str">
            <v>1251</v>
          </cell>
          <cell r="C607" t="str">
            <v>12</v>
          </cell>
          <cell r="D607" t="str">
            <v>22</v>
          </cell>
          <cell r="E607">
            <v>1</v>
          </cell>
          <cell r="G607">
            <v>751952</v>
          </cell>
          <cell r="H607">
            <v>0</v>
          </cell>
          <cell r="I607">
            <v>33472</v>
          </cell>
          <cell r="J607">
            <v>6694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</row>
        <row r="608">
          <cell r="A608" t="str">
            <v>453374</v>
          </cell>
          <cell r="B608" t="str">
            <v>1251</v>
          </cell>
          <cell r="C608" t="str">
            <v>12</v>
          </cell>
          <cell r="D608" t="str">
            <v>22</v>
          </cell>
          <cell r="E608">
            <v>1</v>
          </cell>
          <cell r="G608">
            <v>802177</v>
          </cell>
          <cell r="H608">
            <v>0</v>
          </cell>
          <cell r="I608">
            <v>556</v>
          </cell>
          <cell r="J608">
            <v>18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A609" t="str">
            <v>453374</v>
          </cell>
          <cell r="B609" t="str">
            <v>1251</v>
          </cell>
          <cell r="C609" t="str">
            <v>12</v>
          </cell>
          <cell r="D609" t="str">
            <v>22</v>
          </cell>
          <cell r="E609">
            <v>1</v>
          </cell>
          <cell r="G609">
            <v>802225</v>
          </cell>
          <cell r="H609">
            <v>0</v>
          </cell>
          <cell r="I609">
            <v>160</v>
          </cell>
          <cell r="J609">
            <v>5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</row>
        <row r="610">
          <cell r="A610" t="str">
            <v>453374</v>
          </cell>
          <cell r="B610" t="str">
            <v>1251</v>
          </cell>
          <cell r="C610" t="str">
            <v>12</v>
          </cell>
          <cell r="D610" t="str">
            <v>22</v>
          </cell>
          <cell r="E610">
            <v>1</v>
          </cell>
          <cell r="G610">
            <v>802241</v>
          </cell>
          <cell r="H610">
            <v>0</v>
          </cell>
          <cell r="I610">
            <v>5276</v>
          </cell>
          <cell r="J610">
            <v>609</v>
          </cell>
          <cell r="K610">
            <v>1</v>
          </cell>
          <cell r="L610">
            <v>13531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13531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A611" t="str">
            <v>453374</v>
          </cell>
          <cell r="B611" t="str">
            <v>1251</v>
          </cell>
          <cell r="C611" t="str">
            <v>12</v>
          </cell>
          <cell r="D611" t="str">
            <v>22</v>
          </cell>
          <cell r="E611">
            <v>1</v>
          </cell>
          <cell r="G611">
            <v>802263</v>
          </cell>
          <cell r="H611">
            <v>0</v>
          </cell>
          <cell r="I611">
            <v>1366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</row>
        <row r="612">
          <cell r="A612" t="str">
            <v>453374</v>
          </cell>
          <cell r="B612" t="str">
            <v>1251</v>
          </cell>
          <cell r="C612" t="str">
            <v>12</v>
          </cell>
          <cell r="D612" t="str">
            <v>22</v>
          </cell>
          <cell r="E612">
            <v>1</v>
          </cell>
          <cell r="G612">
            <v>999999</v>
          </cell>
          <cell r="H612">
            <v>0</v>
          </cell>
          <cell r="I612">
            <v>42066</v>
          </cell>
          <cell r="J612">
            <v>7492</v>
          </cell>
          <cell r="K612">
            <v>1</v>
          </cell>
          <cell r="L612">
            <v>13531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13531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A613" t="str">
            <v>453374</v>
          </cell>
          <cell r="B613" t="str">
            <v>1251</v>
          </cell>
          <cell r="C613" t="str">
            <v>12</v>
          </cell>
          <cell r="D613" t="str">
            <v>22</v>
          </cell>
          <cell r="E613">
            <v>17</v>
          </cell>
          <cell r="G613">
            <v>551414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1402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A614" t="str">
            <v>453374</v>
          </cell>
          <cell r="B614" t="str">
            <v>1251</v>
          </cell>
          <cell r="C614" t="str">
            <v>12</v>
          </cell>
          <cell r="D614" t="str">
            <v>22</v>
          </cell>
          <cell r="E614">
            <v>17</v>
          </cell>
          <cell r="G614">
            <v>751922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</row>
        <row r="615">
          <cell r="A615" t="str">
            <v>453374</v>
          </cell>
          <cell r="B615" t="str">
            <v>1251</v>
          </cell>
          <cell r="C615" t="str">
            <v>12</v>
          </cell>
          <cell r="D615" t="str">
            <v>22</v>
          </cell>
          <cell r="E615">
            <v>17</v>
          </cell>
          <cell r="G615">
            <v>751952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40166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</row>
        <row r="616">
          <cell r="A616" t="str">
            <v>453374</v>
          </cell>
          <cell r="B616" t="str">
            <v>1251</v>
          </cell>
          <cell r="C616" t="str">
            <v>12</v>
          </cell>
          <cell r="D616" t="str">
            <v>22</v>
          </cell>
          <cell r="E616">
            <v>17</v>
          </cell>
          <cell r="G616">
            <v>802177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574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</row>
        <row r="617">
          <cell r="A617" t="str">
            <v>453374</v>
          </cell>
          <cell r="B617" t="str">
            <v>1251</v>
          </cell>
          <cell r="C617" t="str">
            <v>12</v>
          </cell>
          <cell r="D617" t="str">
            <v>22</v>
          </cell>
          <cell r="E617">
            <v>17</v>
          </cell>
          <cell r="G617">
            <v>802225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165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</row>
        <row r="618">
          <cell r="A618" t="str">
            <v>453374</v>
          </cell>
          <cell r="B618" t="str">
            <v>1251</v>
          </cell>
          <cell r="C618" t="str">
            <v>12</v>
          </cell>
          <cell r="D618" t="str">
            <v>22</v>
          </cell>
          <cell r="E618">
            <v>17</v>
          </cell>
          <cell r="G618">
            <v>802241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19417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A619" t="str">
            <v>453374</v>
          </cell>
          <cell r="B619" t="str">
            <v>1251</v>
          </cell>
          <cell r="C619" t="str">
            <v>12</v>
          </cell>
          <cell r="D619" t="str">
            <v>22</v>
          </cell>
          <cell r="E619">
            <v>17</v>
          </cell>
          <cell r="G619">
            <v>802263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1366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</row>
        <row r="620">
          <cell r="A620" t="str">
            <v>453374</v>
          </cell>
          <cell r="B620" t="str">
            <v>1251</v>
          </cell>
          <cell r="C620" t="str">
            <v>12</v>
          </cell>
          <cell r="D620" t="str">
            <v>22</v>
          </cell>
          <cell r="E620">
            <v>17</v>
          </cell>
          <cell r="G620">
            <v>999999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63090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</row>
        <row r="621">
          <cell r="A621" t="str">
            <v>453374</v>
          </cell>
          <cell r="B621" t="str">
            <v>1251</v>
          </cell>
          <cell r="C621" t="str">
            <v>12</v>
          </cell>
          <cell r="D621" t="str">
            <v>22</v>
          </cell>
          <cell r="E621">
            <v>33</v>
          </cell>
          <cell r="G621">
            <v>551414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A622" t="str">
            <v>453374</v>
          </cell>
          <cell r="B622" t="str">
            <v>1251</v>
          </cell>
          <cell r="C622" t="str">
            <v>12</v>
          </cell>
          <cell r="D622" t="str">
            <v>22</v>
          </cell>
          <cell r="E622">
            <v>33</v>
          </cell>
          <cell r="G622">
            <v>751922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</row>
        <row r="623">
          <cell r="A623" t="str">
            <v>453374</v>
          </cell>
          <cell r="B623" t="str">
            <v>1251</v>
          </cell>
          <cell r="C623" t="str">
            <v>12</v>
          </cell>
          <cell r="D623" t="str">
            <v>22</v>
          </cell>
          <cell r="E623">
            <v>33</v>
          </cell>
          <cell r="G623">
            <v>751952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</row>
        <row r="624">
          <cell r="A624" t="str">
            <v>453374</v>
          </cell>
          <cell r="B624" t="str">
            <v>1251</v>
          </cell>
          <cell r="C624" t="str">
            <v>12</v>
          </cell>
          <cell r="D624" t="str">
            <v>22</v>
          </cell>
          <cell r="E624">
            <v>33</v>
          </cell>
          <cell r="G624">
            <v>802177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</row>
        <row r="625">
          <cell r="A625" t="str">
            <v>453374</v>
          </cell>
          <cell r="B625" t="str">
            <v>1251</v>
          </cell>
          <cell r="C625" t="str">
            <v>12</v>
          </cell>
          <cell r="D625" t="str">
            <v>22</v>
          </cell>
          <cell r="E625">
            <v>33</v>
          </cell>
          <cell r="G625">
            <v>802225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</row>
        <row r="626">
          <cell r="A626" t="str">
            <v>453374</v>
          </cell>
          <cell r="B626" t="str">
            <v>1251</v>
          </cell>
          <cell r="C626" t="str">
            <v>12</v>
          </cell>
          <cell r="D626" t="str">
            <v>22</v>
          </cell>
          <cell r="E626">
            <v>33</v>
          </cell>
          <cell r="G626">
            <v>802241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2160</v>
          </cell>
          <cell r="M626">
            <v>13152</v>
          </cell>
          <cell r="N626">
            <v>0</v>
          </cell>
          <cell r="O626">
            <v>15312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15312</v>
          </cell>
          <cell r="V626">
            <v>0</v>
          </cell>
          <cell r="W626">
            <v>15312</v>
          </cell>
        </row>
        <row r="627">
          <cell r="A627" t="str">
            <v>453374</v>
          </cell>
          <cell r="B627" t="str">
            <v>1251</v>
          </cell>
          <cell r="C627" t="str">
            <v>12</v>
          </cell>
          <cell r="D627" t="str">
            <v>22</v>
          </cell>
          <cell r="E627">
            <v>33</v>
          </cell>
          <cell r="G627">
            <v>802263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</row>
        <row r="628">
          <cell r="A628" t="str">
            <v>453374</v>
          </cell>
          <cell r="B628" t="str">
            <v>1251</v>
          </cell>
          <cell r="C628" t="str">
            <v>12</v>
          </cell>
          <cell r="D628" t="str">
            <v>22</v>
          </cell>
          <cell r="E628">
            <v>33</v>
          </cell>
          <cell r="G628">
            <v>999999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2160</v>
          </cell>
          <cell r="M628">
            <v>13152</v>
          </cell>
          <cell r="N628">
            <v>0</v>
          </cell>
          <cell r="O628">
            <v>15312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15312</v>
          </cell>
          <cell r="V628">
            <v>0</v>
          </cell>
          <cell r="W628">
            <v>15312</v>
          </cell>
        </row>
        <row r="629">
          <cell r="A629" t="str">
            <v>453374</v>
          </cell>
          <cell r="B629" t="str">
            <v>1251</v>
          </cell>
          <cell r="C629" t="str">
            <v>12</v>
          </cell>
          <cell r="D629" t="str">
            <v>22</v>
          </cell>
          <cell r="E629">
            <v>49</v>
          </cell>
          <cell r="G629">
            <v>551414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1402</v>
          </cell>
          <cell r="P629">
            <v>0</v>
          </cell>
          <cell r="Q629">
            <v>1402</v>
          </cell>
          <cell r="R629">
            <v>0</v>
          </cell>
          <cell r="S629">
            <v>1402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</row>
        <row r="630">
          <cell r="A630" t="str">
            <v>453374</v>
          </cell>
          <cell r="B630" t="str">
            <v>1251</v>
          </cell>
          <cell r="C630" t="str">
            <v>12</v>
          </cell>
          <cell r="D630" t="str">
            <v>22</v>
          </cell>
          <cell r="E630">
            <v>49</v>
          </cell>
          <cell r="G630">
            <v>751922</v>
          </cell>
          <cell r="H630">
            <v>410304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410304</v>
          </cell>
          <cell r="P630">
            <v>0</v>
          </cell>
          <cell r="Q630">
            <v>410304</v>
          </cell>
          <cell r="R630">
            <v>0</v>
          </cell>
          <cell r="S630">
            <v>410304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</row>
        <row r="631">
          <cell r="A631" t="str">
            <v>453374</v>
          </cell>
          <cell r="B631" t="str">
            <v>1251</v>
          </cell>
          <cell r="C631" t="str">
            <v>12</v>
          </cell>
          <cell r="D631" t="str">
            <v>22</v>
          </cell>
          <cell r="E631">
            <v>49</v>
          </cell>
          <cell r="G631">
            <v>751952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40166</v>
          </cell>
          <cell r="P631">
            <v>0</v>
          </cell>
          <cell r="Q631">
            <v>40166</v>
          </cell>
          <cell r="R631">
            <v>0</v>
          </cell>
          <cell r="S631">
            <v>40166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A632" t="str">
            <v>453374</v>
          </cell>
          <cell r="B632" t="str">
            <v>1251</v>
          </cell>
          <cell r="C632" t="str">
            <v>12</v>
          </cell>
          <cell r="D632" t="str">
            <v>22</v>
          </cell>
          <cell r="E632">
            <v>49</v>
          </cell>
          <cell r="G632">
            <v>802177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574</v>
          </cell>
          <cell r="P632">
            <v>0</v>
          </cell>
          <cell r="Q632">
            <v>574</v>
          </cell>
          <cell r="R632">
            <v>0</v>
          </cell>
          <cell r="S632">
            <v>574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</row>
        <row r="633">
          <cell r="A633" t="str">
            <v>453374</v>
          </cell>
          <cell r="B633" t="str">
            <v>1251</v>
          </cell>
          <cell r="C633" t="str">
            <v>12</v>
          </cell>
          <cell r="D633" t="str">
            <v>22</v>
          </cell>
          <cell r="E633">
            <v>49</v>
          </cell>
          <cell r="G633">
            <v>802225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165</v>
          </cell>
          <cell r="P633">
            <v>0</v>
          </cell>
          <cell r="Q633">
            <v>165</v>
          </cell>
          <cell r="R633">
            <v>0</v>
          </cell>
          <cell r="S633">
            <v>165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A634" t="str">
            <v>453374</v>
          </cell>
          <cell r="B634" t="str">
            <v>1251</v>
          </cell>
          <cell r="C634" t="str">
            <v>12</v>
          </cell>
          <cell r="D634" t="str">
            <v>22</v>
          </cell>
          <cell r="E634">
            <v>49</v>
          </cell>
          <cell r="G634">
            <v>802241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34729</v>
          </cell>
          <cell r="P634">
            <v>6816</v>
          </cell>
          <cell r="Q634">
            <v>41545</v>
          </cell>
          <cell r="R634">
            <v>0</v>
          </cell>
          <cell r="S634">
            <v>41545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A635" t="str">
            <v>453374</v>
          </cell>
          <cell r="B635" t="str">
            <v>1251</v>
          </cell>
          <cell r="C635" t="str">
            <v>12</v>
          </cell>
          <cell r="D635" t="str">
            <v>22</v>
          </cell>
          <cell r="E635">
            <v>49</v>
          </cell>
          <cell r="G635">
            <v>802263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1366</v>
          </cell>
          <cell r="P635">
            <v>0</v>
          </cell>
          <cell r="Q635">
            <v>1366</v>
          </cell>
          <cell r="R635">
            <v>0</v>
          </cell>
          <cell r="S635">
            <v>1366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</row>
        <row r="636">
          <cell r="A636" t="str">
            <v>453374</v>
          </cell>
          <cell r="B636" t="str">
            <v>1251</v>
          </cell>
          <cell r="C636" t="str">
            <v>12</v>
          </cell>
          <cell r="D636" t="str">
            <v>22</v>
          </cell>
          <cell r="E636">
            <v>49</v>
          </cell>
          <cell r="G636">
            <v>999999</v>
          </cell>
          <cell r="H636">
            <v>410304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488706</v>
          </cell>
          <cell r="P636">
            <v>6816</v>
          </cell>
          <cell r="Q636">
            <v>495522</v>
          </cell>
          <cell r="R636">
            <v>0</v>
          </cell>
          <cell r="S636">
            <v>495522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</row>
        <row r="637">
          <cell r="A637" t="str">
            <v>453374</v>
          </cell>
          <cell r="B637" t="str">
            <v>1251</v>
          </cell>
          <cell r="C637" t="str">
            <v>12</v>
          </cell>
          <cell r="D637" t="str">
            <v>23</v>
          </cell>
          <cell r="E637">
            <v>1</v>
          </cell>
          <cell r="G637">
            <v>276228</v>
          </cell>
          <cell r="H637">
            <v>0</v>
          </cell>
          <cell r="I637">
            <v>0</v>
          </cell>
          <cell r="J637">
            <v>10986</v>
          </cell>
          <cell r="K637">
            <v>0</v>
          </cell>
          <cell r="L637">
            <v>10986</v>
          </cell>
          <cell r="M637">
            <v>287214</v>
          </cell>
          <cell r="N637">
            <v>286781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</row>
        <row r="638">
          <cell r="A638" t="str">
            <v>453374</v>
          </cell>
          <cell r="B638" t="str">
            <v>1251</v>
          </cell>
          <cell r="C638" t="str">
            <v>12</v>
          </cell>
          <cell r="D638" t="str">
            <v>23</v>
          </cell>
          <cell r="E638">
            <v>2</v>
          </cell>
          <cell r="G638">
            <v>88182</v>
          </cell>
          <cell r="H638">
            <v>0</v>
          </cell>
          <cell r="I638">
            <v>0</v>
          </cell>
          <cell r="J638">
            <v>4237</v>
          </cell>
          <cell r="K638">
            <v>0</v>
          </cell>
          <cell r="L638">
            <v>4237</v>
          </cell>
          <cell r="M638">
            <v>92419</v>
          </cell>
          <cell r="N638">
            <v>92422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A639" t="str">
            <v>453374</v>
          </cell>
          <cell r="B639" t="str">
            <v>1251</v>
          </cell>
          <cell r="C639" t="str">
            <v>12</v>
          </cell>
          <cell r="D639" t="str">
            <v>23</v>
          </cell>
          <cell r="E639">
            <v>3</v>
          </cell>
          <cell r="G639">
            <v>37016</v>
          </cell>
          <cell r="H639">
            <v>0</v>
          </cell>
          <cell r="I639">
            <v>0</v>
          </cell>
          <cell r="J639">
            <v>49087</v>
          </cell>
          <cell r="K639">
            <v>0</v>
          </cell>
          <cell r="L639">
            <v>49087</v>
          </cell>
          <cell r="M639">
            <v>86103</v>
          </cell>
          <cell r="N639">
            <v>80251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A640" t="str">
            <v>453374</v>
          </cell>
          <cell r="B640" t="str">
            <v>1251</v>
          </cell>
          <cell r="C640" t="str">
            <v>12</v>
          </cell>
          <cell r="D640" t="str">
            <v>23</v>
          </cell>
          <cell r="E640">
            <v>4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80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A641" t="str">
            <v>453374</v>
          </cell>
          <cell r="B641" t="str">
            <v>1251</v>
          </cell>
          <cell r="C641" t="str">
            <v>12</v>
          </cell>
          <cell r="D641" t="str">
            <v>23</v>
          </cell>
          <cell r="E641">
            <v>5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A642" t="str">
            <v>453374</v>
          </cell>
          <cell r="B642" t="str">
            <v>1251</v>
          </cell>
          <cell r="C642" t="str">
            <v>12</v>
          </cell>
          <cell r="D642" t="str">
            <v>23</v>
          </cell>
          <cell r="E642">
            <v>6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A643" t="str">
            <v>453374</v>
          </cell>
          <cell r="B643" t="str">
            <v>1251</v>
          </cell>
          <cell r="C643" t="str">
            <v>12</v>
          </cell>
          <cell r="D643" t="str">
            <v>23</v>
          </cell>
          <cell r="E643">
            <v>7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</row>
        <row r="644">
          <cell r="A644" t="str">
            <v>453374</v>
          </cell>
          <cell r="B644" t="str">
            <v>1251</v>
          </cell>
          <cell r="C644" t="str">
            <v>12</v>
          </cell>
          <cell r="D644" t="str">
            <v>23</v>
          </cell>
          <cell r="E644">
            <v>8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A645" t="str">
            <v>453374</v>
          </cell>
          <cell r="B645" t="str">
            <v>1251</v>
          </cell>
          <cell r="C645" t="str">
            <v>12</v>
          </cell>
          <cell r="D645" t="str">
            <v>23</v>
          </cell>
          <cell r="E645">
            <v>9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A646" t="str">
            <v>453374</v>
          </cell>
          <cell r="B646" t="str">
            <v>1251</v>
          </cell>
          <cell r="C646" t="str">
            <v>12</v>
          </cell>
          <cell r="D646" t="str">
            <v>23</v>
          </cell>
          <cell r="E646">
            <v>10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A647" t="str">
            <v>453374</v>
          </cell>
          <cell r="B647" t="str">
            <v>1251</v>
          </cell>
          <cell r="C647" t="str">
            <v>12</v>
          </cell>
          <cell r="D647" t="str">
            <v>23</v>
          </cell>
          <cell r="E647">
            <v>11</v>
          </cell>
          <cell r="G647">
            <v>3491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3491</v>
          </cell>
          <cell r="N647">
            <v>2089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A648" t="str">
            <v>453374</v>
          </cell>
          <cell r="B648" t="str">
            <v>1251</v>
          </cell>
          <cell r="C648" t="str">
            <v>12</v>
          </cell>
          <cell r="D648" t="str">
            <v>23</v>
          </cell>
          <cell r="E648">
            <v>12</v>
          </cell>
          <cell r="G648">
            <v>404917</v>
          </cell>
          <cell r="H648">
            <v>0</v>
          </cell>
          <cell r="I648">
            <v>0</v>
          </cell>
          <cell r="J648">
            <v>64310</v>
          </cell>
          <cell r="K648">
            <v>0</v>
          </cell>
          <cell r="L648">
            <v>64310</v>
          </cell>
          <cell r="M648">
            <v>469227</v>
          </cell>
          <cell r="N648">
            <v>461623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</row>
        <row r="649">
          <cell r="A649" t="str">
            <v>453374</v>
          </cell>
          <cell r="B649" t="str">
            <v>1251</v>
          </cell>
          <cell r="C649" t="str">
            <v>12</v>
          </cell>
          <cell r="D649" t="str">
            <v>23</v>
          </cell>
          <cell r="E649">
            <v>13</v>
          </cell>
          <cell r="G649">
            <v>10000</v>
          </cell>
          <cell r="H649">
            <v>0</v>
          </cell>
          <cell r="I649">
            <v>0</v>
          </cell>
          <cell r="J649">
            <v>2725</v>
          </cell>
          <cell r="K649">
            <v>0</v>
          </cell>
          <cell r="L649">
            <v>2725</v>
          </cell>
          <cell r="M649">
            <v>12725</v>
          </cell>
          <cell r="N649">
            <v>11209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</row>
        <row r="650">
          <cell r="A650" t="str">
            <v>453374</v>
          </cell>
          <cell r="B650" t="str">
            <v>1251</v>
          </cell>
          <cell r="C650" t="str">
            <v>12</v>
          </cell>
          <cell r="D650" t="str">
            <v>23</v>
          </cell>
          <cell r="E650">
            <v>14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</row>
        <row r="651">
          <cell r="A651" t="str">
            <v>453374</v>
          </cell>
          <cell r="B651" t="str">
            <v>1251</v>
          </cell>
          <cell r="C651" t="str">
            <v>12</v>
          </cell>
          <cell r="D651" t="str">
            <v>23</v>
          </cell>
          <cell r="E651">
            <v>15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</row>
        <row r="652">
          <cell r="A652" t="str">
            <v>453374</v>
          </cell>
          <cell r="B652" t="str">
            <v>1251</v>
          </cell>
          <cell r="C652" t="str">
            <v>12</v>
          </cell>
          <cell r="D652" t="str">
            <v>23</v>
          </cell>
          <cell r="E652">
            <v>16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</row>
        <row r="653">
          <cell r="A653" t="str">
            <v>453374</v>
          </cell>
          <cell r="B653" t="str">
            <v>1251</v>
          </cell>
          <cell r="C653" t="str">
            <v>12</v>
          </cell>
          <cell r="D653" t="str">
            <v>23</v>
          </cell>
          <cell r="E653">
            <v>17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</row>
        <row r="654">
          <cell r="A654" t="str">
            <v>453374</v>
          </cell>
          <cell r="B654" t="str">
            <v>1251</v>
          </cell>
          <cell r="C654" t="str">
            <v>12</v>
          </cell>
          <cell r="D654" t="str">
            <v>23</v>
          </cell>
          <cell r="E654">
            <v>18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A655" t="str">
            <v>453374</v>
          </cell>
          <cell r="B655" t="str">
            <v>1251</v>
          </cell>
          <cell r="C655" t="str">
            <v>12</v>
          </cell>
          <cell r="D655" t="str">
            <v>23</v>
          </cell>
          <cell r="E655">
            <v>19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</row>
        <row r="656">
          <cell r="A656" t="str">
            <v>453374</v>
          </cell>
          <cell r="B656" t="str">
            <v>1251</v>
          </cell>
          <cell r="C656" t="str">
            <v>12</v>
          </cell>
          <cell r="D656" t="str">
            <v>23</v>
          </cell>
          <cell r="E656">
            <v>20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A657" t="str">
            <v>453374</v>
          </cell>
          <cell r="B657" t="str">
            <v>1251</v>
          </cell>
          <cell r="C657" t="str">
            <v>12</v>
          </cell>
          <cell r="D657" t="str">
            <v>23</v>
          </cell>
          <cell r="E657">
            <v>21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</row>
        <row r="658">
          <cell r="A658" t="str">
            <v>453374</v>
          </cell>
          <cell r="B658" t="str">
            <v>1251</v>
          </cell>
          <cell r="C658" t="str">
            <v>12</v>
          </cell>
          <cell r="D658" t="str">
            <v>23</v>
          </cell>
          <cell r="E658">
            <v>22</v>
          </cell>
          <cell r="G658">
            <v>10000</v>
          </cell>
          <cell r="H658">
            <v>0</v>
          </cell>
          <cell r="I658">
            <v>0</v>
          </cell>
          <cell r="J658">
            <v>2725</v>
          </cell>
          <cell r="K658">
            <v>0</v>
          </cell>
          <cell r="L658">
            <v>2725</v>
          </cell>
          <cell r="M658">
            <v>12725</v>
          </cell>
          <cell r="N658">
            <v>11209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</row>
        <row r="659">
          <cell r="A659" t="str">
            <v>453374</v>
          </cell>
          <cell r="B659" t="str">
            <v>1251</v>
          </cell>
          <cell r="C659" t="str">
            <v>12</v>
          </cell>
          <cell r="D659" t="str">
            <v>23</v>
          </cell>
          <cell r="E659">
            <v>23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</row>
        <row r="660">
          <cell r="A660" t="str">
            <v>453374</v>
          </cell>
          <cell r="B660" t="str">
            <v>1251</v>
          </cell>
          <cell r="C660" t="str">
            <v>12</v>
          </cell>
          <cell r="D660" t="str">
            <v>23</v>
          </cell>
          <cell r="E660">
            <v>24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</row>
        <row r="661">
          <cell r="A661" t="str">
            <v>453374</v>
          </cell>
          <cell r="B661" t="str">
            <v>1251</v>
          </cell>
          <cell r="C661" t="str">
            <v>12</v>
          </cell>
          <cell r="D661" t="str">
            <v>23</v>
          </cell>
          <cell r="E661">
            <v>25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A662" t="str">
            <v>453374</v>
          </cell>
          <cell r="B662" t="str">
            <v>1251</v>
          </cell>
          <cell r="C662" t="str">
            <v>12</v>
          </cell>
          <cell r="D662" t="str">
            <v>23</v>
          </cell>
          <cell r="E662">
            <v>26</v>
          </cell>
          <cell r="G662">
            <v>414917</v>
          </cell>
          <cell r="H662">
            <v>0</v>
          </cell>
          <cell r="I662">
            <v>0</v>
          </cell>
          <cell r="J662">
            <v>67035</v>
          </cell>
          <cell r="K662">
            <v>0</v>
          </cell>
          <cell r="L662">
            <v>67035</v>
          </cell>
          <cell r="M662">
            <v>481952</v>
          </cell>
          <cell r="N662">
            <v>472832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A663" t="str">
            <v>453374</v>
          </cell>
          <cell r="B663" t="str">
            <v>1251</v>
          </cell>
          <cell r="C663" t="str">
            <v>12</v>
          </cell>
          <cell r="D663" t="str">
            <v>23</v>
          </cell>
          <cell r="E663">
            <v>27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</row>
        <row r="664">
          <cell r="A664" t="str">
            <v>453374</v>
          </cell>
          <cell r="B664" t="str">
            <v>1251</v>
          </cell>
          <cell r="C664" t="str">
            <v>12</v>
          </cell>
          <cell r="D664" t="str">
            <v>23</v>
          </cell>
          <cell r="E664">
            <v>28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-6368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</row>
        <row r="665">
          <cell r="A665" t="str">
            <v>453374</v>
          </cell>
          <cell r="B665" t="str">
            <v>1251</v>
          </cell>
          <cell r="C665" t="str">
            <v>12</v>
          </cell>
          <cell r="D665" t="str">
            <v>23</v>
          </cell>
          <cell r="E665">
            <v>29</v>
          </cell>
          <cell r="G665">
            <v>414917</v>
          </cell>
          <cell r="H665">
            <v>0</v>
          </cell>
          <cell r="I665">
            <v>0</v>
          </cell>
          <cell r="J665">
            <v>67035</v>
          </cell>
          <cell r="K665">
            <v>0</v>
          </cell>
          <cell r="L665">
            <v>67035</v>
          </cell>
          <cell r="M665">
            <v>481952</v>
          </cell>
          <cell r="N665">
            <v>466464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A666" t="str">
            <v>453374</v>
          </cell>
          <cell r="B666" t="str">
            <v>1251</v>
          </cell>
          <cell r="C666" t="str">
            <v>12</v>
          </cell>
          <cell r="D666" t="str">
            <v>23</v>
          </cell>
          <cell r="E666">
            <v>30</v>
          </cell>
          <cell r="G666">
            <v>17771</v>
          </cell>
          <cell r="H666">
            <v>0</v>
          </cell>
          <cell r="I666">
            <v>0</v>
          </cell>
          <cell r="J666">
            <v>37064</v>
          </cell>
          <cell r="K666">
            <v>0</v>
          </cell>
          <cell r="L666">
            <v>37064</v>
          </cell>
          <cell r="M666">
            <v>54835</v>
          </cell>
          <cell r="N666">
            <v>63090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</row>
        <row r="667">
          <cell r="A667" t="str">
            <v>453374</v>
          </cell>
          <cell r="B667" t="str">
            <v>1251</v>
          </cell>
          <cell r="C667" t="str">
            <v>12</v>
          </cell>
          <cell r="D667" t="str">
            <v>23</v>
          </cell>
          <cell r="E667">
            <v>31</v>
          </cell>
          <cell r="G667">
            <v>10000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10000</v>
          </cell>
          <cell r="N667">
            <v>15312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</row>
        <row r="668">
          <cell r="A668" t="str">
            <v>453374</v>
          </cell>
          <cell r="B668" t="str">
            <v>1251</v>
          </cell>
          <cell r="C668" t="str">
            <v>12</v>
          </cell>
          <cell r="D668" t="str">
            <v>23</v>
          </cell>
          <cell r="E668">
            <v>32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</row>
        <row r="669">
          <cell r="A669" t="str">
            <v>453374</v>
          </cell>
          <cell r="B669" t="str">
            <v>1251</v>
          </cell>
          <cell r="C669" t="str">
            <v>12</v>
          </cell>
          <cell r="D669" t="str">
            <v>23</v>
          </cell>
          <cell r="E669">
            <v>33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</row>
        <row r="670">
          <cell r="A670" t="str">
            <v>453374</v>
          </cell>
          <cell r="B670" t="str">
            <v>1251</v>
          </cell>
          <cell r="C670" t="str">
            <v>12</v>
          </cell>
          <cell r="D670" t="str">
            <v>23</v>
          </cell>
          <cell r="E670">
            <v>34</v>
          </cell>
          <cell r="G670">
            <v>387146</v>
          </cell>
          <cell r="H670">
            <v>0</v>
          </cell>
          <cell r="I670">
            <v>0</v>
          </cell>
          <cell r="J670">
            <v>23155</v>
          </cell>
          <cell r="K670">
            <v>0</v>
          </cell>
          <cell r="L670">
            <v>23155</v>
          </cell>
          <cell r="M670">
            <v>410301</v>
          </cell>
          <cell r="N670">
            <v>410304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</row>
        <row r="671">
          <cell r="A671" t="str">
            <v>453374</v>
          </cell>
          <cell r="B671" t="str">
            <v>1251</v>
          </cell>
          <cell r="C671" t="str">
            <v>12</v>
          </cell>
          <cell r="D671" t="str">
            <v>23</v>
          </cell>
          <cell r="E671">
            <v>35</v>
          </cell>
          <cell r="G671">
            <v>0</v>
          </cell>
          <cell r="H671">
            <v>0</v>
          </cell>
          <cell r="I671">
            <v>0</v>
          </cell>
          <cell r="J671">
            <v>6816</v>
          </cell>
          <cell r="K671">
            <v>0</v>
          </cell>
          <cell r="L671">
            <v>6816</v>
          </cell>
          <cell r="M671">
            <v>6816</v>
          </cell>
          <cell r="N671">
            <v>6816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</row>
        <row r="672">
          <cell r="A672" t="str">
            <v>453374</v>
          </cell>
          <cell r="B672" t="str">
            <v>1251</v>
          </cell>
          <cell r="C672" t="str">
            <v>12</v>
          </cell>
          <cell r="D672" t="str">
            <v>23</v>
          </cell>
          <cell r="E672">
            <v>36</v>
          </cell>
          <cell r="G672">
            <v>414917</v>
          </cell>
          <cell r="H672">
            <v>0</v>
          </cell>
          <cell r="I672">
            <v>0</v>
          </cell>
          <cell r="J672">
            <v>67035</v>
          </cell>
          <cell r="K672">
            <v>0</v>
          </cell>
          <cell r="L672">
            <v>67035</v>
          </cell>
          <cell r="M672">
            <v>481952</v>
          </cell>
          <cell r="N672">
            <v>495522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</row>
        <row r="673">
          <cell r="A673" t="str">
            <v>453374</v>
          </cell>
          <cell r="B673" t="str">
            <v>1251</v>
          </cell>
          <cell r="C673" t="str">
            <v>12</v>
          </cell>
          <cell r="D673" t="str">
            <v>23</v>
          </cell>
          <cell r="E673">
            <v>37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A674" t="str">
            <v>453374</v>
          </cell>
          <cell r="B674" t="str">
            <v>1251</v>
          </cell>
          <cell r="C674" t="str">
            <v>12</v>
          </cell>
          <cell r="D674" t="str">
            <v>23</v>
          </cell>
          <cell r="E674">
            <v>38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</row>
        <row r="675">
          <cell r="A675" t="str">
            <v>453374</v>
          </cell>
          <cell r="B675" t="str">
            <v>1251</v>
          </cell>
          <cell r="C675" t="str">
            <v>12</v>
          </cell>
          <cell r="D675" t="str">
            <v>23</v>
          </cell>
          <cell r="E675">
            <v>39</v>
          </cell>
          <cell r="G675">
            <v>414917</v>
          </cell>
          <cell r="H675">
            <v>0</v>
          </cell>
          <cell r="I675">
            <v>0</v>
          </cell>
          <cell r="J675">
            <v>67035</v>
          </cell>
          <cell r="K675">
            <v>0</v>
          </cell>
          <cell r="L675">
            <v>67035</v>
          </cell>
          <cell r="M675">
            <v>481952</v>
          </cell>
          <cell r="N675">
            <v>495522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</row>
        <row r="676">
          <cell r="A676" t="str">
            <v>453374</v>
          </cell>
          <cell r="B676" t="str">
            <v>1251</v>
          </cell>
          <cell r="C676" t="str">
            <v>12</v>
          </cell>
          <cell r="D676" t="str">
            <v>24</v>
          </cell>
          <cell r="E676">
            <v>1</v>
          </cell>
          <cell r="G676">
            <v>0</v>
          </cell>
          <cell r="H676">
            <v>0</v>
          </cell>
          <cell r="I676">
            <v>18</v>
          </cell>
          <cell r="J676">
            <v>0</v>
          </cell>
          <cell r="K676">
            <v>18</v>
          </cell>
          <cell r="L676">
            <v>488706</v>
          </cell>
          <cell r="M676">
            <v>466464</v>
          </cell>
          <cell r="N676">
            <v>22212</v>
          </cell>
          <cell r="O676">
            <v>0</v>
          </cell>
          <cell r="P676">
            <v>48</v>
          </cell>
          <cell r="Q676">
            <v>0</v>
          </cell>
          <cell r="R676">
            <v>22260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</row>
        <row r="677">
          <cell r="A677" t="str">
            <v>453374</v>
          </cell>
          <cell r="B677" t="str">
            <v>1251</v>
          </cell>
          <cell r="C677" t="str">
            <v>12</v>
          </cell>
          <cell r="D677" t="str">
            <v>29</v>
          </cell>
          <cell r="E677">
            <v>1</v>
          </cell>
          <cell r="G677">
            <v>0</v>
          </cell>
          <cell r="H677">
            <v>22212</v>
          </cell>
          <cell r="I677">
            <v>18</v>
          </cell>
          <cell r="J677">
            <v>48</v>
          </cell>
          <cell r="K677">
            <v>18</v>
          </cell>
          <cell r="L677">
            <v>22260</v>
          </cell>
          <cell r="M677">
            <v>6079</v>
          </cell>
          <cell r="N677">
            <v>0</v>
          </cell>
          <cell r="O677">
            <v>0</v>
          </cell>
          <cell r="P677">
            <v>0</v>
          </cell>
          <cell r="Q677">
            <v>719</v>
          </cell>
          <cell r="R677">
            <v>430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</row>
        <row r="678">
          <cell r="A678" t="str">
            <v>453374</v>
          </cell>
          <cell r="B678" t="str">
            <v>1251</v>
          </cell>
          <cell r="C678" t="str">
            <v>12</v>
          </cell>
          <cell r="D678" t="str">
            <v>29</v>
          </cell>
          <cell r="E678">
            <v>9</v>
          </cell>
          <cell r="G678">
            <v>0</v>
          </cell>
          <cell r="H678">
            <v>0</v>
          </cell>
          <cell r="I678">
            <v>6798</v>
          </cell>
          <cell r="J678">
            <v>430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6816</v>
          </cell>
          <cell r="P678">
            <v>22690</v>
          </cell>
          <cell r="Q678">
            <v>0</v>
          </cell>
          <cell r="R678">
            <v>-3</v>
          </cell>
          <cell r="S678">
            <v>0</v>
          </cell>
          <cell r="T678">
            <v>0</v>
          </cell>
          <cell r="U678">
            <v>1856</v>
          </cell>
          <cell r="V678">
            <v>0</v>
          </cell>
          <cell r="W678">
            <v>0</v>
          </cell>
        </row>
        <row r="679">
          <cell r="A679" t="str">
            <v>453374</v>
          </cell>
          <cell r="B679" t="str">
            <v>1251</v>
          </cell>
          <cell r="C679" t="str">
            <v>12</v>
          </cell>
          <cell r="D679" t="str">
            <v>29</v>
          </cell>
          <cell r="E679">
            <v>17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8672</v>
          </cell>
          <cell r="L679">
            <v>22687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8672</v>
          </cell>
          <cell r="R679">
            <v>22687</v>
          </cell>
          <cell r="S679">
            <v>0</v>
          </cell>
          <cell r="T679">
            <v>0</v>
          </cell>
          <cell r="U679">
            <v>8672</v>
          </cell>
          <cell r="V679">
            <v>22687</v>
          </cell>
          <cell r="W679">
            <v>0</v>
          </cell>
        </row>
        <row r="680">
          <cell r="A680" t="str">
            <v>453374</v>
          </cell>
          <cell r="B680" t="str">
            <v>1251</v>
          </cell>
          <cell r="C680" t="str">
            <v>12</v>
          </cell>
          <cell r="D680" t="str">
            <v>29</v>
          </cell>
          <cell r="E680">
            <v>25</v>
          </cell>
          <cell r="G680">
            <v>0</v>
          </cell>
          <cell r="H680">
            <v>0</v>
          </cell>
          <cell r="I680">
            <v>17344</v>
          </cell>
          <cell r="J680">
            <v>45374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</row>
        <row r="681">
          <cell r="A681" t="str">
            <v>453374</v>
          </cell>
          <cell r="B681" t="str">
            <v>1251</v>
          </cell>
          <cell r="C681" t="str">
            <v>12</v>
          </cell>
          <cell r="D681" t="str">
            <v>34</v>
          </cell>
          <cell r="E681">
            <v>0</v>
          </cell>
          <cell r="G681">
            <v>84</v>
          </cell>
          <cell r="H681">
            <v>3575</v>
          </cell>
          <cell r="I681">
            <v>0</v>
          </cell>
          <cell r="J681">
            <v>0</v>
          </cell>
          <cell r="K681">
            <v>697</v>
          </cell>
          <cell r="L681">
            <v>0</v>
          </cell>
          <cell r="M681">
            <v>0</v>
          </cell>
          <cell r="N681">
            <v>275</v>
          </cell>
          <cell r="O681">
            <v>4272</v>
          </cell>
          <cell r="P681">
            <v>240</v>
          </cell>
          <cell r="Q681">
            <v>1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</row>
        <row r="682">
          <cell r="A682" t="str">
            <v>453374</v>
          </cell>
          <cell r="B682" t="str">
            <v>1251</v>
          </cell>
          <cell r="C682" t="str">
            <v>12</v>
          </cell>
          <cell r="D682" t="str">
            <v>34</v>
          </cell>
          <cell r="E682">
            <v>0</v>
          </cell>
          <cell r="G682">
            <v>87</v>
          </cell>
          <cell r="H682">
            <v>10658</v>
          </cell>
          <cell r="I682">
            <v>0</v>
          </cell>
          <cell r="J682">
            <v>0</v>
          </cell>
          <cell r="K682">
            <v>1386</v>
          </cell>
          <cell r="L682">
            <v>1218</v>
          </cell>
          <cell r="M682">
            <v>0</v>
          </cell>
          <cell r="N682">
            <v>805</v>
          </cell>
          <cell r="O682">
            <v>13262</v>
          </cell>
          <cell r="P682">
            <v>1255</v>
          </cell>
          <cell r="Q682">
            <v>4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A683" t="str">
            <v>453374</v>
          </cell>
          <cell r="B683" t="str">
            <v>1251</v>
          </cell>
          <cell r="C683" t="str">
            <v>12</v>
          </cell>
          <cell r="D683" t="str">
            <v>34</v>
          </cell>
          <cell r="E683">
            <v>0</v>
          </cell>
          <cell r="G683">
            <v>90</v>
          </cell>
          <cell r="H683">
            <v>2969</v>
          </cell>
          <cell r="I683">
            <v>0</v>
          </cell>
          <cell r="J683">
            <v>0</v>
          </cell>
          <cell r="K683">
            <v>452</v>
          </cell>
          <cell r="L683">
            <v>0</v>
          </cell>
          <cell r="M683">
            <v>0</v>
          </cell>
          <cell r="N683">
            <v>231</v>
          </cell>
          <cell r="O683">
            <v>3421</v>
          </cell>
          <cell r="P683">
            <v>177</v>
          </cell>
          <cell r="Q683">
            <v>2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A684" t="str">
            <v>453374</v>
          </cell>
          <cell r="B684" t="str">
            <v>1251</v>
          </cell>
          <cell r="C684" t="str">
            <v>12</v>
          </cell>
          <cell r="D684" t="str">
            <v>34</v>
          </cell>
          <cell r="E684">
            <v>0</v>
          </cell>
          <cell r="G684">
            <v>91</v>
          </cell>
          <cell r="H684">
            <v>1356</v>
          </cell>
          <cell r="I684">
            <v>0</v>
          </cell>
          <cell r="J684">
            <v>0</v>
          </cell>
          <cell r="K684">
            <v>171</v>
          </cell>
          <cell r="L684">
            <v>0</v>
          </cell>
          <cell r="M684">
            <v>0</v>
          </cell>
          <cell r="N684">
            <v>107</v>
          </cell>
          <cell r="O684">
            <v>1527</v>
          </cell>
          <cell r="P684">
            <v>62</v>
          </cell>
          <cell r="Q684">
            <v>1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</row>
        <row r="685">
          <cell r="A685" t="str">
            <v>453374</v>
          </cell>
          <cell r="B685" t="str">
            <v>1251</v>
          </cell>
          <cell r="C685" t="str">
            <v>12</v>
          </cell>
          <cell r="D685" t="str">
            <v>34</v>
          </cell>
          <cell r="E685">
            <v>0</v>
          </cell>
          <cell r="G685">
            <v>94</v>
          </cell>
          <cell r="H685">
            <v>6040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505</v>
          </cell>
          <cell r="O685">
            <v>6040</v>
          </cell>
          <cell r="P685">
            <v>53</v>
          </cell>
          <cell r="Q685">
            <v>6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</row>
        <row r="686">
          <cell r="A686" t="str">
            <v>453374</v>
          </cell>
          <cell r="B686" t="str">
            <v>1251</v>
          </cell>
          <cell r="C686" t="str">
            <v>12</v>
          </cell>
          <cell r="D686" t="str">
            <v>34</v>
          </cell>
          <cell r="E686">
            <v>0</v>
          </cell>
          <cell r="G686">
            <v>95</v>
          </cell>
          <cell r="H686">
            <v>10327</v>
          </cell>
          <cell r="I686">
            <v>0</v>
          </cell>
          <cell r="J686">
            <v>0</v>
          </cell>
          <cell r="K686">
            <v>0</v>
          </cell>
          <cell r="L686">
            <v>450</v>
          </cell>
          <cell r="M686">
            <v>0</v>
          </cell>
          <cell r="N686">
            <v>798</v>
          </cell>
          <cell r="O686">
            <v>10777</v>
          </cell>
          <cell r="P686">
            <v>1032</v>
          </cell>
          <cell r="Q686">
            <v>9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</row>
        <row r="687">
          <cell r="A687" t="str">
            <v>453374</v>
          </cell>
          <cell r="B687" t="str">
            <v>1251</v>
          </cell>
          <cell r="C687" t="str">
            <v>12</v>
          </cell>
          <cell r="D687" t="str">
            <v>34</v>
          </cell>
          <cell r="E687">
            <v>0</v>
          </cell>
          <cell r="G687">
            <v>96</v>
          </cell>
          <cell r="H687">
            <v>11200</v>
          </cell>
          <cell r="I687">
            <v>0</v>
          </cell>
          <cell r="J687">
            <v>0</v>
          </cell>
          <cell r="K687">
            <v>239</v>
          </cell>
          <cell r="L687">
            <v>345</v>
          </cell>
          <cell r="M687">
            <v>0</v>
          </cell>
          <cell r="N687">
            <v>927</v>
          </cell>
          <cell r="O687">
            <v>11784</v>
          </cell>
          <cell r="P687">
            <v>402</v>
          </cell>
          <cell r="Q687">
            <v>10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</row>
        <row r="688">
          <cell r="A688" t="str">
            <v>453374</v>
          </cell>
          <cell r="B688" t="str">
            <v>1251</v>
          </cell>
          <cell r="C688" t="str">
            <v>12</v>
          </cell>
          <cell r="D688" t="str">
            <v>34</v>
          </cell>
          <cell r="E688">
            <v>0</v>
          </cell>
          <cell r="G688">
            <v>97</v>
          </cell>
          <cell r="H688">
            <v>24224</v>
          </cell>
          <cell r="I688">
            <v>0</v>
          </cell>
          <cell r="J688">
            <v>0</v>
          </cell>
          <cell r="K688">
            <v>0</v>
          </cell>
          <cell r="L688">
            <v>451</v>
          </cell>
          <cell r="M688">
            <v>0</v>
          </cell>
          <cell r="N688">
            <v>1956</v>
          </cell>
          <cell r="O688">
            <v>24675</v>
          </cell>
          <cell r="P688">
            <v>2550</v>
          </cell>
          <cell r="Q688">
            <v>21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A689" t="str">
            <v>453374</v>
          </cell>
          <cell r="B689" t="str">
            <v>1251</v>
          </cell>
          <cell r="C689" t="str">
            <v>12</v>
          </cell>
          <cell r="D689" t="str">
            <v>34</v>
          </cell>
          <cell r="E689">
            <v>0</v>
          </cell>
          <cell r="G689">
            <v>98</v>
          </cell>
          <cell r="H689">
            <v>3848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304</v>
          </cell>
          <cell r="O689">
            <v>3848</v>
          </cell>
          <cell r="P689">
            <v>245</v>
          </cell>
          <cell r="Q689">
            <v>3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</row>
        <row r="690">
          <cell r="A690" t="str">
            <v>453374</v>
          </cell>
          <cell r="B690" t="str">
            <v>1251</v>
          </cell>
          <cell r="C690" t="str">
            <v>12</v>
          </cell>
          <cell r="D690" t="str">
            <v>34</v>
          </cell>
          <cell r="E690">
            <v>0</v>
          </cell>
          <cell r="G690">
            <v>99</v>
          </cell>
          <cell r="H690">
            <v>70866</v>
          </cell>
          <cell r="I690">
            <v>0</v>
          </cell>
          <cell r="J690">
            <v>0</v>
          </cell>
          <cell r="K690">
            <v>1129</v>
          </cell>
          <cell r="L690">
            <v>320</v>
          </cell>
          <cell r="M690">
            <v>0</v>
          </cell>
          <cell r="N690">
            <v>5823</v>
          </cell>
          <cell r="O690">
            <v>72315</v>
          </cell>
          <cell r="P690">
            <v>8813</v>
          </cell>
          <cell r="Q690">
            <v>36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</row>
        <row r="691">
          <cell r="A691" t="str">
            <v>453374</v>
          </cell>
          <cell r="B691" t="str">
            <v>1251</v>
          </cell>
          <cell r="C691" t="str">
            <v>12</v>
          </cell>
          <cell r="D691" t="str">
            <v>34</v>
          </cell>
          <cell r="E691">
            <v>0</v>
          </cell>
          <cell r="G691">
            <v>100</v>
          </cell>
          <cell r="H691">
            <v>7104</v>
          </cell>
          <cell r="I691">
            <v>0</v>
          </cell>
          <cell r="J691">
            <v>0</v>
          </cell>
          <cell r="K691">
            <v>275</v>
          </cell>
          <cell r="L691">
            <v>0</v>
          </cell>
          <cell r="M691">
            <v>0</v>
          </cell>
          <cell r="N691">
            <v>539</v>
          </cell>
          <cell r="O691">
            <v>7379</v>
          </cell>
          <cell r="P691">
            <v>1308</v>
          </cell>
          <cell r="Q691">
            <v>3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A692" t="str">
            <v>453374</v>
          </cell>
          <cell r="B692" t="str">
            <v>1251</v>
          </cell>
          <cell r="C692" t="str">
            <v>12</v>
          </cell>
          <cell r="D692" t="str">
            <v>34</v>
          </cell>
          <cell r="E692">
            <v>0</v>
          </cell>
          <cell r="G692">
            <v>101</v>
          </cell>
          <cell r="H692">
            <v>47432</v>
          </cell>
          <cell r="I692">
            <v>0</v>
          </cell>
          <cell r="J692">
            <v>0</v>
          </cell>
          <cell r="K692">
            <v>1467</v>
          </cell>
          <cell r="L692">
            <v>233</v>
          </cell>
          <cell r="M692">
            <v>0</v>
          </cell>
          <cell r="N692">
            <v>4334</v>
          </cell>
          <cell r="O692">
            <v>49132</v>
          </cell>
          <cell r="P692">
            <v>8905</v>
          </cell>
          <cell r="Q692">
            <v>22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A693" t="str">
            <v>453374</v>
          </cell>
          <cell r="B693" t="str">
            <v>1251</v>
          </cell>
          <cell r="C693" t="str">
            <v>12</v>
          </cell>
          <cell r="D693" t="str">
            <v>34</v>
          </cell>
          <cell r="E693">
            <v>0</v>
          </cell>
          <cell r="G693">
            <v>102</v>
          </cell>
          <cell r="H693">
            <v>15070</v>
          </cell>
          <cell r="I693">
            <v>0</v>
          </cell>
          <cell r="J693">
            <v>0</v>
          </cell>
          <cell r="K693">
            <v>530</v>
          </cell>
          <cell r="L693">
            <v>0</v>
          </cell>
          <cell r="M693">
            <v>0</v>
          </cell>
          <cell r="N693">
            <v>1134</v>
          </cell>
          <cell r="O693">
            <v>15600</v>
          </cell>
          <cell r="P693">
            <v>2908</v>
          </cell>
          <cell r="Q693">
            <v>5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A694" t="str">
            <v>453374</v>
          </cell>
          <cell r="B694" t="str">
            <v>1251</v>
          </cell>
          <cell r="C694" t="str">
            <v>12</v>
          </cell>
          <cell r="D694" t="str">
            <v>34</v>
          </cell>
          <cell r="E694">
            <v>0</v>
          </cell>
          <cell r="G694">
            <v>105</v>
          </cell>
          <cell r="H694">
            <v>214669</v>
          </cell>
          <cell r="I694">
            <v>0</v>
          </cell>
          <cell r="J694">
            <v>0</v>
          </cell>
          <cell r="K694">
            <v>6346</v>
          </cell>
          <cell r="L694">
            <v>3017</v>
          </cell>
          <cell r="M694">
            <v>0</v>
          </cell>
          <cell r="N694">
            <v>17738</v>
          </cell>
          <cell r="O694">
            <v>224032</v>
          </cell>
          <cell r="P694">
            <v>27950</v>
          </cell>
          <cell r="Q694">
            <v>123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A695" t="str">
            <v>453374</v>
          </cell>
          <cell r="B695" t="str">
            <v>1251</v>
          </cell>
          <cell r="C695" t="str">
            <v>12</v>
          </cell>
          <cell r="D695" t="str">
            <v>34</v>
          </cell>
          <cell r="E695">
            <v>0</v>
          </cell>
          <cell r="G695">
            <v>151</v>
          </cell>
          <cell r="H695">
            <v>214669</v>
          </cell>
          <cell r="I695">
            <v>0</v>
          </cell>
          <cell r="J695">
            <v>0</v>
          </cell>
          <cell r="K695">
            <v>6346</v>
          </cell>
          <cell r="L695">
            <v>3017</v>
          </cell>
          <cell r="M695">
            <v>0</v>
          </cell>
          <cell r="N695">
            <v>17738</v>
          </cell>
          <cell r="O695">
            <v>224032</v>
          </cell>
          <cell r="P695">
            <v>27950</v>
          </cell>
          <cell r="Q695">
            <v>123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A696" t="str">
            <v>453374</v>
          </cell>
          <cell r="B696" t="str">
            <v>1251</v>
          </cell>
          <cell r="C696" t="str">
            <v>12</v>
          </cell>
          <cell r="D696" t="str">
            <v>34</v>
          </cell>
          <cell r="E696">
            <v>0</v>
          </cell>
          <cell r="G696">
            <v>153</v>
          </cell>
          <cell r="H696">
            <v>5754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427</v>
          </cell>
          <cell r="O696">
            <v>5754</v>
          </cell>
          <cell r="P696">
            <v>415</v>
          </cell>
          <cell r="Q696">
            <v>4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A697" t="str">
            <v>453374</v>
          </cell>
          <cell r="B697" t="str">
            <v>1251</v>
          </cell>
          <cell r="C697" t="str">
            <v>12</v>
          </cell>
          <cell r="D697" t="str">
            <v>34</v>
          </cell>
          <cell r="E697">
            <v>0</v>
          </cell>
          <cell r="G697">
            <v>157</v>
          </cell>
          <cell r="H697">
            <v>5754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427</v>
          </cell>
          <cell r="O697">
            <v>5754</v>
          </cell>
          <cell r="P697">
            <v>415</v>
          </cell>
          <cell r="Q697">
            <v>4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</row>
        <row r="698">
          <cell r="A698" t="str">
            <v>453374</v>
          </cell>
          <cell r="B698" t="str">
            <v>1251</v>
          </cell>
          <cell r="C698" t="str">
            <v>12</v>
          </cell>
          <cell r="D698" t="str">
            <v>34</v>
          </cell>
          <cell r="E698">
            <v>0</v>
          </cell>
          <cell r="G698">
            <v>158</v>
          </cell>
          <cell r="H698">
            <v>220423</v>
          </cell>
          <cell r="I698">
            <v>0</v>
          </cell>
          <cell r="J698">
            <v>0</v>
          </cell>
          <cell r="K698">
            <v>6346</v>
          </cell>
          <cell r="L698">
            <v>3017</v>
          </cell>
          <cell r="M698">
            <v>0</v>
          </cell>
          <cell r="N698">
            <v>18165</v>
          </cell>
          <cell r="O698">
            <v>229786</v>
          </cell>
          <cell r="P698">
            <v>28365</v>
          </cell>
          <cell r="Q698">
            <v>127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A699" t="str">
            <v>453374</v>
          </cell>
          <cell r="B699" t="str">
            <v>1251</v>
          </cell>
          <cell r="C699" t="str">
            <v>12</v>
          </cell>
          <cell r="D699" t="str">
            <v>35</v>
          </cell>
          <cell r="E699">
            <v>1</v>
          </cell>
          <cell r="G699">
            <v>224032</v>
          </cell>
          <cell r="H699">
            <v>5754</v>
          </cell>
          <cell r="I699">
            <v>0</v>
          </cell>
          <cell r="J699">
            <v>0</v>
          </cell>
          <cell r="K699">
            <v>229786</v>
          </cell>
          <cell r="L699">
            <v>27950</v>
          </cell>
          <cell r="M699">
            <v>415</v>
          </cell>
          <cell r="N699">
            <v>0</v>
          </cell>
          <cell r="O699">
            <v>0</v>
          </cell>
          <cell r="P699">
            <v>28365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A700" t="str">
            <v>453374</v>
          </cell>
          <cell r="B700" t="str">
            <v>1251</v>
          </cell>
          <cell r="C700" t="str">
            <v>12</v>
          </cell>
          <cell r="D700" t="str">
            <v>35</v>
          </cell>
          <cell r="E700">
            <v>4</v>
          </cell>
          <cell r="G700">
            <v>12009</v>
          </cell>
          <cell r="H700">
            <v>72</v>
          </cell>
          <cell r="I700">
            <v>0</v>
          </cell>
          <cell r="J700">
            <v>0</v>
          </cell>
          <cell r="K700">
            <v>12081</v>
          </cell>
          <cell r="L700">
            <v>5888</v>
          </cell>
          <cell r="M700">
            <v>54</v>
          </cell>
          <cell r="N700">
            <v>0</v>
          </cell>
          <cell r="O700">
            <v>0</v>
          </cell>
          <cell r="P700">
            <v>5942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</row>
        <row r="701">
          <cell r="A701" t="str">
            <v>453374</v>
          </cell>
          <cell r="B701" t="str">
            <v>1251</v>
          </cell>
          <cell r="C701" t="str">
            <v>12</v>
          </cell>
          <cell r="D701" t="str">
            <v>35</v>
          </cell>
          <cell r="E701">
            <v>7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45847</v>
          </cell>
          <cell r="M701">
            <v>541</v>
          </cell>
          <cell r="N701">
            <v>0</v>
          </cell>
          <cell r="O701">
            <v>0</v>
          </cell>
          <cell r="P701">
            <v>46388</v>
          </cell>
          <cell r="Q701">
            <v>0</v>
          </cell>
          <cell r="R701">
            <v>0</v>
          </cell>
          <cell r="S701">
            <v>10607</v>
          </cell>
          <cell r="T701">
            <v>0</v>
          </cell>
          <cell r="U701">
            <v>10607</v>
          </cell>
          <cell r="V701">
            <v>0</v>
          </cell>
          <cell r="W701">
            <v>0</v>
          </cell>
        </row>
        <row r="702">
          <cell r="A702" t="str">
            <v>453374</v>
          </cell>
          <cell r="B702" t="str">
            <v>1251</v>
          </cell>
          <cell r="C702" t="str">
            <v>12</v>
          </cell>
          <cell r="D702" t="str">
            <v>35</v>
          </cell>
          <cell r="E702">
            <v>10</v>
          </cell>
          <cell r="G702">
            <v>269879</v>
          </cell>
          <cell r="H702">
            <v>6295</v>
          </cell>
          <cell r="I702">
            <v>10607</v>
          </cell>
          <cell r="J702">
            <v>0</v>
          </cell>
          <cell r="K702">
            <v>286781</v>
          </cell>
          <cell r="L702">
            <v>124</v>
          </cell>
          <cell r="M702">
            <v>4</v>
          </cell>
          <cell r="N702">
            <v>9</v>
          </cell>
          <cell r="O702">
            <v>0</v>
          </cell>
          <cell r="P702">
            <v>137</v>
          </cell>
          <cell r="Q702">
            <v>125</v>
          </cell>
          <cell r="R702">
            <v>4</v>
          </cell>
          <cell r="S702">
            <v>0</v>
          </cell>
          <cell r="T702">
            <v>0</v>
          </cell>
          <cell r="U702">
            <v>129</v>
          </cell>
          <cell r="V702">
            <v>0</v>
          </cell>
          <cell r="W702">
            <v>0</v>
          </cell>
        </row>
        <row r="703">
          <cell r="A703" t="str">
            <v>453374</v>
          </cell>
          <cell r="B703" t="str">
            <v>1251</v>
          </cell>
          <cell r="C703" t="str">
            <v>12</v>
          </cell>
          <cell r="D703" t="str">
            <v>35</v>
          </cell>
          <cell r="E703">
            <v>13</v>
          </cell>
          <cell r="G703">
            <v>121</v>
          </cell>
          <cell r="H703">
            <v>5</v>
          </cell>
          <cell r="I703">
            <v>14</v>
          </cell>
          <cell r="J703">
            <v>0</v>
          </cell>
          <cell r="K703">
            <v>140</v>
          </cell>
          <cell r="L703">
            <v>130</v>
          </cell>
          <cell r="M703">
            <v>4</v>
          </cell>
          <cell r="N703">
            <v>6</v>
          </cell>
          <cell r="O703">
            <v>0</v>
          </cell>
          <cell r="P703">
            <v>140</v>
          </cell>
          <cell r="Q703">
            <v>130</v>
          </cell>
          <cell r="R703">
            <v>7</v>
          </cell>
          <cell r="S703">
            <v>0</v>
          </cell>
          <cell r="T703">
            <v>0</v>
          </cell>
          <cell r="U703">
            <v>137</v>
          </cell>
          <cell r="V703">
            <v>0</v>
          </cell>
          <cell r="W703">
            <v>0</v>
          </cell>
        </row>
        <row r="704">
          <cell r="A704" t="str">
            <v>453374</v>
          </cell>
          <cell r="B704" t="str">
            <v>1251</v>
          </cell>
          <cell r="C704" t="str">
            <v>12</v>
          </cell>
          <cell r="D704" t="str">
            <v>35</v>
          </cell>
          <cell r="E704">
            <v>16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3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3</v>
          </cell>
          <cell r="Q704">
            <v>123</v>
          </cell>
          <cell r="R704">
            <v>4</v>
          </cell>
          <cell r="S704">
            <v>10</v>
          </cell>
          <cell r="T704">
            <v>0</v>
          </cell>
          <cell r="U704">
            <v>137</v>
          </cell>
          <cell r="V704">
            <v>0</v>
          </cell>
          <cell r="W704">
            <v>0</v>
          </cell>
        </row>
        <row r="705">
          <cell r="A705" t="str">
            <v>453374</v>
          </cell>
          <cell r="B705" t="str">
            <v>1251</v>
          </cell>
          <cell r="C705" t="str">
            <v>12</v>
          </cell>
          <cell r="D705" t="str">
            <v>35</v>
          </cell>
          <cell r="E705">
            <v>19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A706" t="str">
            <v>453374</v>
          </cell>
          <cell r="B706" t="str">
            <v>1251</v>
          </cell>
          <cell r="C706" t="str">
            <v>12</v>
          </cell>
          <cell r="D706" t="str">
            <v>37</v>
          </cell>
          <cell r="E706">
            <v>0</v>
          </cell>
          <cell r="G706">
            <v>55141401</v>
          </cell>
          <cell r="H706">
            <v>205</v>
          </cell>
          <cell r="I706">
            <v>0</v>
          </cell>
          <cell r="J706">
            <v>205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</row>
        <row r="707">
          <cell r="A707" t="str">
            <v>453374</v>
          </cell>
          <cell r="B707" t="str">
            <v>1251</v>
          </cell>
          <cell r="C707" t="str">
            <v>12</v>
          </cell>
          <cell r="D707" t="str">
            <v>37</v>
          </cell>
          <cell r="E707">
            <v>0</v>
          </cell>
          <cell r="G707">
            <v>55141402</v>
          </cell>
          <cell r="H707">
            <v>0</v>
          </cell>
          <cell r="I707">
            <v>0</v>
          </cell>
          <cell r="J707">
            <v>11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</row>
        <row r="708">
          <cell r="A708" t="str">
            <v>453374</v>
          </cell>
          <cell r="B708" t="str">
            <v>1251</v>
          </cell>
          <cell r="C708" t="str">
            <v>12</v>
          </cell>
          <cell r="D708" t="str">
            <v>37</v>
          </cell>
          <cell r="E708">
            <v>0</v>
          </cell>
          <cell r="G708">
            <v>75176801</v>
          </cell>
          <cell r="H708">
            <v>995</v>
          </cell>
          <cell r="I708">
            <v>0</v>
          </cell>
          <cell r="J708">
            <v>975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A709" t="str">
            <v>453374</v>
          </cell>
          <cell r="B709" t="str">
            <v>1251</v>
          </cell>
          <cell r="C709" t="str">
            <v>12</v>
          </cell>
          <cell r="D709" t="str">
            <v>37</v>
          </cell>
          <cell r="E709">
            <v>0</v>
          </cell>
          <cell r="G709">
            <v>80217701</v>
          </cell>
          <cell r="H709">
            <v>528</v>
          </cell>
          <cell r="I709">
            <v>0</v>
          </cell>
          <cell r="J709">
            <v>557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A710" t="str">
            <v>453374</v>
          </cell>
          <cell r="B710" t="str">
            <v>1251</v>
          </cell>
          <cell r="C710" t="str">
            <v>12</v>
          </cell>
          <cell r="D710" t="str">
            <v>37</v>
          </cell>
          <cell r="E710">
            <v>0</v>
          </cell>
          <cell r="G710">
            <v>80217702</v>
          </cell>
          <cell r="H710">
            <v>0</v>
          </cell>
          <cell r="I710">
            <v>0</v>
          </cell>
          <cell r="J710">
            <v>18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</row>
        <row r="711">
          <cell r="A711" t="str">
            <v>453374</v>
          </cell>
          <cell r="B711" t="str">
            <v>1251</v>
          </cell>
          <cell r="C711" t="str">
            <v>12</v>
          </cell>
          <cell r="D711" t="str">
            <v>37</v>
          </cell>
          <cell r="E711">
            <v>0</v>
          </cell>
          <cell r="G711">
            <v>80222501</v>
          </cell>
          <cell r="H711">
            <v>42</v>
          </cell>
          <cell r="I711">
            <v>0</v>
          </cell>
          <cell r="J711">
            <v>35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</row>
        <row r="712">
          <cell r="A712" t="str">
            <v>453374</v>
          </cell>
          <cell r="B712" t="str">
            <v>1251</v>
          </cell>
          <cell r="C712" t="str">
            <v>12</v>
          </cell>
          <cell r="D712" t="str">
            <v>37</v>
          </cell>
          <cell r="E712">
            <v>0</v>
          </cell>
          <cell r="G712">
            <v>80222502</v>
          </cell>
          <cell r="H712">
            <v>0</v>
          </cell>
          <cell r="I712">
            <v>0</v>
          </cell>
          <cell r="J712">
            <v>5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A713" t="str">
            <v>453374</v>
          </cell>
          <cell r="B713" t="str">
            <v>1251</v>
          </cell>
          <cell r="C713" t="str">
            <v>12</v>
          </cell>
          <cell r="D713" t="str">
            <v>37</v>
          </cell>
          <cell r="E713">
            <v>0</v>
          </cell>
          <cell r="G713">
            <v>80224101</v>
          </cell>
          <cell r="H713">
            <v>425</v>
          </cell>
          <cell r="I713">
            <v>0</v>
          </cell>
          <cell r="J713">
            <v>384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A714" t="str">
            <v>453374</v>
          </cell>
          <cell r="B714" t="str">
            <v>1251</v>
          </cell>
          <cell r="C714" t="str">
            <v>12</v>
          </cell>
          <cell r="D714" t="str">
            <v>37</v>
          </cell>
          <cell r="E714">
            <v>0</v>
          </cell>
          <cell r="G714">
            <v>80224102</v>
          </cell>
          <cell r="H714">
            <v>0</v>
          </cell>
          <cell r="I714">
            <v>0</v>
          </cell>
          <cell r="J714">
            <v>19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</row>
        <row r="715">
          <cell r="A715" t="str">
            <v>453374</v>
          </cell>
          <cell r="B715" t="str">
            <v>1251</v>
          </cell>
          <cell r="C715" t="str">
            <v>12</v>
          </cell>
          <cell r="D715" t="str">
            <v>37</v>
          </cell>
          <cell r="E715">
            <v>0</v>
          </cell>
          <cell r="G715">
            <v>80226301</v>
          </cell>
          <cell r="H715">
            <v>40</v>
          </cell>
          <cell r="I715">
            <v>0</v>
          </cell>
          <cell r="J715">
            <v>40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</row>
        <row r="716">
          <cell r="A716" t="str">
            <v>453374</v>
          </cell>
          <cell r="B716" t="str">
            <v>1251</v>
          </cell>
          <cell r="C716" t="str">
            <v>12</v>
          </cell>
          <cell r="D716" t="str">
            <v>37</v>
          </cell>
          <cell r="E716">
            <v>0</v>
          </cell>
          <cell r="G716">
            <v>80226302</v>
          </cell>
          <cell r="H716">
            <v>0</v>
          </cell>
          <cell r="I716">
            <v>0</v>
          </cell>
          <cell r="J716">
            <v>3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</row>
        <row r="717">
          <cell r="A717" t="str">
            <v>453374</v>
          </cell>
          <cell r="B717" t="str">
            <v>1251</v>
          </cell>
          <cell r="C717" t="str">
            <v>12</v>
          </cell>
          <cell r="D717" t="str">
            <v>37</v>
          </cell>
          <cell r="E717">
            <v>0</v>
          </cell>
          <cell r="G717">
            <v>99999901</v>
          </cell>
          <cell r="H717">
            <v>2235</v>
          </cell>
          <cell r="I717">
            <v>0</v>
          </cell>
          <cell r="J717">
            <v>2196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</row>
        <row r="718">
          <cell r="A718" t="str">
            <v>453374</v>
          </cell>
          <cell r="B718" t="str">
            <v>1251</v>
          </cell>
          <cell r="C718" t="str">
            <v>12</v>
          </cell>
          <cell r="D718" t="str">
            <v>37</v>
          </cell>
          <cell r="E718">
            <v>0</v>
          </cell>
          <cell r="G718">
            <v>99999902</v>
          </cell>
          <cell r="H718">
            <v>0</v>
          </cell>
          <cell r="I718">
            <v>0</v>
          </cell>
          <cell r="J718">
            <v>56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</row>
        <row r="719">
          <cell r="A719" t="str">
            <v>453374</v>
          </cell>
          <cell r="B719" t="str">
            <v>1251</v>
          </cell>
          <cell r="C719" t="str">
            <v>12</v>
          </cell>
          <cell r="D719" t="str">
            <v>38</v>
          </cell>
          <cell r="E719">
            <v>1</v>
          </cell>
          <cell r="G719">
            <v>7034</v>
          </cell>
          <cell r="H719">
            <v>198383</v>
          </cell>
          <cell r="I719">
            <v>168608</v>
          </cell>
          <cell r="J719">
            <v>2290</v>
          </cell>
          <cell r="K719">
            <v>0</v>
          </cell>
          <cell r="L719">
            <v>0</v>
          </cell>
          <cell r="M719">
            <v>0</v>
          </cell>
          <cell r="N719">
            <v>376315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</row>
        <row r="720">
          <cell r="A720" t="str">
            <v>453374</v>
          </cell>
          <cell r="B720" t="str">
            <v>1251</v>
          </cell>
          <cell r="C720" t="str">
            <v>12</v>
          </cell>
          <cell r="D720" t="str">
            <v>38</v>
          </cell>
          <cell r="E720">
            <v>2</v>
          </cell>
          <cell r="G720">
            <v>120</v>
          </cell>
          <cell r="H720">
            <v>7737</v>
          </cell>
          <cell r="I720">
            <v>1482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9339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A721" t="str">
            <v>453374</v>
          </cell>
          <cell r="B721" t="str">
            <v>1251</v>
          </cell>
          <cell r="C721" t="str">
            <v>12</v>
          </cell>
          <cell r="D721" t="str">
            <v>38</v>
          </cell>
          <cell r="E721">
            <v>3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A722" t="str">
            <v>453374</v>
          </cell>
          <cell r="B722" t="str">
            <v>1251</v>
          </cell>
          <cell r="C722" t="str">
            <v>12</v>
          </cell>
          <cell r="D722" t="str">
            <v>38</v>
          </cell>
          <cell r="E722">
            <v>4</v>
          </cell>
          <cell r="G722">
            <v>24</v>
          </cell>
          <cell r="H722">
            <v>1550</v>
          </cell>
          <cell r="I722">
            <v>296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1870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</row>
        <row r="723">
          <cell r="A723" t="str">
            <v>453374</v>
          </cell>
          <cell r="B723" t="str">
            <v>1251</v>
          </cell>
          <cell r="C723" t="str">
            <v>12</v>
          </cell>
          <cell r="D723" t="str">
            <v>38</v>
          </cell>
          <cell r="E723">
            <v>5</v>
          </cell>
          <cell r="G723">
            <v>144</v>
          </cell>
          <cell r="H723">
            <v>9287</v>
          </cell>
          <cell r="I723">
            <v>1778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11209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</row>
        <row r="724">
          <cell r="A724" t="str">
            <v>453374</v>
          </cell>
          <cell r="B724" t="str">
            <v>1251</v>
          </cell>
          <cell r="C724" t="str">
            <v>12</v>
          </cell>
          <cell r="D724" t="str">
            <v>38</v>
          </cell>
          <cell r="E724">
            <v>6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</row>
        <row r="725">
          <cell r="A725" t="str">
            <v>453374</v>
          </cell>
          <cell r="B725" t="str">
            <v>1251</v>
          </cell>
          <cell r="C725" t="str">
            <v>12</v>
          </cell>
          <cell r="D725" t="str">
            <v>38</v>
          </cell>
          <cell r="E725">
            <v>7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</row>
        <row r="726">
          <cell r="A726" t="str">
            <v>453374</v>
          </cell>
          <cell r="B726" t="str">
            <v>1251</v>
          </cell>
          <cell r="C726" t="str">
            <v>12</v>
          </cell>
          <cell r="D726" t="str">
            <v>38</v>
          </cell>
          <cell r="E726">
            <v>8</v>
          </cell>
          <cell r="G726">
            <v>0</v>
          </cell>
          <cell r="H726">
            <v>0</v>
          </cell>
          <cell r="I726">
            <v>553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553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</row>
        <row r="727">
          <cell r="A727" t="str">
            <v>453374</v>
          </cell>
          <cell r="B727" t="str">
            <v>1251</v>
          </cell>
          <cell r="C727" t="str">
            <v>12</v>
          </cell>
          <cell r="D727" t="str">
            <v>38</v>
          </cell>
          <cell r="E727">
            <v>9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</row>
        <row r="728">
          <cell r="A728" t="str">
            <v>453374</v>
          </cell>
          <cell r="B728" t="str">
            <v>1251</v>
          </cell>
          <cell r="C728" t="str">
            <v>12</v>
          </cell>
          <cell r="D728" t="str">
            <v>38</v>
          </cell>
          <cell r="E728">
            <v>10</v>
          </cell>
          <cell r="G728">
            <v>0</v>
          </cell>
          <cell r="H728">
            <v>0</v>
          </cell>
          <cell r="I728">
            <v>553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553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</row>
        <row r="729">
          <cell r="A729" t="str">
            <v>453374</v>
          </cell>
          <cell r="B729" t="str">
            <v>1251</v>
          </cell>
          <cell r="C729" t="str">
            <v>12</v>
          </cell>
          <cell r="D729" t="str">
            <v>38</v>
          </cell>
          <cell r="E729">
            <v>11</v>
          </cell>
          <cell r="G729">
            <v>144</v>
          </cell>
          <cell r="H729">
            <v>9287</v>
          </cell>
          <cell r="I729">
            <v>2331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11762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</row>
        <row r="730">
          <cell r="A730" t="str">
            <v>453374</v>
          </cell>
          <cell r="B730" t="str">
            <v>1251</v>
          </cell>
          <cell r="C730" t="str">
            <v>12</v>
          </cell>
          <cell r="D730" t="str">
            <v>38</v>
          </cell>
          <cell r="E730">
            <v>12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A731" t="str">
            <v>453374</v>
          </cell>
          <cell r="B731" t="str">
            <v>1251</v>
          </cell>
          <cell r="C731" t="str">
            <v>12</v>
          </cell>
          <cell r="D731" t="str">
            <v>38</v>
          </cell>
          <cell r="E731">
            <v>13</v>
          </cell>
          <cell r="G731">
            <v>0</v>
          </cell>
          <cell r="H731">
            <v>9287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9287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</row>
        <row r="732">
          <cell r="A732" t="str">
            <v>453374</v>
          </cell>
          <cell r="B732" t="str">
            <v>1251</v>
          </cell>
          <cell r="C732" t="str">
            <v>12</v>
          </cell>
          <cell r="D732" t="str">
            <v>38</v>
          </cell>
          <cell r="E732">
            <v>14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A733" t="str">
            <v>453374</v>
          </cell>
          <cell r="B733" t="str">
            <v>1251</v>
          </cell>
          <cell r="C733" t="str">
            <v>12</v>
          </cell>
          <cell r="D733" t="str">
            <v>38</v>
          </cell>
          <cell r="E733">
            <v>15</v>
          </cell>
          <cell r="G733">
            <v>0</v>
          </cell>
          <cell r="H733">
            <v>0</v>
          </cell>
          <cell r="I733">
            <v>1250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1250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</row>
        <row r="734">
          <cell r="A734" t="str">
            <v>453374</v>
          </cell>
          <cell r="B734" t="str">
            <v>1251</v>
          </cell>
          <cell r="C734" t="str">
            <v>12</v>
          </cell>
          <cell r="D734" t="str">
            <v>38</v>
          </cell>
          <cell r="E734">
            <v>16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A735" t="str">
            <v>453374</v>
          </cell>
          <cell r="B735" t="str">
            <v>1251</v>
          </cell>
          <cell r="C735" t="str">
            <v>12</v>
          </cell>
          <cell r="D735" t="str">
            <v>38</v>
          </cell>
          <cell r="E735">
            <v>17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</row>
        <row r="736">
          <cell r="A736" t="str">
            <v>453374</v>
          </cell>
          <cell r="B736" t="str">
            <v>1251</v>
          </cell>
          <cell r="C736" t="str">
            <v>12</v>
          </cell>
          <cell r="D736" t="str">
            <v>38</v>
          </cell>
          <cell r="E736">
            <v>18</v>
          </cell>
          <cell r="G736">
            <v>0</v>
          </cell>
          <cell r="H736">
            <v>9287</v>
          </cell>
          <cell r="I736">
            <v>1250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10537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</row>
        <row r="737">
          <cell r="A737" t="str">
            <v>453374</v>
          </cell>
          <cell r="B737" t="str">
            <v>1251</v>
          </cell>
          <cell r="C737" t="str">
            <v>12</v>
          </cell>
          <cell r="D737" t="str">
            <v>38</v>
          </cell>
          <cell r="E737">
            <v>19</v>
          </cell>
          <cell r="G737">
            <v>7178</v>
          </cell>
          <cell r="H737">
            <v>198383</v>
          </cell>
          <cell r="I737">
            <v>169689</v>
          </cell>
          <cell r="J737">
            <v>2290</v>
          </cell>
          <cell r="K737">
            <v>0</v>
          </cell>
          <cell r="L737">
            <v>0</v>
          </cell>
          <cell r="M737">
            <v>0</v>
          </cell>
          <cell r="N737">
            <v>377540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A738" t="str">
            <v>453374</v>
          </cell>
          <cell r="B738" t="str">
            <v>1251</v>
          </cell>
          <cell r="C738" t="str">
            <v>12</v>
          </cell>
          <cell r="D738" t="str">
            <v>38</v>
          </cell>
          <cell r="E738">
            <v>20</v>
          </cell>
          <cell r="G738">
            <v>6355</v>
          </cell>
          <cell r="H738">
            <v>27300</v>
          </cell>
          <cell r="I738">
            <v>109859</v>
          </cell>
          <cell r="J738">
            <v>2290</v>
          </cell>
          <cell r="K738">
            <v>0</v>
          </cell>
          <cell r="L738">
            <v>0</v>
          </cell>
          <cell r="M738">
            <v>0</v>
          </cell>
          <cell r="N738">
            <v>145804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A739" t="str">
            <v>453374</v>
          </cell>
          <cell r="B739" t="str">
            <v>1251</v>
          </cell>
          <cell r="C739" t="str">
            <v>12</v>
          </cell>
          <cell r="D739" t="str">
            <v>38</v>
          </cell>
          <cell r="E739">
            <v>21</v>
          </cell>
          <cell r="G739">
            <v>406</v>
          </cell>
          <cell r="H739">
            <v>3968</v>
          </cell>
          <cell r="I739">
            <v>22632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27006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A740" t="str">
            <v>453374</v>
          </cell>
          <cell r="B740" t="str">
            <v>1251</v>
          </cell>
          <cell r="C740" t="str">
            <v>12</v>
          </cell>
          <cell r="D740" t="str">
            <v>38</v>
          </cell>
          <cell r="E740">
            <v>22</v>
          </cell>
          <cell r="G740">
            <v>0</v>
          </cell>
          <cell r="H740">
            <v>0</v>
          </cell>
          <cell r="I740">
            <v>1250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1250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</row>
        <row r="741">
          <cell r="A741" t="str">
            <v>453374</v>
          </cell>
          <cell r="B741" t="str">
            <v>1251</v>
          </cell>
          <cell r="C741" t="str">
            <v>12</v>
          </cell>
          <cell r="D741" t="str">
            <v>38</v>
          </cell>
          <cell r="E741">
            <v>23</v>
          </cell>
          <cell r="G741">
            <v>6761</v>
          </cell>
          <cell r="H741">
            <v>31268</v>
          </cell>
          <cell r="I741">
            <v>131241</v>
          </cell>
          <cell r="J741">
            <v>2290</v>
          </cell>
          <cell r="K741">
            <v>0</v>
          </cell>
          <cell r="L741">
            <v>0</v>
          </cell>
          <cell r="M741">
            <v>0</v>
          </cell>
          <cell r="N741">
            <v>171560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A742" t="str">
            <v>453374</v>
          </cell>
          <cell r="B742" t="str">
            <v>1251</v>
          </cell>
          <cell r="C742" t="str">
            <v>12</v>
          </cell>
          <cell r="D742" t="str">
            <v>38</v>
          </cell>
          <cell r="E742">
            <v>24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A743" t="str">
            <v>453374</v>
          </cell>
          <cell r="B743" t="str">
            <v>1251</v>
          </cell>
          <cell r="C743" t="str">
            <v>12</v>
          </cell>
          <cell r="D743" t="str">
            <v>38</v>
          </cell>
          <cell r="E743">
            <v>25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</row>
        <row r="744">
          <cell r="A744" t="str">
            <v>453374</v>
          </cell>
          <cell r="B744" t="str">
            <v>1251</v>
          </cell>
          <cell r="C744" t="str">
            <v>12</v>
          </cell>
          <cell r="D744" t="str">
            <v>38</v>
          </cell>
          <cell r="E744">
            <v>26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</row>
        <row r="745">
          <cell r="A745" t="str">
            <v>453374</v>
          </cell>
          <cell r="B745" t="str">
            <v>1251</v>
          </cell>
          <cell r="C745" t="str">
            <v>12</v>
          </cell>
          <cell r="D745" t="str">
            <v>38</v>
          </cell>
          <cell r="E745">
            <v>27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A746" t="str">
            <v>453374</v>
          </cell>
          <cell r="B746" t="str">
            <v>1251</v>
          </cell>
          <cell r="C746" t="str">
            <v>12</v>
          </cell>
          <cell r="D746" t="str">
            <v>38</v>
          </cell>
          <cell r="E746">
            <v>28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A747" t="str">
            <v>453374</v>
          </cell>
          <cell r="B747" t="str">
            <v>1251</v>
          </cell>
          <cell r="C747" t="str">
            <v>12</v>
          </cell>
          <cell r="D747" t="str">
            <v>38</v>
          </cell>
          <cell r="E747">
            <v>29</v>
          </cell>
          <cell r="G747">
            <v>6761</v>
          </cell>
          <cell r="H747">
            <v>31268</v>
          </cell>
          <cell r="I747">
            <v>131241</v>
          </cell>
          <cell r="J747">
            <v>2290</v>
          </cell>
          <cell r="K747">
            <v>0</v>
          </cell>
          <cell r="L747">
            <v>0</v>
          </cell>
          <cell r="M747">
            <v>0</v>
          </cell>
          <cell r="N747">
            <v>171560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A748" t="str">
            <v>453374</v>
          </cell>
          <cell r="B748" t="str">
            <v>1251</v>
          </cell>
          <cell r="C748" t="str">
            <v>12</v>
          </cell>
          <cell r="D748" t="str">
            <v>38</v>
          </cell>
          <cell r="E748">
            <v>30</v>
          </cell>
          <cell r="G748">
            <v>417</v>
          </cell>
          <cell r="H748">
            <v>167115</v>
          </cell>
          <cell r="I748">
            <v>38448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205980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A749" t="str">
            <v>453374</v>
          </cell>
          <cell r="B749" t="str">
            <v>1251</v>
          </cell>
          <cell r="C749" t="str">
            <v>12</v>
          </cell>
          <cell r="D749" t="str">
            <v>38</v>
          </cell>
          <cell r="E749">
            <v>31</v>
          </cell>
          <cell r="G749">
            <v>6074</v>
          </cell>
          <cell r="H749">
            <v>0</v>
          </cell>
          <cell r="I749">
            <v>56125</v>
          </cell>
          <cell r="J749">
            <v>2290</v>
          </cell>
          <cell r="K749">
            <v>0</v>
          </cell>
          <cell r="L749">
            <v>0</v>
          </cell>
          <cell r="M749">
            <v>0</v>
          </cell>
          <cell r="N749">
            <v>64489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A750" t="str">
            <v>453374</v>
          </cell>
          <cell r="B750" t="str">
            <v>1251</v>
          </cell>
          <cell r="C750" t="str">
            <v>12</v>
          </cell>
          <cell r="D750" t="str">
            <v>53</v>
          </cell>
          <cell r="E750">
            <v>1</v>
          </cell>
          <cell r="G750">
            <v>1949</v>
          </cell>
          <cell r="H750">
            <v>48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865</v>
          </cell>
          <cell r="T750">
            <v>84</v>
          </cell>
          <cell r="U750">
            <v>0</v>
          </cell>
          <cell r="V750">
            <v>0</v>
          </cell>
          <cell r="W750">
            <v>0</v>
          </cell>
        </row>
        <row r="751">
          <cell r="A751" t="str">
            <v>453374</v>
          </cell>
          <cell r="B751" t="str">
            <v>1251</v>
          </cell>
          <cell r="C751" t="str">
            <v>12</v>
          </cell>
          <cell r="D751" t="str">
            <v>53</v>
          </cell>
          <cell r="E751">
            <v>15</v>
          </cell>
          <cell r="G751">
            <v>0</v>
          </cell>
          <cell r="H751">
            <v>0</v>
          </cell>
          <cell r="I751">
            <v>27442</v>
          </cell>
          <cell r="J751">
            <v>21544</v>
          </cell>
          <cell r="K751">
            <v>26392</v>
          </cell>
          <cell r="L751">
            <v>23133</v>
          </cell>
          <cell r="M751">
            <v>6141</v>
          </cell>
          <cell r="N751">
            <v>4465</v>
          </cell>
          <cell r="O751">
            <v>5462</v>
          </cell>
          <cell r="P751">
            <v>4678</v>
          </cell>
          <cell r="Q751">
            <v>616</v>
          </cell>
          <cell r="R751">
            <v>462</v>
          </cell>
          <cell r="S751">
            <v>555</v>
          </cell>
          <cell r="T751">
            <v>484</v>
          </cell>
          <cell r="U751">
            <v>0</v>
          </cell>
          <cell r="V751">
            <v>0</v>
          </cell>
          <cell r="W751">
            <v>0</v>
          </cell>
        </row>
        <row r="752">
          <cell r="A752" t="str">
            <v>453374</v>
          </cell>
          <cell r="B752" t="str">
            <v>1251</v>
          </cell>
          <cell r="C752" t="str">
            <v>12</v>
          </cell>
          <cell r="D752" t="str">
            <v>53</v>
          </cell>
          <cell r="E752">
            <v>29</v>
          </cell>
          <cell r="G752">
            <v>246</v>
          </cell>
          <cell r="H752">
            <v>256</v>
          </cell>
          <cell r="I752">
            <v>80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57712</v>
          </cell>
          <cell r="S752">
            <v>6063</v>
          </cell>
          <cell r="T752">
            <v>11089</v>
          </cell>
          <cell r="U752">
            <v>0</v>
          </cell>
          <cell r="V752">
            <v>0</v>
          </cell>
          <cell r="W752">
            <v>0</v>
          </cell>
        </row>
        <row r="753">
          <cell r="A753" t="str">
            <v>453374</v>
          </cell>
          <cell r="B753" t="str">
            <v>1251</v>
          </cell>
          <cell r="C753" t="str">
            <v>12</v>
          </cell>
          <cell r="D753" t="str">
            <v>53</v>
          </cell>
          <cell r="E753">
            <v>43</v>
          </cell>
          <cell r="G753">
            <v>39640</v>
          </cell>
          <cell r="H753">
            <v>920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</row>
        <row r="754">
          <cell r="A754" t="str">
            <v>453374</v>
          </cell>
          <cell r="B754" t="str">
            <v>1251</v>
          </cell>
          <cell r="C754" t="str">
            <v>12</v>
          </cell>
          <cell r="D754" t="str">
            <v>53</v>
          </cell>
          <cell r="E754">
            <v>57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1</v>
          </cell>
          <cell r="U754">
            <v>0</v>
          </cell>
          <cell r="V754">
            <v>0</v>
          </cell>
          <cell r="W754">
            <v>0</v>
          </cell>
        </row>
        <row r="755">
          <cell r="A755" t="str">
            <v>453374</v>
          </cell>
          <cell r="B755" t="str">
            <v>1251</v>
          </cell>
          <cell r="C755" t="str">
            <v>12</v>
          </cell>
          <cell r="D755" t="str">
            <v>53</v>
          </cell>
          <cell r="E755">
            <v>71</v>
          </cell>
          <cell r="G755">
            <v>552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A756" t="str">
            <v>453374</v>
          </cell>
          <cell r="B756" t="str">
            <v>1251</v>
          </cell>
          <cell r="C756" t="str">
            <v>12</v>
          </cell>
          <cell r="D756" t="str">
            <v>56</v>
          </cell>
          <cell r="E756">
            <v>1</v>
          </cell>
          <cell r="G756">
            <v>168608</v>
          </cell>
          <cell r="H756">
            <v>2290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A757" t="str">
            <v>453374</v>
          </cell>
          <cell r="B757" t="str">
            <v>1251</v>
          </cell>
          <cell r="C757" t="str">
            <v>12</v>
          </cell>
          <cell r="D757" t="str">
            <v>56</v>
          </cell>
          <cell r="E757">
            <v>6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168608</v>
          </cell>
          <cell r="Q757">
            <v>2290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A758" t="str">
            <v>453374</v>
          </cell>
          <cell r="B758" t="str">
            <v>1251</v>
          </cell>
          <cell r="C758" t="str">
            <v>12</v>
          </cell>
          <cell r="D758" t="str">
            <v>57</v>
          </cell>
          <cell r="E758">
            <v>1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</row>
        <row r="759">
          <cell r="A759" t="str">
            <v>453374</v>
          </cell>
          <cell r="B759" t="str">
            <v>1251</v>
          </cell>
          <cell r="C759" t="str">
            <v>12</v>
          </cell>
          <cell r="D759" t="str">
            <v>57</v>
          </cell>
          <cell r="E759">
            <v>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A760" t="str">
            <v>453374</v>
          </cell>
          <cell r="B760" t="str">
            <v>1251</v>
          </cell>
          <cell r="C760" t="str">
            <v>12</v>
          </cell>
          <cell r="D760" t="str">
            <v>57</v>
          </cell>
          <cell r="E760">
            <v>5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</row>
        <row r="761">
          <cell r="A761" t="str">
            <v>453374</v>
          </cell>
          <cell r="B761" t="str">
            <v>1251</v>
          </cell>
          <cell r="C761" t="str">
            <v>12</v>
          </cell>
          <cell r="D761" t="str">
            <v>57</v>
          </cell>
          <cell r="E761">
            <v>7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1050</v>
          </cell>
          <cell r="N761">
            <v>0</v>
          </cell>
          <cell r="O761">
            <v>0</v>
          </cell>
          <cell r="P761">
            <v>0</v>
          </cell>
          <cell r="Q761">
            <v>1783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</row>
        <row r="762">
          <cell r="A762" t="str">
            <v>453374</v>
          </cell>
          <cell r="B762" t="str">
            <v>1251</v>
          </cell>
          <cell r="C762" t="str">
            <v>12</v>
          </cell>
          <cell r="D762" t="str">
            <v>57</v>
          </cell>
          <cell r="E762">
            <v>9</v>
          </cell>
          <cell r="G762">
            <v>93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</row>
        <row r="763">
          <cell r="A763" t="str">
            <v>453374</v>
          </cell>
          <cell r="B763" t="str">
            <v>1251</v>
          </cell>
          <cell r="C763" t="str">
            <v>12</v>
          </cell>
          <cell r="D763" t="str">
            <v>57</v>
          </cell>
          <cell r="E763">
            <v>11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A764" t="str">
            <v>453374</v>
          </cell>
          <cell r="B764" t="str">
            <v>1251</v>
          </cell>
          <cell r="C764" t="str">
            <v>12</v>
          </cell>
          <cell r="D764" t="str">
            <v>57</v>
          </cell>
          <cell r="E764">
            <v>13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A765" t="str">
            <v>453374</v>
          </cell>
          <cell r="B765" t="str">
            <v>1251</v>
          </cell>
          <cell r="C765" t="str">
            <v>12</v>
          </cell>
          <cell r="D765" t="str">
            <v>57</v>
          </cell>
          <cell r="E765">
            <v>15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1143</v>
          </cell>
          <cell r="N765">
            <v>0</v>
          </cell>
          <cell r="O765">
            <v>0</v>
          </cell>
          <cell r="P765">
            <v>0</v>
          </cell>
          <cell r="Q765">
            <v>1783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</row>
        <row r="766">
          <cell r="A766" t="str">
            <v>453374</v>
          </cell>
          <cell r="B766" t="str">
            <v>1251</v>
          </cell>
          <cell r="C766" t="str">
            <v>12</v>
          </cell>
          <cell r="D766" t="str">
            <v>57</v>
          </cell>
          <cell r="E766">
            <v>17</v>
          </cell>
          <cell r="G766">
            <v>1143</v>
          </cell>
          <cell r="H766">
            <v>0</v>
          </cell>
          <cell r="I766">
            <v>0</v>
          </cell>
          <cell r="J766">
            <v>0</v>
          </cell>
          <cell r="K766">
            <v>1783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</row>
        <row r="767">
          <cell r="A767" t="str">
            <v>453374</v>
          </cell>
          <cell r="B767" t="str">
            <v>1251</v>
          </cell>
          <cell r="C767" t="str">
            <v>12</v>
          </cell>
          <cell r="D767" t="str">
            <v>58</v>
          </cell>
          <cell r="E767">
            <v>1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A768" t="str">
            <v>453374</v>
          </cell>
          <cell r="B768" t="str">
            <v>1251</v>
          </cell>
          <cell r="C768" t="str">
            <v>12</v>
          </cell>
          <cell r="D768" t="str">
            <v>58</v>
          </cell>
          <cell r="E768">
            <v>2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</row>
        <row r="769">
          <cell r="A769" t="str">
            <v>453374</v>
          </cell>
          <cell r="B769" t="str">
            <v>1251</v>
          </cell>
          <cell r="C769" t="str">
            <v>12</v>
          </cell>
          <cell r="D769" t="str">
            <v>58</v>
          </cell>
          <cell r="E769">
            <v>3</v>
          </cell>
          <cell r="G769">
            <v>93</v>
          </cell>
          <cell r="H769">
            <v>-93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</row>
        <row r="770">
          <cell r="A770" t="str">
            <v>453374</v>
          </cell>
          <cell r="B770" t="str">
            <v>1251</v>
          </cell>
          <cell r="C770" t="str">
            <v>12</v>
          </cell>
          <cell r="D770" t="str">
            <v>58</v>
          </cell>
          <cell r="E770">
            <v>4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</row>
        <row r="771">
          <cell r="A771" t="str">
            <v>453374</v>
          </cell>
          <cell r="B771" t="str">
            <v>1251</v>
          </cell>
          <cell r="C771" t="str">
            <v>12</v>
          </cell>
          <cell r="D771" t="str">
            <v>58</v>
          </cell>
          <cell r="E771">
            <v>5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</row>
        <row r="772">
          <cell r="A772" t="str">
            <v>453374</v>
          </cell>
          <cell r="B772" t="str">
            <v>1251</v>
          </cell>
          <cell r="C772" t="str">
            <v>12</v>
          </cell>
          <cell r="D772" t="str">
            <v>58</v>
          </cell>
          <cell r="E772">
            <v>6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</row>
        <row r="773">
          <cell r="A773" t="str">
            <v>453374</v>
          </cell>
          <cell r="B773" t="str">
            <v>1251</v>
          </cell>
          <cell r="C773" t="str">
            <v>12</v>
          </cell>
          <cell r="D773" t="str">
            <v>58</v>
          </cell>
          <cell r="E773">
            <v>7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</row>
        <row r="774">
          <cell r="A774" t="str">
            <v>453374</v>
          </cell>
          <cell r="B774" t="str">
            <v>1251</v>
          </cell>
          <cell r="C774" t="str">
            <v>12</v>
          </cell>
          <cell r="D774" t="str">
            <v>58</v>
          </cell>
          <cell r="E774">
            <v>8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</row>
        <row r="775">
          <cell r="A775" t="str">
            <v>453374</v>
          </cell>
          <cell r="B775" t="str">
            <v>1251</v>
          </cell>
          <cell r="C775" t="str">
            <v>12</v>
          </cell>
          <cell r="D775" t="str">
            <v>58</v>
          </cell>
          <cell r="E775">
            <v>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</row>
        <row r="776">
          <cell r="A776" t="str">
            <v>453374</v>
          </cell>
          <cell r="B776" t="str">
            <v>1251</v>
          </cell>
          <cell r="C776" t="str">
            <v>12</v>
          </cell>
          <cell r="D776" t="str">
            <v>58</v>
          </cell>
          <cell r="E776">
            <v>10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</row>
        <row r="777">
          <cell r="A777" t="str">
            <v>453374</v>
          </cell>
          <cell r="B777" t="str">
            <v>1251</v>
          </cell>
          <cell r="C777" t="str">
            <v>12</v>
          </cell>
          <cell r="D777" t="str">
            <v>58</v>
          </cell>
          <cell r="E777">
            <v>11</v>
          </cell>
          <cell r="G777">
            <v>93</v>
          </cell>
          <cell r="H777">
            <v>-93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</row>
        <row r="778">
          <cell r="A778" t="str">
            <v>453374</v>
          </cell>
          <cell r="B778" t="str">
            <v>1251</v>
          </cell>
          <cell r="C778" t="str">
            <v>12</v>
          </cell>
          <cell r="D778" t="str">
            <v>59</v>
          </cell>
          <cell r="E778">
            <v>1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</row>
        <row r="779">
          <cell r="A779" t="str">
            <v>453374</v>
          </cell>
          <cell r="B779" t="str">
            <v>1251</v>
          </cell>
          <cell r="C779" t="str">
            <v>12</v>
          </cell>
          <cell r="D779" t="str">
            <v>59</v>
          </cell>
          <cell r="E779">
            <v>2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</row>
        <row r="780">
          <cell r="A780" t="str">
            <v>453374</v>
          </cell>
          <cell r="B780" t="str">
            <v>1251</v>
          </cell>
          <cell r="C780" t="str">
            <v>12</v>
          </cell>
          <cell r="D780" t="str">
            <v>59</v>
          </cell>
          <cell r="E780">
            <v>3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</row>
        <row r="781">
          <cell r="A781" t="str">
            <v>453374</v>
          </cell>
          <cell r="B781" t="str">
            <v>1251</v>
          </cell>
          <cell r="C781" t="str">
            <v>12</v>
          </cell>
          <cell r="D781" t="str">
            <v>59</v>
          </cell>
          <cell r="E781">
            <v>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</row>
        <row r="782">
          <cell r="A782" t="str">
            <v>453374</v>
          </cell>
          <cell r="B782" t="str">
            <v>1251</v>
          </cell>
          <cell r="C782" t="str">
            <v>12</v>
          </cell>
          <cell r="D782" t="str">
            <v>59</v>
          </cell>
          <cell r="E782">
            <v>5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</row>
        <row r="783">
          <cell r="A783" t="str">
            <v>453374</v>
          </cell>
          <cell r="B783" t="str">
            <v>1251</v>
          </cell>
          <cell r="C783" t="str">
            <v>12</v>
          </cell>
          <cell r="D783" t="str">
            <v>59</v>
          </cell>
          <cell r="E783">
            <v>6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</row>
        <row r="784">
          <cell r="A784" t="str">
            <v>453374</v>
          </cell>
          <cell r="B784" t="str">
            <v>1251</v>
          </cell>
          <cell r="C784" t="str">
            <v>12</v>
          </cell>
          <cell r="D784" t="str">
            <v>59</v>
          </cell>
          <cell r="E784">
            <v>7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</row>
        <row r="785">
          <cell r="A785" t="str">
            <v>453374</v>
          </cell>
          <cell r="B785" t="str">
            <v>1251</v>
          </cell>
          <cell r="C785" t="str">
            <v>12</v>
          </cell>
          <cell r="D785" t="str">
            <v>59</v>
          </cell>
          <cell r="E785">
            <v>8</v>
          </cell>
          <cell r="G785">
            <v>3244</v>
          </cell>
          <cell r="H785">
            <v>0</v>
          </cell>
          <cell r="I785">
            <v>90170</v>
          </cell>
          <cell r="J785">
            <v>0</v>
          </cell>
          <cell r="K785">
            <v>93414</v>
          </cell>
          <cell r="L785">
            <v>0</v>
          </cell>
          <cell r="M785">
            <v>3244</v>
          </cell>
          <cell r="N785">
            <v>85286</v>
          </cell>
          <cell r="O785">
            <v>0</v>
          </cell>
          <cell r="P785">
            <v>4884</v>
          </cell>
          <cell r="Q785">
            <v>4884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</row>
        <row r="786">
          <cell r="A786" t="str">
            <v>453374</v>
          </cell>
          <cell r="B786" t="str">
            <v>1251</v>
          </cell>
          <cell r="C786" t="str">
            <v>12</v>
          </cell>
          <cell r="D786" t="str">
            <v>59</v>
          </cell>
          <cell r="E786">
            <v>9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</row>
        <row r="787">
          <cell r="A787" t="str">
            <v>453374</v>
          </cell>
          <cell r="B787" t="str">
            <v>1251</v>
          </cell>
          <cell r="C787" t="str">
            <v>12</v>
          </cell>
          <cell r="D787" t="str">
            <v>59</v>
          </cell>
          <cell r="E787">
            <v>10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</row>
        <row r="788">
          <cell r="A788" t="str">
            <v>453374</v>
          </cell>
          <cell r="B788" t="str">
            <v>1251</v>
          </cell>
          <cell r="C788" t="str">
            <v>12</v>
          </cell>
          <cell r="D788" t="str">
            <v>59</v>
          </cell>
          <cell r="E788">
            <v>11</v>
          </cell>
          <cell r="G788">
            <v>3060</v>
          </cell>
          <cell r="H788">
            <v>0</v>
          </cell>
          <cell r="I788">
            <v>88480</v>
          </cell>
          <cell r="J788">
            <v>0</v>
          </cell>
          <cell r="K788">
            <v>91540</v>
          </cell>
          <cell r="L788">
            <v>0</v>
          </cell>
          <cell r="M788">
            <v>3060</v>
          </cell>
          <cell r="N788">
            <v>85286</v>
          </cell>
          <cell r="O788">
            <v>0</v>
          </cell>
          <cell r="P788">
            <v>3194</v>
          </cell>
          <cell r="Q788">
            <v>3194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</row>
        <row r="789">
          <cell r="A789" t="str">
            <v>453374</v>
          </cell>
          <cell r="B789" t="str">
            <v>1251</v>
          </cell>
          <cell r="C789" t="str">
            <v>12</v>
          </cell>
          <cell r="D789" t="str">
            <v>59</v>
          </cell>
          <cell r="E789">
            <v>12</v>
          </cell>
          <cell r="G789">
            <v>68</v>
          </cell>
          <cell r="H789">
            <v>0</v>
          </cell>
          <cell r="I789">
            <v>11141</v>
          </cell>
          <cell r="J789">
            <v>0</v>
          </cell>
          <cell r="K789">
            <v>11209</v>
          </cell>
          <cell r="L789">
            <v>0</v>
          </cell>
          <cell r="M789">
            <v>68</v>
          </cell>
          <cell r="N789">
            <v>8979</v>
          </cell>
          <cell r="O789">
            <v>0</v>
          </cell>
          <cell r="P789">
            <v>2162</v>
          </cell>
          <cell r="Q789">
            <v>2162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</row>
        <row r="790">
          <cell r="A790" t="str">
            <v>453374</v>
          </cell>
          <cell r="B790" t="str">
            <v>1251</v>
          </cell>
          <cell r="C790" t="str">
            <v>12</v>
          </cell>
          <cell r="D790" t="str">
            <v>59</v>
          </cell>
          <cell r="E790">
            <v>13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</row>
        <row r="791">
          <cell r="A791" t="str">
            <v>453374</v>
          </cell>
          <cell r="B791" t="str">
            <v>1251</v>
          </cell>
          <cell r="C791" t="str">
            <v>12</v>
          </cell>
          <cell r="D791" t="str">
            <v>59</v>
          </cell>
          <cell r="E791">
            <v>14</v>
          </cell>
          <cell r="G791">
            <v>45</v>
          </cell>
          <cell r="H791">
            <v>0</v>
          </cell>
          <cell r="I791">
            <v>27120</v>
          </cell>
          <cell r="J791">
            <v>0</v>
          </cell>
          <cell r="K791">
            <v>27165</v>
          </cell>
          <cell r="L791">
            <v>0</v>
          </cell>
          <cell r="M791">
            <v>45</v>
          </cell>
          <cell r="N791">
            <v>26088</v>
          </cell>
          <cell r="O791">
            <v>0</v>
          </cell>
          <cell r="P791">
            <v>1032</v>
          </cell>
          <cell r="Q791">
            <v>1032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</row>
        <row r="792">
          <cell r="A792" t="str">
            <v>453374</v>
          </cell>
          <cell r="B792" t="str">
            <v>1251</v>
          </cell>
          <cell r="C792" t="str">
            <v>12</v>
          </cell>
          <cell r="D792" t="str">
            <v>59</v>
          </cell>
          <cell r="E792">
            <v>15</v>
          </cell>
          <cell r="G792">
            <v>2947</v>
          </cell>
          <cell r="H792">
            <v>0</v>
          </cell>
          <cell r="I792">
            <v>50219</v>
          </cell>
          <cell r="J792">
            <v>0</v>
          </cell>
          <cell r="K792">
            <v>53166</v>
          </cell>
          <cell r="L792">
            <v>0</v>
          </cell>
          <cell r="M792">
            <v>2947</v>
          </cell>
          <cell r="N792">
            <v>50219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</row>
        <row r="793">
          <cell r="A793" t="str">
            <v>453374</v>
          </cell>
          <cell r="B793" t="str">
            <v>1251</v>
          </cell>
          <cell r="C793" t="str">
            <v>12</v>
          </cell>
          <cell r="D793" t="str">
            <v>59</v>
          </cell>
          <cell r="E793">
            <v>16</v>
          </cell>
          <cell r="G793">
            <v>184</v>
          </cell>
          <cell r="H793">
            <v>0</v>
          </cell>
          <cell r="I793">
            <v>1690</v>
          </cell>
          <cell r="J793">
            <v>0</v>
          </cell>
          <cell r="K793">
            <v>1874</v>
          </cell>
          <cell r="L793">
            <v>0</v>
          </cell>
          <cell r="M793">
            <v>184</v>
          </cell>
          <cell r="N793">
            <v>0</v>
          </cell>
          <cell r="O793">
            <v>0</v>
          </cell>
          <cell r="P793">
            <v>1690</v>
          </cell>
          <cell r="Q793">
            <v>1690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</row>
        <row r="794">
          <cell r="A794" t="str">
            <v>453374</v>
          </cell>
          <cell r="B794" t="str">
            <v>1251</v>
          </cell>
          <cell r="C794" t="str">
            <v>12</v>
          </cell>
          <cell r="D794" t="str">
            <v>59</v>
          </cell>
          <cell r="E794">
            <v>17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</row>
        <row r="795">
          <cell r="A795" t="str">
            <v>453374</v>
          </cell>
          <cell r="B795" t="str">
            <v>1251</v>
          </cell>
          <cell r="C795" t="str">
            <v>12</v>
          </cell>
          <cell r="D795" t="str">
            <v>59</v>
          </cell>
          <cell r="E795">
            <v>18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</row>
        <row r="796">
          <cell r="A796" t="str">
            <v>453374</v>
          </cell>
          <cell r="B796" t="str">
            <v>1251</v>
          </cell>
          <cell r="C796" t="str">
            <v>12</v>
          </cell>
          <cell r="D796" t="str">
            <v>59</v>
          </cell>
          <cell r="E796">
            <v>19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A797" t="str">
            <v>453374</v>
          </cell>
          <cell r="B797" t="str">
            <v>1251</v>
          </cell>
          <cell r="C797" t="str">
            <v>12</v>
          </cell>
          <cell r="D797" t="str">
            <v>59</v>
          </cell>
          <cell r="E797">
            <v>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</row>
        <row r="798">
          <cell r="A798" t="str">
            <v>453374</v>
          </cell>
          <cell r="B798" t="str">
            <v>1251</v>
          </cell>
          <cell r="C798" t="str">
            <v>12</v>
          </cell>
          <cell r="D798" t="str">
            <v>59</v>
          </cell>
          <cell r="E798">
            <v>21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</row>
        <row r="799">
          <cell r="A799" t="str">
            <v>453374</v>
          </cell>
          <cell r="B799" t="str">
            <v>1251</v>
          </cell>
          <cell r="C799" t="str">
            <v>12</v>
          </cell>
          <cell r="D799" t="str">
            <v>59</v>
          </cell>
          <cell r="E799">
            <v>22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</row>
        <row r="800">
          <cell r="A800" t="str">
            <v>453374</v>
          </cell>
          <cell r="B800" t="str">
            <v>1251</v>
          </cell>
          <cell r="C800" t="str">
            <v>12</v>
          </cell>
          <cell r="D800" t="str">
            <v>59</v>
          </cell>
          <cell r="E800">
            <v>23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</row>
        <row r="801">
          <cell r="A801" t="str">
            <v>453374</v>
          </cell>
          <cell r="B801" t="str">
            <v>1251</v>
          </cell>
          <cell r="C801" t="str">
            <v>12</v>
          </cell>
          <cell r="D801" t="str">
            <v>59</v>
          </cell>
          <cell r="E801">
            <v>24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</row>
        <row r="802">
          <cell r="A802" t="str">
            <v>453374</v>
          </cell>
          <cell r="B802" t="str">
            <v>1251</v>
          </cell>
          <cell r="C802" t="str">
            <v>12</v>
          </cell>
          <cell r="D802" t="str">
            <v>59</v>
          </cell>
          <cell r="E802">
            <v>25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A803" t="str">
            <v>453374</v>
          </cell>
          <cell r="B803" t="str">
            <v>1251</v>
          </cell>
          <cell r="C803" t="str">
            <v>12</v>
          </cell>
          <cell r="D803" t="str">
            <v>59</v>
          </cell>
          <cell r="E803">
            <v>26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</row>
        <row r="804">
          <cell r="A804" t="str">
            <v>453374</v>
          </cell>
          <cell r="B804" t="str">
            <v>1251</v>
          </cell>
          <cell r="C804" t="str">
            <v>12</v>
          </cell>
          <cell r="D804" t="str">
            <v>59</v>
          </cell>
          <cell r="E804">
            <v>27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</row>
        <row r="805">
          <cell r="A805" t="str">
            <v>453374</v>
          </cell>
          <cell r="B805" t="str">
            <v>1251</v>
          </cell>
          <cell r="C805" t="str">
            <v>12</v>
          </cell>
          <cell r="D805" t="str">
            <v>59</v>
          </cell>
          <cell r="E805">
            <v>28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</row>
        <row r="806">
          <cell r="A806" t="str">
            <v>453374</v>
          </cell>
          <cell r="B806" t="str">
            <v>1251</v>
          </cell>
          <cell r="C806" t="str">
            <v>12</v>
          </cell>
          <cell r="D806" t="str">
            <v>59</v>
          </cell>
          <cell r="E806">
            <v>29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A807" t="str">
            <v>453374</v>
          </cell>
          <cell r="B807" t="str">
            <v>1251</v>
          </cell>
          <cell r="C807" t="str">
            <v>12</v>
          </cell>
          <cell r="D807" t="str">
            <v>59</v>
          </cell>
          <cell r="E807">
            <v>30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A808" t="str">
            <v>453374</v>
          </cell>
          <cell r="B808" t="str">
            <v>1251</v>
          </cell>
          <cell r="C808" t="str">
            <v>12</v>
          </cell>
          <cell r="D808" t="str">
            <v>59</v>
          </cell>
          <cell r="E808">
            <v>31</v>
          </cell>
          <cell r="G808">
            <v>184</v>
          </cell>
          <cell r="H808">
            <v>0</v>
          </cell>
          <cell r="I808">
            <v>1690</v>
          </cell>
          <cell r="J808">
            <v>0</v>
          </cell>
          <cell r="K808">
            <v>1874</v>
          </cell>
          <cell r="L808">
            <v>0</v>
          </cell>
          <cell r="M808">
            <v>184</v>
          </cell>
          <cell r="N808">
            <v>0</v>
          </cell>
          <cell r="O808">
            <v>0</v>
          </cell>
          <cell r="P808">
            <v>1690</v>
          </cell>
          <cell r="Q808">
            <v>1690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</row>
        <row r="809">
          <cell r="A809" t="str">
            <v>453374</v>
          </cell>
          <cell r="B809" t="str">
            <v>1251</v>
          </cell>
          <cell r="C809" t="str">
            <v>12</v>
          </cell>
          <cell r="D809" t="str">
            <v>59</v>
          </cell>
          <cell r="E809">
            <v>32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</row>
        <row r="810">
          <cell r="A810" t="str">
            <v>453374</v>
          </cell>
          <cell r="B810" t="str">
            <v>1251</v>
          </cell>
          <cell r="C810" t="str">
            <v>12</v>
          </cell>
          <cell r="D810" t="str">
            <v>59</v>
          </cell>
          <cell r="E810">
            <v>33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A811" t="str">
            <v>453374</v>
          </cell>
          <cell r="B811" t="str">
            <v>1251</v>
          </cell>
          <cell r="C811" t="str">
            <v>12</v>
          </cell>
          <cell r="D811" t="str">
            <v>59</v>
          </cell>
          <cell r="E811">
            <v>34</v>
          </cell>
          <cell r="G811">
            <v>3244</v>
          </cell>
          <cell r="H811">
            <v>0</v>
          </cell>
          <cell r="I811">
            <v>90170</v>
          </cell>
          <cell r="J811">
            <v>0</v>
          </cell>
          <cell r="K811">
            <v>93414</v>
          </cell>
          <cell r="L811">
            <v>0</v>
          </cell>
          <cell r="M811">
            <v>3244</v>
          </cell>
          <cell r="N811">
            <v>85286</v>
          </cell>
          <cell r="O811">
            <v>0</v>
          </cell>
          <cell r="P811">
            <v>4884</v>
          </cell>
          <cell r="Q811">
            <v>4884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</row>
        <row r="812">
          <cell r="A812" t="str">
            <v>453374</v>
          </cell>
          <cell r="B812" t="str">
            <v>1251</v>
          </cell>
          <cell r="C812" t="str">
            <v>12</v>
          </cell>
          <cell r="D812" t="str">
            <v>75</v>
          </cell>
          <cell r="E812">
            <v>1</v>
          </cell>
          <cell r="G812">
            <v>10855</v>
          </cell>
          <cell r="H812">
            <v>1972</v>
          </cell>
          <cell r="I812">
            <v>0</v>
          </cell>
          <cell r="J812">
            <v>0</v>
          </cell>
          <cell r="K812">
            <v>0</v>
          </cell>
          <cell r="L812">
            <v>9339</v>
          </cell>
          <cell r="M812">
            <v>1802</v>
          </cell>
          <cell r="N812">
            <v>0</v>
          </cell>
          <cell r="O812">
            <v>0</v>
          </cell>
          <cell r="P812">
            <v>1972</v>
          </cell>
          <cell r="Q812">
            <v>7367</v>
          </cell>
          <cell r="R812">
            <v>9339</v>
          </cell>
          <cell r="S812">
            <v>0</v>
          </cell>
          <cell r="T812">
            <v>3774</v>
          </cell>
          <cell r="U812">
            <v>2258</v>
          </cell>
          <cell r="V812">
            <v>0</v>
          </cell>
          <cell r="W812">
            <v>0</v>
          </cell>
        </row>
        <row r="813">
          <cell r="A813" t="str">
            <v>453374</v>
          </cell>
          <cell r="B813" t="str">
            <v>1251</v>
          </cell>
          <cell r="C813" t="str">
            <v>12</v>
          </cell>
          <cell r="D813" t="str">
            <v>75</v>
          </cell>
          <cell r="E813">
            <v>2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A814" t="str">
            <v>453374</v>
          </cell>
          <cell r="B814" t="str">
            <v>1251</v>
          </cell>
          <cell r="C814" t="str">
            <v>12</v>
          </cell>
          <cell r="D814" t="str">
            <v>75</v>
          </cell>
          <cell r="E814">
            <v>3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</row>
        <row r="815">
          <cell r="A815" t="str">
            <v>453374</v>
          </cell>
          <cell r="B815" t="str">
            <v>1251</v>
          </cell>
          <cell r="C815" t="str">
            <v>12</v>
          </cell>
          <cell r="D815" t="str">
            <v>75</v>
          </cell>
          <cell r="E815">
            <v>4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</row>
        <row r="816">
          <cell r="A816" t="str">
            <v>453374</v>
          </cell>
          <cell r="B816" t="str">
            <v>1251</v>
          </cell>
          <cell r="C816" t="str">
            <v>12</v>
          </cell>
          <cell r="D816" t="str">
            <v>75</v>
          </cell>
          <cell r="E816">
            <v>5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A817" t="str">
            <v>453374</v>
          </cell>
          <cell r="B817" t="str">
            <v>1251</v>
          </cell>
          <cell r="C817" t="str">
            <v>12</v>
          </cell>
          <cell r="D817" t="str">
            <v>75</v>
          </cell>
          <cell r="E817">
            <v>6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</row>
        <row r="818">
          <cell r="A818" t="str">
            <v>453374</v>
          </cell>
          <cell r="B818" t="str">
            <v>1251</v>
          </cell>
          <cell r="C818" t="str">
            <v>12</v>
          </cell>
          <cell r="D818" t="str">
            <v>75</v>
          </cell>
          <cell r="E818">
            <v>7</v>
          </cell>
          <cell r="G818">
            <v>1870</v>
          </cell>
          <cell r="H818">
            <v>493</v>
          </cell>
          <cell r="I818">
            <v>0</v>
          </cell>
          <cell r="J818">
            <v>0</v>
          </cell>
          <cell r="K818">
            <v>0</v>
          </cell>
          <cell r="L818">
            <v>1870</v>
          </cell>
          <cell r="M818">
            <v>360</v>
          </cell>
          <cell r="N818">
            <v>0</v>
          </cell>
          <cell r="O818">
            <v>0</v>
          </cell>
          <cell r="P818">
            <v>493</v>
          </cell>
          <cell r="Q818">
            <v>1377</v>
          </cell>
          <cell r="R818">
            <v>1870</v>
          </cell>
          <cell r="S818">
            <v>0</v>
          </cell>
          <cell r="T818">
            <v>853</v>
          </cell>
          <cell r="U818">
            <v>853</v>
          </cell>
          <cell r="V818">
            <v>0</v>
          </cell>
          <cell r="W818">
            <v>0</v>
          </cell>
        </row>
        <row r="819">
          <cell r="A819" t="str">
            <v>453374</v>
          </cell>
          <cell r="B819" t="str">
            <v>1251</v>
          </cell>
          <cell r="C819" t="str">
            <v>12</v>
          </cell>
          <cell r="D819" t="str">
            <v>75</v>
          </cell>
          <cell r="E819">
            <v>8</v>
          </cell>
          <cell r="G819">
            <v>12725</v>
          </cell>
          <cell r="H819">
            <v>2465</v>
          </cell>
          <cell r="I819">
            <v>0</v>
          </cell>
          <cell r="J819">
            <v>0</v>
          </cell>
          <cell r="K819">
            <v>0</v>
          </cell>
          <cell r="L819">
            <v>11209</v>
          </cell>
          <cell r="M819">
            <v>2162</v>
          </cell>
          <cell r="N819">
            <v>0</v>
          </cell>
          <cell r="O819">
            <v>0</v>
          </cell>
          <cell r="P819">
            <v>2465</v>
          </cell>
          <cell r="Q819">
            <v>8744</v>
          </cell>
          <cell r="R819">
            <v>11209</v>
          </cell>
          <cell r="S819">
            <v>0</v>
          </cell>
          <cell r="T819">
            <v>4627</v>
          </cell>
          <cell r="U819">
            <v>3111</v>
          </cell>
          <cell r="V819">
            <v>0</v>
          </cell>
          <cell r="W819">
            <v>0</v>
          </cell>
        </row>
        <row r="820">
          <cell r="A820" t="str">
            <v>453374</v>
          </cell>
          <cell r="B820" t="str">
            <v>1251</v>
          </cell>
          <cell r="C820" t="str">
            <v>12</v>
          </cell>
          <cell r="D820" t="str">
            <v>75</v>
          </cell>
          <cell r="E820">
            <v>9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</row>
        <row r="821">
          <cell r="A821" t="str">
            <v>453374</v>
          </cell>
          <cell r="B821" t="str">
            <v>1251</v>
          </cell>
          <cell r="C821" t="str">
            <v>12</v>
          </cell>
          <cell r="D821" t="str">
            <v>75</v>
          </cell>
          <cell r="E821">
            <v>10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</row>
        <row r="822">
          <cell r="A822" t="str">
            <v>453374</v>
          </cell>
          <cell r="B822" t="str">
            <v>1251</v>
          </cell>
          <cell r="C822" t="str">
            <v>12</v>
          </cell>
          <cell r="D822" t="str">
            <v>75</v>
          </cell>
          <cell r="E822">
            <v>11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A823" t="str">
            <v>453374</v>
          </cell>
          <cell r="B823" t="str">
            <v>1251</v>
          </cell>
          <cell r="C823" t="str">
            <v>12</v>
          </cell>
          <cell r="D823" t="str">
            <v>75</v>
          </cell>
          <cell r="E823">
            <v>12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</row>
        <row r="824">
          <cell r="A824" t="str">
            <v>453374</v>
          </cell>
          <cell r="B824" t="str">
            <v>1251</v>
          </cell>
          <cell r="C824" t="str">
            <v>12</v>
          </cell>
          <cell r="D824" t="str">
            <v>75</v>
          </cell>
          <cell r="E824">
            <v>13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</row>
        <row r="825">
          <cell r="A825" t="str">
            <v>453374</v>
          </cell>
          <cell r="B825" t="str">
            <v>1251</v>
          </cell>
          <cell r="C825" t="str">
            <v>12</v>
          </cell>
          <cell r="D825" t="str">
            <v>75</v>
          </cell>
          <cell r="E825">
            <v>14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</row>
        <row r="826">
          <cell r="A826" t="str">
            <v>453374</v>
          </cell>
          <cell r="B826" t="str">
            <v>1251</v>
          </cell>
          <cell r="C826" t="str">
            <v>12</v>
          </cell>
          <cell r="D826" t="str">
            <v>75</v>
          </cell>
          <cell r="E826">
            <v>15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A827" t="str">
            <v>453374</v>
          </cell>
          <cell r="B827" t="str">
            <v>1251</v>
          </cell>
          <cell r="C827" t="str">
            <v>12</v>
          </cell>
          <cell r="D827" t="str">
            <v>75</v>
          </cell>
          <cell r="E827">
            <v>16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</row>
        <row r="828">
          <cell r="A828" t="str">
            <v>453374</v>
          </cell>
          <cell r="B828" t="str">
            <v>1251</v>
          </cell>
          <cell r="C828" t="str">
            <v>12</v>
          </cell>
          <cell r="D828" t="str">
            <v>75</v>
          </cell>
          <cell r="E828">
            <v>17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A829" t="str">
            <v>453374</v>
          </cell>
          <cell r="B829" t="str">
            <v>1251</v>
          </cell>
          <cell r="C829" t="str">
            <v>12</v>
          </cell>
          <cell r="D829" t="str">
            <v>75</v>
          </cell>
          <cell r="E829">
            <v>18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</row>
        <row r="830">
          <cell r="A830" t="str">
            <v>453374</v>
          </cell>
          <cell r="B830" t="str">
            <v>1251</v>
          </cell>
          <cell r="C830" t="str">
            <v>12</v>
          </cell>
          <cell r="D830" t="str">
            <v>75</v>
          </cell>
          <cell r="E830">
            <v>19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</row>
        <row r="831">
          <cell r="A831" t="str">
            <v>453374</v>
          </cell>
          <cell r="B831" t="str">
            <v>1251</v>
          </cell>
          <cell r="C831" t="str">
            <v>12</v>
          </cell>
          <cell r="D831" t="str">
            <v>75</v>
          </cell>
          <cell r="E831">
            <v>20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</row>
        <row r="832">
          <cell r="A832" t="str">
            <v>453374</v>
          </cell>
          <cell r="B832" t="str">
            <v>1251</v>
          </cell>
          <cell r="C832" t="str">
            <v>12</v>
          </cell>
          <cell r="D832" t="str">
            <v>75</v>
          </cell>
          <cell r="E832">
            <v>21</v>
          </cell>
          <cell r="G832">
            <v>3491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2089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2089</v>
          </cell>
          <cell r="R832">
            <v>2089</v>
          </cell>
          <cell r="S832">
            <v>0</v>
          </cell>
          <cell r="T832">
            <v>0</v>
          </cell>
          <cell r="U832">
            <v>-1402</v>
          </cell>
          <cell r="V832">
            <v>0</v>
          </cell>
          <cell r="W832">
            <v>0</v>
          </cell>
        </row>
        <row r="833">
          <cell r="A833" t="str">
            <v>453374</v>
          </cell>
          <cell r="B833" t="str">
            <v>1251</v>
          </cell>
          <cell r="C833" t="str">
            <v>12</v>
          </cell>
          <cell r="D833" t="str">
            <v>75</v>
          </cell>
          <cell r="E833">
            <v>22</v>
          </cell>
          <cell r="G833">
            <v>3491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2089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2089</v>
          </cell>
          <cell r="R833">
            <v>2089</v>
          </cell>
          <cell r="S833">
            <v>0</v>
          </cell>
          <cell r="T833">
            <v>0</v>
          </cell>
          <cell r="U833">
            <v>-1402</v>
          </cell>
          <cell r="V833">
            <v>0</v>
          </cell>
          <cell r="W833">
            <v>0</v>
          </cell>
        </row>
        <row r="834">
          <cell r="A834" t="str">
            <v>453374</v>
          </cell>
          <cell r="B834" t="str">
            <v>1251</v>
          </cell>
          <cell r="C834" t="str">
            <v>12</v>
          </cell>
          <cell r="D834" t="str">
            <v>75</v>
          </cell>
          <cell r="E834">
            <v>23</v>
          </cell>
          <cell r="G834">
            <v>287214</v>
          </cell>
          <cell r="H834">
            <v>80</v>
          </cell>
          <cell r="I834">
            <v>0</v>
          </cell>
          <cell r="J834">
            <v>0</v>
          </cell>
          <cell r="K834">
            <v>0</v>
          </cell>
          <cell r="L834">
            <v>286781</v>
          </cell>
          <cell r="M834">
            <v>0</v>
          </cell>
          <cell r="N834">
            <v>0</v>
          </cell>
          <cell r="O834">
            <v>0</v>
          </cell>
          <cell r="P834">
            <v>80</v>
          </cell>
          <cell r="Q834">
            <v>286701</v>
          </cell>
          <cell r="R834">
            <v>286781</v>
          </cell>
          <cell r="S834">
            <v>0</v>
          </cell>
          <cell r="T834">
            <v>80</v>
          </cell>
          <cell r="U834">
            <v>-353</v>
          </cell>
          <cell r="V834">
            <v>0</v>
          </cell>
          <cell r="W834">
            <v>0</v>
          </cell>
        </row>
        <row r="835">
          <cell r="A835" t="str">
            <v>453374</v>
          </cell>
          <cell r="B835" t="str">
            <v>1251</v>
          </cell>
          <cell r="C835" t="str">
            <v>12</v>
          </cell>
          <cell r="D835" t="str">
            <v>75</v>
          </cell>
          <cell r="E835">
            <v>24</v>
          </cell>
          <cell r="G835">
            <v>92419</v>
          </cell>
          <cell r="H835">
            <v>0</v>
          </cell>
          <cell r="I835">
            <v>3</v>
          </cell>
          <cell r="J835">
            <v>0</v>
          </cell>
          <cell r="K835">
            <v>0</v>
          </cell>
          <cell r="L835">
            <v>92422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92422</v>
          </cell>
          <cell r="R835">
            <v>92422</v>
          </cell>
          <cell r="S835">
            <v>3</v>
          </cell>
          <cell r="T835">
            <v>0</v>
          </cell>
          <cell r="U835">
            <v>6</v>
          </cell>
          <cell r="V835">
            <v>0</v>
          </cell>
          <cell r="W835">
            <v>0</v>
          </cell>
        </row>
        <row r="836">
          <cell r="A836" t="str">
            <v>453374</v>
          </cell>
          <cell r="B836" t="str">
            <v>1251</v>
          </cell>
          <cell r="C836" t="str">
            <v>12</v>
          </cell>
          <cell r="D836" t="str">
            <v>75</v>
          </cell>
          <cell r="E836">
            <v>25</v>
          </cell>
          <cell r="G836">
            <v>86103</v>
          </cell>
          <cell r="H836">
            <v>3016</v>
          </cell>
          <cell r="I836">
            <v>0</v>
          </cell>
          <cell r="J836">
            <v>0</v>
          </cell>
          <cell r="K836">
            <v>0</v>
          </cell>
          <cell r="L836">
            <v>80331</v>
          </cell>
          <cell r="M836">
            <v>2878</v>
          </cell>
          <cell r="N836">
            <v>0</v>
          </cell>
          <cell r="O836">
            <v>0</v>
          </cell>
          <cell r="P836">
            <v>3016</v>
          </cell>
          <cell r="Q836">
            <v>77315</v>
          </cell>
          <cell r="R836">
            <v>80331</v>
          </cell>
          <cell r="S836">
            <v>0</v>
          </cell>
          <cell r="T836">
            <v>5894</v>
          </cell>
          <cell r="U836">
            <v>122</v>
          </cell>
          <cell r="V836">
            <v>0</v>
          </cell>
          <cell r="W836">
            <v>0</v>
          </cell>
        </row>
        <row r="837">
          <cell r="A837" t="str">
            <v>453374</v>
          </cell>
          <cell r="B837" t="str">
            <v>1251</v>
          </cell>
          <cell r="C837" t="str">
            <v>12</v>
          </cell>
          <cell r="D837" t="str">
            <v>75</v>
          </cell>
          <cell r="E837">
            <v>26</v>
          </cell>
          <cell r="G837">
            <v>465736</v>
          </cell>
          <cell r="H837">
            <v>3096</v>
          </cell>
          <cell r="I837">
            <v>3</v>
          </cell>
          <cell r="J837">
            <v>0</v>
          </cell>
          <cell r="K837">
            <v>0</v>
          </cell>
          <cell r="L837">
            <v>459534</v>
          </cell>
          <cell r="M837">
            <v>2878</v>
          </cell>
          <cell r="N837">
            <v>0</v>
          </cell>
          <cell r="O837">
            <v>0</v>
          </cell>
          <cell r="P837">
            <v>3096</v>
          </cell>
          <cell r="Q837">
            <v>456438</v>
          </cell>
          <cell r="R837">
            <v>459534</v>
          </cell>
          <cell r="S837">
            <v>3</v>
          </cell>
          <cell r="T837">
            <v>5974</v>
          </cell>
          <cell r="U837">
            <v>-225</v>
          </cell>
          <cell r="V837">
            <v>0</v>
          </cell>
          <cell r="W837">
            <v>0</v>
          </cell>
        </row>
        <row r="838">
          <cell r="A838" t="str">
            <v>453374</v>
          </cell>
          <cell r="B838" t="str">
            <v>1251</v>
          </cell>
          <cell r="C838" t="str">
            <v>12</v>
          </cell>
          <cell r="D838" t="str">
            <v>75</v>
          </cell>
          <cell r="E838">
            <v>27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A839" t="str">
            <v>453374</v>
          </cell>
          <cell r="B839" t="str">
            <v>1251</v>
          </cell>
          <cell r="C839" t="str">
            <v>12</v>
          </cell>
          <cell r="D839" t="str">
            <v>75</v>
          </cell>
          <cell r="E839">
            <v>28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</row>
        <row r="840">
          <cell r="A840" t="str">
            <v>453374</v>
          </cell>
          <cell r="B840" t="str">
            <v>1251</v>
          </cell>
          <cell r="C840" t="str">
            <v>12</v>
          </cell>
          <cell r="D840" t="str">
            <v>75</v>
          </cell>
          <cell r="E840">
            <v>29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A841" t="str">
            <v>453374</v>
          </cell>
          <cell r="B841" t="str">
            <v>1251</v>
          </cell>
          <cell r="C841" t="str">
            <v>12</v>
          </cell>
          <cell r="D841" t="str">
            <v>75</v>
          </cell>
          <cell r="E841">
            <v>30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</row>
        <row r="842">
          <cell r="A842" t="str">
            <v>453374</v>
          </cell>
          <cell r="B842" t="str">
            <v>1251</v>
          </cell>
          <cell r="C842" t="str">
            <v>12</v>
          </cell>
          <cell r="D842" t="str">
            <v>75</v>
          </cell>
          <cell r="E842">
            <v>31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</row>
        <row r="843">
          <cell r="A843" t="str">
            <v>453374</v>
          </cell>
          <cell r="B843" t="str">
            <v>1251</v>
          </cell>
          <cell r="C843" t="str">
            <v>12</v>
          </cell>
          <cell r="D843" t="str">
            <v>75</v>
          </cell>
          <cell r="E843">
            <v>32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</row>
        <row r="844">
          <cell r="A844" t="str">
            <v>453374</v>
          </cell>
          <cell r="B844" t="str">
            <v>1251</v>
          </cell>
          <cell r="C844" t="str">
            <v>12</v>
          </cell>
          <cell r="D844" t="str">
            <v>75</v>
          </cell>
          <cell r="E844">
            <v>33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</row>
        <row r="845">
          <cell r="A845" t="str">
            <v>453374</v>
          </cell>
          <cell r="B845" t="str">
            <v>1251</v>
          </cell>
          <cell r="C845" t="str">
            <v>12</v>
          </cell>
          <cell r="D845" t="str">
            <v>75</v>
          </cell>
          <cell r="E845">
            <v>34</v>
          </cell>
          <cell r="G845">
            <v>481952</v>
          </cell>
          <cell r="H845">
            <v>5561</v>
          </cell>
          <cell r="I845">
            <v>3</v>
          </cell>
          <cell r="J845">
            <v>0</v>
          </cell>
          <cell r="K845">
            <v>0</v>
          </cell>
          <cell r="L845">
            <v>472832</v>
          </cell>
          <cell r="M845">
            <v>5040</v>
          </cell>
          <cell r="N845">
            <v>0</v>
          </cell>
          <cell r="O845">
            <v>0</v>
          </cell>
          <cell r="P845">
            <v>5561</v>
          </cell>
          <cell r="Q845">
            <v>467271</v>
          </cell>
          <cell r="R845">
            <v>472832</v>
          </cell>
          <cell r="S845">
            <v>3</v>
          </cell>
          <cell r="T845">
            <v>10601</v>
          </cell>
          <cell r="U845">
            <v>1484</v>
          </cell>
          <cell r="V845">
            <v>0</v>
          </cell>
          <cell r="W845">
            <v>0</v>
          </cell>
        </row>
        <row r="846">
          <cell r="A846" t="str">
            <v>453374</v>
          </cell>
          <cell r="B846" t="str">
            <v>1251</v>
          </cell>
          <cell r="C846" t="str">
            <v>12</v>
          </cell>
          <cell r="D846" t="str">
            <v>80</v>
          </cell>
          <cell r="E846">
            <v>1</v>
          </cell>
          <cell r="G846">
            <v>234918</v>
          </cell>
          <cell r="H846">
            <v>230616</v>
          </cell>
          <cell r="I846">
            <v>229786</v>
          </cell>
          <cell r="J846">
            <v>0</v>
          </cell>
          <cell r="K846">
            <v>39556</v>
          </cell>
          <cell r="L846">
            <v>45837</v>
          </cell>
          <cell r="M846">
            <v>46388</v>
          </cell>
          <cell r="N846">
            <v>0</v>
          </cell>
          <cell r="O846">
            <v>1754</v>
          </cell>
          <cell r="P846">
            <v>10761</v>
          </cell>
          <cell r="Q846">
            <v>10607</v>
          </cell>
          <cell r="R846">
            <v>0</v>
          </cell>
          <cell r="S846">
            <v>276228</v>
          </cell>
          <cell r="T846">
            <v>287214</v>
          </cell>
          <cell r="U846">
            <v>286781</v>
          </cell>
          <cell r="V846">
            <v>0</v>
          </cell>
          <cell r="W846">
            <v>0</v>
          </cell>
        </row>
        <row r="847">
          <cell r="A847" t="str">
            <v>453374</v>
          </cell>
          <cell r="B847" t="str">
            <v>1251</v>
          </cell>
          <cell r="C847" t="str">
            <v>12</v>
          </cell>
          <cell r="D847" t="str">
            <v>80</v>
          </cell>
          <cell r="E847">
            <v>5</v>
          </cell>
          <cell r="G847">
            <v>85436</v>
          </cell>
          <cell r="H847">
            <v>89754</v>
          </cell>
          <cell r="I847">
            <v>89753</v>
          </cell>
          <cell r="J847">
            <v>0</v>
          </cell>
          <cell r="K847">
            <v>2746</v>
          </cell>
          <cell r="L847">
            <v>2665</v>
          </cell>
          <cell r="M847">
            <v>2669</v>
          </cell>
          <cell r="N847">
            <v>0</v>
          </cell>
          <cell r="O847">
            <v>32376</v>
          </cell>
          <cell r="P847">
            <v>74979</v>
          </cell>
          <cell r="Q847">
            <v>68448</v>
          </cell>
          <cell r="R847">
            <v>0</v>
          </cell>
          <cell r="S847">
            <v>4082</v>
          </cell>
          <cell r="T847">
            <v>10566</v>
          </cell>
          <cell r="U847">
            <v>11116</v>
          </cell>
          <cell r="V847">
            <v>0</v>
          </cell>
          <cell r="W847">
            <v>0</v>
          </cell>
        </row>
        <row r="848">
          <cell r="A848" t="str">
            <v>453374</v>
          </cell>
          <cell r="B848" t="str">
            <v>1251</v>
          </cell>
          <cell r="C848" t="str">
            <v>12</v>
          </cell>
          <cell r="D848" t="str">
            <v>80</v>
          </cell>
          <cell r="E848">
            <v>9</v>
          </cell>
          <cell r="G848">
            <v>558</v>
          </cell>
          <cell r="H848">
            <v>558</v>
          </cell>
          <cell r="I848">
            <v>687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</row>
        <row r="849">
          <cell r="A849" t="str">
            <v>453374</v>
          </cell>
          <cell r="B849" t="str">
            <v>1251</v>
          </cell>
          <cell r="C849" t="str">
            <v>12</v>
          </cell>
          <cell r="D849" t="str">
            <v>80</v>
          </cell>
          <cell r="E849">
            <v>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</row>
        <row r="850">
          <cell r="A850" t="str">
            <v>453374</v>
          </cell>
          <cell r="B850" t="str">
            <v>1251</v>
          </cell>
          <cell r="C850" t="str">
            <v>12</v>
          </cell>
          <cell r="D850" t="str">
            <v>80</v>
          </cell>
          <cell r="E850">
            <v>17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A851" t="str">
            <v>453374</v>
          </cell>
          <cell r="B851" t="str">
            <v>1251</v>
          </cell>
          <cell r="C851" t="str">
            <v>12</v>
          </cell>
          <cell r="D851" t="str">
            <v>80</v>
          </cell>
          <cell r="E851">
            <v>21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</row>
        <row r="852">
          <cell r="A852" t="str">
            <v>453374</v>
          </cell>
          <cell r="B852" t="str">
            <v>1251</v>
          </cell>
          <cell r="C852" t="str">
            <v>12</v>
          </cell>
          <cell r="D852" t="str">
            <v>80</v>
          </cell>
          <cell r="E852">
            <v>25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</row>
        <row r="853">
          <cell r="A853" t="str">
            <v>453374</v>
          </cell>
          <cell r="B853" t="str">
            <v>1251</v>
          </cell>
          <cell r="C853" t="str">
            <v>12</v>
          </cell>
          <cell r="D853" t="str">
            <v>80</v>
          </cell>
          <cell r="E853">
            <v>29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</row>
        <row r="854">
          <cell r="A854" t="str">
            <v>453374</v>
          </cell>
          <cell r="B854" t="str">
            <v>1251</v>
          </cell>
          <cell r="C854" t="str">
            <v>12</v>
          </cell>
          <cell r="D854" t="str">
            <v>80</v>
          </cell>
          <cell r="E854">
            <v>33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3491</v>
          </cell>
          <cell r="L854">
            <v>3491</v>
          </cell>
          <cell r="M854">
            <v>2089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3491</v>
          </cell>
          <cell r="T854">
            <v>3491</v>
          </cell>
          <cell r="U854">
            <v>2089</v>
          </cell>
          <cell r="V854">
            <v>0</v>
          </cell>
          <cell r="W854">
            <v>0</v>
          </cell>
        </row>
        <row r="855">
          <cell r="A855" t="str">
            <v>453374</v>
          </cell>
          <cell r="B855" t="str">
            <v>1251</v>
          </cell>
          <cell r="C855" t="str">
            <v>12</v>
          </cell>
          <cell r="D855" t="str">
            <v>80</v>
          </cell>
          <cell r="E855">
            <v>37</v>
          </cell>
          <cell r="G855">
            <v>0</v>
          </cell>
          <cell r="H855">
            <v>0</v>
          </cell>
          <cell r="I855">
            <v>80</v>
          </cell>
          <cell r="J855">
            <v>0</v>
          </cell>
          <cell r="K855">
            <v>404917</v>
          </cell>
          <cell r="L855">
            <v>469227</v>
          </cell>
          <cell r="M855">
            <v>461623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8350</v>
          </cell>
          <cell r="T855">
            <v>10855</v>
          </cell>
          <cell r="U855">
            <v>9339</v>
          </cell>
          <cell r="V855">
            <v>0</v>
          </cell>
          <cell r="W855">
            <v>0</v>
          </cell>
        </row>
        <row r="856">
          <cell r="A856" t="str">
            <v>453374</v>
          </cell>
          <cell r="B856" t="str">
            <v>1251</v>
          </cell>
          <cell r="C856" t="str">
            <v>12</v>
          </cell>
          <cell r="D856" t="str">
            <v>80</v>
          </cell>
          <cell r="E856">
            <v>41</v>
          </cell>
          <cell r="G856">
            <v>1650</v>
          </cell>
          <cell r="H856">
            <v>1870</v>
          </cell>
          <cell r="I856">
            <v>1870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</row>
        <row r="857">
          <cell r="A857" t="str">
            <v>453374</v>
          </cell>
          <cell r="B857" t="str">
            <v>1251</v>
          </cell>
          <cell r="C857" t="str">
            <v>12</v>
          </cell>
          <cell r="D857" t="str">
            <v>80</v>
          </cell>
          <cell r="E857">
            <v>45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A858" t="str">
            <v>453374</v>
          </cell>
          <cell r="B858" t="str">
            <v>1251</v>
          </cell>
          <cell r="C858" t="str">
            <v>12</v>
          </cell>
          <cell r="D858" t="str">
            <v>80</v>
          </cell>
          <cell r="E858">
            <v>49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A859" t="str">
            <v>453374</v>
          </cell>
          <cell r="B859" t="str">
            <v>1251</v>
          </cell>
          <cell r="C859" t="str">
            <v>12</v>
          </cell>
          <cell r="D859" t="str">
            <v>80</v>
          </cell>
          <cell r="E859">
            <v>53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</row>
        <row r="860">
          <cell r="A860" t="str">
            <v>453374</v>
          </cell>
          <cell r="B860" t="str">
            <v>1251</v>
          </cell>
          <cell r="C860" t="str">
            <v>12</v>
          </cell>
          <cell r="D860" t="str">
            <v>80</v>
          </cell>
          <cell r="E860">
            <v>57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</row>
        <row r="861">
          <cell r="A861" t="str">
            <v>453374</v>
          </cell>
          <cell r="B861" t="str">
            <v>1251</v>
          </cell>
          <cell r="C861" t="str">
            <v>12</v>
          </cell>
          <cell r="D861" t="str">
            <v>80</v>
          </cell>
          <cell r="E861">
            <v>61</v>
          </cell>
          <cell r="G861">
            <v>10000</v>
          </cell>
          <cell r="H861">
            <v>12725</v>
          </cell>
          <cell r="I861">
            <v>11209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</row>
        <row r="862">
          <cell r="A862" t="str">
            <v>453374</v>
          </cell>
          <cell r="B862" t="str">
            <v>1251</v>
          </cell>
          <cell r="C862" t="str">
            <v>12</v>
          </cell>
          <cell r="D862" t="str">
            <v>80</v>
          </cell>
          <cell r="E862">
            <v>65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414917</v>
          </cell>
          <cell r="P862">
            <v>481952</v>
          </cell>
          <cell r="Q862">
            <v>472832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</row>
        <row r="863">
          <cell r="A863" t="str">
            <v>453374</v>
          </cell>
          <cell r="B863" t="str">
            <v>1251</v>
          </cell>
          <cell r="C863" t="str">
            <v>12</v>
          </cell>
          <cell r="D863" t="str">
            <v>80</v>
          </cell>
          <cell r="E863">
            <v>69</v>
          </cell>
          <cell r="G863">
            <v>15392</v>
          </cell>
          <cell r="H863">
            <v>43322</v>
          </cell>
          <cell r="I863">
            <v>42066</v>
          </cell>
          <cell r="J863">
            <v>0</v>
          </cell>
          <cell r="K863">
            <v>2379</v>
          </cell>
          <cell r="L863">
            <v>9096</v>
          </cell>
          <cell r="M863">
            <v>7492</v>
          </cell>
          <cell r="N863">
            <v>0</v>
          </cell>
          <cell r="O863">
            <v>0</v>
          </cell>
          <cell r="P863">
            <v>0</v>
          </cell>
          <cell r="Q863">
            <v>1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</row>
        <row r="864">
          <cell r="A864" t="str">
            <v>453374</v>
          </cell>
          <cell r="B864" t="str">
            <v>1251</v>
          </cell>
          <cell r="C864" t="str">
            <v>12</v>
          </cell>
          <cell r="D864" t="str">
            <v>80</v>
          </cell>
          <cell r="E864">
            <v>73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A865" t="str">
            <v>453374</v>
          </cell>
          <cell r="B865" t="str">
            <v>1251</v>
          </cell>
          <cell r="C865" t="str">
            <v>12</v>
          </cell>
          <cell r="D865" t="str">
            <v>80</v>
          </cell>
          <cell r="E865">
            <v>77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</row>
        <row r="866">
          <cell r="A866" t="str">
            <v>453374</v>
          </cell>
          <cell r="B866" t="str">
            <v>1251</v>
          </cell>
          <cell r="C866" t="str">
            <v>12</v>
          </cell>
          <cell r="D866" t="str">
            <v>80</v>
          </cell>
          <cell r="E866">
            <v>81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A867" t="str">
            <v>453374</v>
          </cell>
          <cell r="B867" t="str">
            <v>1251</v>
          </cell>
          <cell r="C867" t="str">
            <v>12</v>
          </cell>
          <cell r="D867" t="str">
            <v>80</v>
          </cell>
          <cell r="E867">
            <v>85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</row>
        <row r="868">
          <cell r="A868" t="str">
            <v>453374</v>
          </cell>
          <cell r="B868" t="str">
            <v>1251</v>
          </cell>
          <cell r="C868" t="str">
            <v>12</v>
          </cell>
          <cell r="D868" t="str">
            <v>80</v>
          </cell>
          <cell r="E868">
            <v>89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2417</v>
          </cell>
          <cell r="Q868">
            <v>13531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</row>
        <row r="869">
          <cell r="A869" t="str">
            <v>453374</v>
          </cell>
          <cell r="B869" t="str">
            <v>1251</v>
          </cell>
          <cell r="C869" t="str">
            <v>12</v>
          </cell>
          <cell r="D869" t="str">
            <v>80</v>
          </cell>
          <cell r="E869">
            <v>93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A870" t="str">
            <v>453374</v>
          </cell>
          <cell r="B870" t="str">
            <v>1251</v>
          </cell>
          <cell r="C870" t="str">
            <v>12</v>
          </cell>
          <cell r="D870" t="str">
            <v>80</v>
          </cell>
          <cell r="E870">
            <v>97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2417</v>
          </cell>
          <cell r="M870">
            <v>13531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</row>
        <row r="871">
          <cell r="A871" t="str">
            <v>453374</v>
          </cell>
          <cell r="B871" t="str">
            <v>1251</v>
          </cell>
          <cell r="C871" t="str">
            <v>12</v>
          </cell>
          <cell r="D871" t="str">
            <v>80</v>
          </cell>
          <cell r="E871">
            <v>101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</row>
        <row r="872">
          <cell r="A872" t="str">
            <v>453374</v>
          </cell>
          <cell r="B872" t="str">
            <v>1251</v>
          </cell>
          <cell r="C872" t="str">
            <v>12</v>
          </cell>
          <cell r="D872" t="str">
            <v>80</v>
          </cell>
          <cell r="E872">
            <v>105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</row>
        <row r="873">
          <cell r="A873" t="str">
            <v>453374</v>
          </cell>
          <cell r="B873" t="str">
            <v>1251</v>
          </cell>
          <cell r="C873" t="str">
            <v>12</v>
          </cell>
          <cell r="D873" t="str">
            <v>80</v>
          </cell>
          <cell r="E873">
            <v>109</v>
          </cell>
          <cell r="G873">
            <v>10000</v>
          </cell>
          <cell r="H873">
            <v>10000</v>
          </cell>
          <cell r="I873">
            <v>15312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</row>
        <row r="874">
          <cell r="A874" t="str">
            <v>453374</v>
          </cell>
          <cell r="B874" t="str">
            <v>1251</v>
          </cell>
          <cell r="C874" t="str">
            <v>12</v>
          </cell>
          <cell r="D874" t="str">
            <v>80</v>
          </cell>
          <cell r="E874">
            <v>113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10000</v>
          </cell>
          <cell r="P874">
            <v>10000</v>
          </cell>
          <cell r="Q874">
            <v>15312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</row>
        <row r="875">
          <cell r="A875" t="str">
            <v>453374</v>
          </cell>
          <cell r="B875" t="str">
            <v>1251</v>
          </cell>
          <cell r="C875" t="str">
            <v>12</v>
          </cell>
          <cell r="D875" t="str">
            <v>80</v>
          </cell>
          <cell r="E875">
            <v>117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</row>
        <row r="876">
          <cell r="A876" t="str">
            <v>453374</v>
          </cell>
          <cell r="B876" t="str">
            <v>1251</v>
          </cell>
          <cell r="C876" t="str">
            <v>12</v>
          </cell>
          <cell r="D876" t="str">
            <v>80</v>
          </cell>
          <cell r="E876">
            <v>121</v>
          </cell>
          <cell r="G876">
            <v>27771</v>
          </cell>
          <cell r="H876">
            <v>64835</v>
          </cell>
          <cell r="I876">
            <v>78402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387146</v>
          </cell>
          <cell r="P876">
            <v>410301</v>
          </cell>
          <cell r="Q876">
            <v>410304</v>
          </cell>
          <cell r="R876">
            <v>0</v>
          </cell>
          <cell r="S876">
            <v>0</v>
          </cell>
          <cell r="T876">
            <v>6816</v>
          </cell>
          <cell r="U876">
            <v>-15874</v>
          </cell>
          <cell r="V876">
            <v>0</v>
          </cell>
          <cell r="W876">
            <v>0</v>
          </cell>
        </row>
        <row r="877">
          <cell r="A877" t="str">
            <v>453374</v>
          </cell>
          <cell r="B877" t="str">
            <v>1251</v>
          </cell>
          <cell r="C877" t="str">
            <v>12</v>
          </cell>
          <cell r="D877" t="str">
            <v>80</v>
          </cell>
          <cell r="E877">
            <v>125</v>
          </cell>
          <cell r="G877">
            <v>0</v>
          </cell>
          <cell r="H877">
            <v>6816</v>
          </cell>
          <cell r="I877">
            <v>6816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</row>
        <row r="878">
          <cell r="A878" t="str">
            <v>453374</v>
          </cell>
          <cell r="B878" t="str">
            <v>1251</v>
          </cell>
          <cell r="C878" t="str">
            <v>12</v>
          </cell>
          <cell r="D878" t="str">
            <v>80</v>
          </cell>
          <cell r="E878">
            <v>129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</row>
        <row r="879">
          <cell r="A879" t="str">
            <v>453374</v>
          </cell>
          <cell r="B879" t="str">
            <v>1251</v>
          </cell>
          <cell r="C879" t="str">
            <v>12</v>
          </cell>
          <cell r="D879" t="str">
            <v>80</v>
          </cell>
          <cell r="E879">
            <v>133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-6368</v>
          </cell>
          <cell r="R879">
            <v>0</v>
          </cell>
          <cell r="S879">
            <v>0</v>
          </cell>
          <cell r="T879">
            <v>0</v>
          </cell>
          <cell r="U879">
            <v>-6368</v>
          </cell>
          <cell r="V879">
            <v>0</v>
          </cell>
          <cell r="W879">
            <v>0</v>
          </cell>
        </row>
        <row r="880">
          <cell r="A880" t="str">
            <v>453374</v>
          </cell>
          <cell r="B880" t="str">
            <v>1251</v>
          </cell>
          <cell r="C880" t="str">
            <v>12</v>
          </cell>
          <cell r="D880" t="str">
            <v>80</v>
          </cell>
          <cell r="E880">
            <v>137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</row>
        <row r="881">
          <cell r="A881" t="str">
            <v>453374</v>
          </cell>
          <cell r="B881" t="str">
            <v>1251</v>
          </cell>
          <cell r="C881" t="str">
            <v>12</v>
          </cell>
          <cell r="D881" t="str">
            <v>80</v>
          </cell>
          <cell r="E881">
            <v>141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</row>
        <row r="882">
          <cell r="A882" t="str">
            <v>453374</v>
          </cell>
          <cell r="B882" t="str">
            <v>1251</v>
          </cell>
          <cell r="C882" t="str">
            <v>12</v>
          </cell>
          <cell r="D882" t="str">
            <v>80</v>
          </cell>
          <cell r="E882">
            <v>145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6816</v>
          </cell>
          <cell r="U882">
            <v>13184</v>
          </cell>
          <cell r="V882">
            <v>0</v>
          </cell>
          <cell r="W882">
            <v>0</v>
          </cell>
        </row>
        <row r="883">
          <cell r="A883" t="str">
            <v>453374</v>
          </cell>
          <cell r="B883" t="str">
            <v>1251</v>
          </cell>
          <cell r="C883" t="str">
            <v>12</v>
          </cell>
          <cell r="D883" t="str">
            <v>80</v>
          </cell>
          <cell r="E883">
            <v>149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</row>
        <row r="884">
          <cell r="A884" t="str">
            <v>453374</v>
          </cell>
          <cell r="B884" t="str">
            <v>1251</v>
          </cell>
          <cell r="C884" t="str">
            <v>12</v>
          </cell>
          <cell r="D884" t="str">
            <v>80</v>
          </cell>
          <cell r="E884">
            <v>153</v>
          </cell>
          <cell r="G884">
            <v>0</v>
          </cell>
          <cell r="H884">
            <v>0</v>
          </cell>
          <cell r="I884">
            <v>22242</v>
          </cell>
          <cell r="J884">
            <v>0</v>
          </cell>
          <cell r="K884">
            <v>0</v>
          </cell>
          <cell r="L884">
            <v>0</v>
          </cell>
          <cell r="M884">
            <v>18</v>
          </cell>
          <cell r="N884">
            <v>0</v>
          </cell>
          <cell r="O884">
            <v>0</v>
          </cell>
          <cell r="P884">
            <v>0</v>
          </cell>
          <cell r="Q884">
            <v>22260</v>
          </cell>
          <cell r="R884">
            <v>0</v>
          </cell>
          <cell r="S884">
            <v>140</v>
          </cell>
          <cell r="T884">
            <v>140</v>
          </cell>
          <cell r="U884">
            <v>137</v>
          </cell>
          <cell r="V884">
            <v>0</v>
          </cell>
          <cell r="W884">
            <v>0</v>
          </cell>
        </row>
        <row r="885">
          <cell r="A885" t="str">
            <v>453374</v>
          </cell>
          <cell r="B885" t="str">
            <v>1251</v>
          </cell>
          <cell r="C885" t="str">
            <v>12</v>
          </cell>
          <cell r="D885" t="str">
            <v>80</v>
          </cell>
          <cell r="E885">
            <v>157</v>
          </cell>
          <cell r="G885">
            <v>0</v>
          </cell>
          <cell r="H885">
            <v>0</v>
          </cell>
          <cell r="I885">
            <v>137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</row>
        <row r="886">
          <cell r="A886" t="str">
            <v>450362</v>
          </cell>
          <cell r="B886" t="str">
            <v>1251</v>
          </cell>
          <cell r="C886" t="str">
            <v>12</v>
          </cell>
          <cell r="D886" t="str">
            <v>01</v>
          </cell>
          <cell r="E886">
            <v>1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196</v>
          </cell>
          <cell r="N886">
            <v>96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196</v>
          </cell>
          <cell r="T886">
            <v>96</v>
          </cell>
          <cell r="U886">
            <v>0</v>
          </cell>
          <cell r="V886">
            <v>0</v>
          </cell>
          <cell r="W886">
            <v>0</v>
          </cell>
        </row>
        <row r="887">
          <cell r="A887" t="str">
            <v>450362</v>
          </cell>
          <cell r="B887" t="str">
            <v>1251</v>
          </cell>
          <cell r="C887" t="str">
            <v>12</v>
          </cell>
          <cell r="D887" t="str">
            <v>01</v>
          </cell>
          <cell r="E887">
            <v>8</v>
          </cell>
          <cell r="G887">
            <v>101381</v>
          </cell>
          <cell r="H887">
            <v>100228</v>
          </cell>
          <cell r="I887">
            <v>1291</v>
          </cell>
          <cell r="J887">
            <v>795</v>
          </cell>
          <cell r="K887">
            <v>4209</v>
          </cell>
          <cell r="L887">
            <v>2791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</row>
        <row r="888">
          <cell r="A888" t="str">
            <v>450362</v>
          </cell>
          <cell r="B888" t="str">
            <v>1251</v>
          </cell>
          <cell r="C888" t="str">
            <v>12</v>
          </cell>
          <cell r="D888" t="str">
            <v>01</v>
          </cell>
          <cell r="E888">
            <v>15</v>
          </cell>
          <cell r="G888">
            <v>0</v>
          </cell>
          <cell r="H888">
            <v>0</v>
          </cell>
          <cell r="I888">
            <v>106881</v>
          </cell>
          <cell r="J888">
            <v>103814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</row>
        <row r="889">
          <cell r="A889" t="str">
            <v>450362</v>
          </cell>
          <cell r="B889" t="str">
            <v>1251</v>
          </cell>
          <cell r="C889" t="str">
            <v>12</v>
          </cell>
          <cell r="D889" t="str">
            <v>01</v>
          </cell>
          <cell r="E889">
            <v>22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</row>
        <row r="890">
          <cell r="A890" t="str">
            <v>450362</v>
          </cell>
          <cell r="B890" t="str">
            <v>1251</v>
          </cell>
          <cell r="C890" t="str">
            <v>12</v>
          </cell>
          <cell r="D890" t="str">
            <v>01</v>
          </cell>
          <cell r="E890">
            <v>29</v>
          </cell>
          <cell r="G890">
            <v>0</v>
          </cell>
          <cell r="H890">
            <v>0</v>
          </cell>
          <cell r="I890">
            <v>107077</v>
          </cell>
          <cell r="J890">
            <v>103910</v>
          </cell>
          <cell r="K890">
            <v>4783</v>
          </cell>
          <cell r="L890">
            <v>4943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</row>
        <row r="891">
          <cell r="A891" t="str">
            <v>450362</v>
          </cell>
          <cell r="B891" t="str">
            <v>1251</v>
          </cell>
          <cell r="C891" t="str">
            <v>12</v>
          </cell>
          <cell r="D891" t="str">
            <v>01</v>
          </cell>
          <cell r="E891">
            <v>36</v>
          </cell>
          <cell r="G891">
            <v>0</v>
          </cell>
          <cell r="H891">
            <v>0</v>
          </cell>
          <cell r="I891">
            <v>4783</v>
          </cell>
          <cell r="J891">
            <v>4943</v>
          </cell>
          <cell r="K891">
            <v>760</v>
          </cell>
          <cell r="L891">
            <v>937</v>
          </cell>
          <cell r="M891">
            <v>1458</v>
          </cell>
          <cell r="N891">
            <v>2343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</row>
        <row r="892">
          <cell r="A892" t="str">
            <v>450362</v>
          </cell>
          <cell r="B892" t="str">
            <v>1251</v>
          </cell>
          <cell r="C892" t="str">
            <v>12</v>
          </cell>
          <cell r="D892" t="str">
            <v>01</v>
          </cell>
          <cell r="E892">
            <v>43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2218</v>
          </cell>
          <cell r="P892">
            <v>3280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A893" t="str">
            <v>450362</v>
          </cell>
          <cell r="B893" t="str">
            <v>1251</v>
          </cell>
          <cell r="C893" t="str">
            <v>12</v>
          </cell>
          <cell r="D893" t="str">
            <v>01</v>
          </cell>
          <cell r="E893">
            <v>50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6317</v>
          </cell>
          <cell r="M893">
            <v>0</v>
          </cell>
          <cell r="N893">
            <v>0</v>
          </cell>
          <cell r="O893">
            <v>18550</v>
          </cell>
          <cell r="P893">
            <v>15770</v>
          </cell>
          <cell r="Q893">
            <v>18550</v>
          </cell>
          <cell r="R893">
            <v>22087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</row>
        <row r="894">
          <cell r="A894" t="str">
            <v>450362</v>
          </cell>
          <cell r="B894" t="str">
            <v>1251</v>
          </cell>
          <cell r="C894" t="str">
            <v>12</v>
          </cell>
          <cell r="D894" t="str">
            <v>01</v>
          </cell>
          <cell r="E894">
            <v>57</v>
          </cell>
          <cell r="G894">
            <v>41</v>
          </cell>
          <cell r="H894">
            <v>0</v>
          </cell>
          <cell r="I894">
            <v>3842</v>
          </cell>
          <cell r="J894">
            <v>0</v>
          </cell>
          <cell r="K894">
            <v>0</v>
          </cell>
          <cell r="L894">
            <v>0</v>
          </cell>
          <cell r="M894">
            <v>3883</v>
          </cell>
          <cell r="N894">
            <v>0</v>
          </cell>
          <cell r="O894">
            <v>29434</v>
          </cell>
          <cell r="P894">
            <v>30310</v>
          </cell>
          <cell r="Q894">
            <v>136511</v>
          </cell>
          <cell r="R894">
            <v>134220</v>
          </cell>
          <cell r="S894">
            <v>31689</v>
          </cell>
          <cell r="T894">
            <v>31689</v>
          </cell>
          <cell r="U894">
            <v>0</v>
          </cell>
          <cell r="V894">
            <v>0</v>
          </cell>
          <cell r="W894">
            <v>0</v>
          </cell>
        </row>
        <row r="895">
          <cell r="A895" t="str">
            <v>450362</v>
          </cell>
          <cell r="B895" t="str">
            <v>1251</v>
          </cell>
          <cell r="C895" t="str">
            <v>12</v>
          </cell>
          <cell r="D895" t="str">
            <v>01</v>
          </cell>
          <cell r="E895">
            <v>64</v>
          </cell>
          <cell r="G895">
            <v>73522</v>
          </cell>
          <cell r="H895">
            <v>64564</v>
          </cell>
          <cell r="I895">
            <v>0</v>
          </cell>
          <cell r="J895">
            <v>0</v>
          </cell>
          <cell r="K895">
            <v>105211</v>
          </cell>
          <cell r="L895">
            <v>96253</v>
          </cell>
          <cell r="M895">
            <v>3883</v>
          </cell>
          <cell r="N895">
            <v>6317</v>
          </cell>
          <cell r="O895">
            <v>3883</v>
          </cell>
          <cell r="P895">
            <v>6317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</row>
        <row r="896">
          <cell r="A896" t="str">
            <v>450362</v>
          </cell>
          <cell r="B896" t="str">
            <v>1251</v>
          </cell>
          <cell r="C896" t="str">
            <v>12</v>
          </cell>
          <cell r="D896" t="str">
            <v>01</v>
          </cell>
          <cell r="E896">
            <v>71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3883</v>
          </cell>
          <cell r="N896">
            <v>6317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A897" t="str">
            <v>450362</v>
          </cell>
          <cell r="B897" t="str">
            <v>1251</v>
          </cell>
          <cell r="C897" t="str">
            <v>12</v>
          </cell>
          <cell r="D897" t="str">
            <v>01</v>
          </cell>
          <cell r="E897">
            <v>78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3883</v>
          </cell>
          <cell r="P897">
            <v>6317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</row>
        <row r="898">
          <cell r="A898" t="str">
            <v>450362</v>
          </cell>
          <cell r="B898" t="str">
            <v>1251</v>
          </cell>
          <cell r="C898" t="str">
            <v>12</v>
          </cell>
          <cell r="D898" t="str">
            <v>01</v>
          </cell>
          <cell r="E898">
            <v>85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2352</v>
          </cell>
          <cell r="N898">
            <v>2010</v>
          </cell>
          <cell r="O898">
            <v>2352</v>
          </cell>
          <cell r="P898">
            <v>2010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A899" t="str">
            <v>450362</v>
          </cell>
          <cell r="B899" t="str">
            <v>1251</v>
          </cell>
          <cell r="C899" t="str">
            <v>12</v>
          </cell>
          <cell r="D899" t="str">
            <v>01</v>
          </cell>
          <cell r="E899">
            <v>92</v>
          </cell>
          <cell r="G899">
            <v>6123</v>
          </cell>
          <cell r="H899">
            <v>13163</v>
          </cell>
          <cell r="I899">
            <v>0</v>
          </cell>
          <cell r="J899">
            <v>6</v>
          </cell>
          <cell r="K899">
            <v>6123</v>
          </cell>
          <cell r="L899">
            <v>13157</v>
          </cell>
          <cell r="M899">
            <v>391</v>
          </cell>
          <cell r="N899">
            <v>706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</row>
        <row r="900">
          <cell r="A900" t="str">
            <v>450362</v>
          </cell>
          <cell r="B900" t="str">
            <v>1251</v>
          </cell>
          <cell r="C900" t="str">
            <v>12</v>
          </cell>
          <cell r="D900" t="str">
            <v>01</v>
          </cell>
          <cell r="E900">
            <v>99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</row>
        <row r="901">
          <cell r="A901" t="str">
            <v>450362</v>
          </cell>
          <cell r="B901" t="str">
            <v>1251</v>
          </cell>
          <cell r="C901" t="str">
            <v>12</v>
          </cell>
          <cell r="D901" t="str">
            <v>01</v>
          </cell>
          <cell r="E901">
            <v>106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297</v>
          </cell>
          <cell r="N901">
            <v>333</v>
          </cell>
          <cell r="O901">
            <v>0</v>
          </cell>
          <cell r="P901">
            <v>0</v>
          </cell>
          <cell r="Q901">
            <v>94</v>
          </cell>
          <cell r="R901">
            <v>373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A902" t="str">
            <v>450362</v>
          </cell>
          <cell r="B902" t="str">
            <v>1251</v>
          </cell>
          <cell r="C902" t="str">
            <v>12</v>
          </cell>
          <cell r="D902" t="str">
            <v>01</v>
          </cell>
          <cell r="E902">
            <v>113</v>
          </cell>
          <cell r="G902">
            <v>6514</v>
          </cell>
          <cell r="H902">
            <v>13869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18551</v>
          </cell>
          <cell r="P902">
            <v>15771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</row>
        <row r="903">
          <cell r="A903" t="str">
            <v>450362</v>
          </cell>
          <cell r="B903" t="str">
            <v>1251</v>
          </cell>
          <cell r="C903" t="str">
            <v>12</v>
          </cell>
          <cell r="D903" t="str">
            <v>01</v>
          </cell>
          <cell r="E903">
            <v>120</v>
          </cell>
          <cell r="G903">
            <v>18551</v>
          </cell>
          <cell r="H903">
            <v>15771</v>
          </cell>
          <cell r="I903">
            <v>27417</v>
          </cell>
          <cell r="J903">
            <v>31650</v>
          </cell>
          <cell r="K903">
            <v>136511</v>
          </cell>
          <cell r="L903">
            <v>134220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</row>
        <row r="904">
          <cell r="A904" t="str">
            <v>450362</v>
          </cell>
          <cell r="B904" t="str">
            <v>1251</v>
          </cell>
          <cell r="C904" t="str">
            <v>12</v>
          </cell>
          <cell r="D904" t="str">
            <v>02</v>
          </cell>
          <cell r="E904">
            <v>1</v>
          </cell>
          <cell r="G904">
            <v>129583</v>
          </cell>
          <cell r="H904">
            <v>129283</v>
          </cell>
          <cell r="I904">
            <v>119567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2870</v>
          </cell>
          <cell r="Q904">
            <v>2870</v>
          </cell>
          <cell r="R904">
            <v>2870</v>
          </cell>
          <cell r="S904">
            <v>20058</v>
          </cell>
          <cell r="T904">
            <v>20058</v>
          </cell>
          <cell r="U904">
            <v>17098</v>
          </cell>
          <cell r="V904">
            <v>0</v>
          </cell>
          <cell r="W904">
            <v>0</v>
          </cell>
        </row>
        <row r="905">
          <cell r="A905" t="str">
            <v>450362</v>
          </cell>
          <cell r="B905" t="str">
            <v>1251</v>
          </cell>
          <cell r="C905" t="str">
            <v>12</v>
          </cell>
          <cell r="D905" t="str">
            <v>02</v>
          </cell>
          <cell r="E905">
            <v>6</v>
          </cell>
          <cell r="G905">
            <v>0</v>
          </cell>
          <cell r="H905">
            <v>0</v>
          </cell>
          <cell r="I905">
            <v>0</v>
          </cell>
          <cell r="J905">
            <v>152511</v>
          </cell>
          <cell r="K905">
            <v>152211</v>
          </cell>
          <cell r="L905">
            <v>139535</v>
          </cell>
          <cell r="M905">
            <v>621</v>
          </cell>
          <cell r="N905">
            <v>621</v>
          </cell>
          <cell r="O905">
            <v>639</v>
          </cell>
          <cell r="P905">
            <v>153132</v>
          </cell>
          <cell r="Q905">
            <v>152832</v>
          </cell>
          <cell r="R905">
            <v>140174</v>
          </cell>
          <cell r="S905">
            <v>3003</v>
          </cell>
          <cell r="T905">
            <v>3003</v>
          </cell>
          <cell r="U905">
            <v>835</v>
          </cell>
          <cell r="V905">
            <v>0</v>
          </cell>
          <cell r="W905">
            <v>0</v>
          </cell>
        </row>
        <row r="906">
          <cell r="A906" t="str">
            <v>450362</v>
          </cell>
          <cell r="B906" t="str">
            <v>1251</v>
          </cell>
          <cell r="C906" t="str">
            <v>12</v>
          </cell>
          <cell r="D906" t="str">
            <v>02</v>
          </cell>
          <cell r="E906">
            <v>11</v>
          </cell>
          <cell r="G906">
            <v>0</v>
          </cell>
          <cell r="H906">
            <v>0</v>
          </cell>
          <cell r="I906">
            <v>3540</v>
          </cell>
          <cell r="J906">
            <v>4224</v>
          </cell>
          <cell r="K906">
            <v>4224</v>
          </cell>
          <cell r="L906">
            <v>4171</v>
          </cell>
          <cell r="M906">
            <v>4181</v>
          </cell>
          <cell r="N906">
            <v>4181</v>
          </cell>
          <cell r="O906">
            <v>3481</v>
          </cell>
          <cell r="P906">
            <v>11408</v>
          </cell>
          <cell r="Q906">
            <v>11408</v>
          </cell>
          <cell r="R906">
            <v>12027</v>
          </cell>
          <cell r="S906">
            <v>0</v>
          </cell>
          <cell r="T906">
            <v>0</v>
          </cell>
          <cell r="U906">
            <v>23</v>
          </cell>
          <cell r="V906">
            <v>0</v>
          </cell>
          <cell r="W906">
            <v>0</v>
          </cell>
        </row>
        <row r="907">
          <cell r="A907" t="str">
            <v>450362</v>
          </cell>
          <cell r="B907" t="str">
            <v>1251</v>
          </cell>
          <cell r="C907" t="str">
            <v>12</v>
          </cell>
          <cell r="D907" t="str">
            <v>02</v>
          </cell>
          <cell r="E907">
            <v>16</v>
          </cell>
          <cell r="G907">
            <v>11408</v>
          </cell>
          <cell r="H907">
            <v>11408</v>
          </cell>
          <cell r="I907">
            <v>12050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826</v>
          </cell>
          <cell r="Q907">
            <v>826</v>
          </cell>
          <cell r="R907">
            <v>826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</row>
        <row r="908">
          <cell r="A908" t="str">
            <v>450362</v>
          </cell>
          <cell r="B908" t="str">
            <v>1251</v>
          </cell>
          <cell r="C908" t="str">
            <v>12</v>
          </cell>
          <cell r="D908" t="str">
            <v>02</v>
          </cell>
          <cell r="E908">
            <v>21</v>
          </cell>
          <cell r="G908">
            <v>0</v>
          </cell>
          <cell r="H908">
            <v>0</v>
          </cell>
          <cell r="I908">
            <v>0</v>
          </cell>
          <cell r="J908">
            <v>2557</v>
          </cell>
          <cell r="K908">
            <v>2557</v>
          </cell>
          <cell r="L908">
            <v>2523</v>
          </cell>
          <cell r="M908">
            <v>3383</v>
          </cell>
          <cell r="N908">
            <v>3383</v>
          </cell>
          <cell r="O908">
            <v>3349</v>
          </cell>
          <cell r="P908">
            <v>0</v>
          </cell>
          <cell r="Q908">
            <v>0</v>
          </cell>
          <cell r="R908">
            <v>0</v>
          </cell>
          <cell r="S908">
            <v>3383</v>
          </cell>
          <cell r="T908">
            <v>3383</v>
          </cell>
          <cell r="U908">
            <v>3349</v>
          </cell>
          <cell r="V908">
            <v>0</v>
          </cell>
          <cell r="W908">
            <v>0</v>
          </cell>
        </row>
        <row r="909">
          <cell r="A909" t="str">
            <v>450362</v>
          </cell>
          <cell r="B909" t="str">
            <v>1251</v>
          </cell>
          <cell r="C909" t="str">
            <v>12</v>
          </cell>
          <cell r="D909" t="str">
            <v>02</v>
          </cell>
          <cell r="E909">
            <v>26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761</v>
          </cell>
          <cell r="M909">
            <v>4510</v>
          </cell>
          <cell r="N909">
            <v>4510</v>
          </cell>
          <cell r="O909">
            <v>4620</v>
          </cell>
          <cell r="P909">
            <v>4340</v>
          </cell>
          <cell r="Q909">
            <v>4340</v>
          </cell>
          <cell r="R909">
            <v>3722</v>
          </cell>
          <cell r="S909">
            <v>226</v>
          </cell>
          <cell r="T909">
            <v>226</v>
          </cell>
          <cell r="U909">
            <v>2222</v>
          </cell>
          <cell r="V909">
            <v>0</v>
          </cell>
          <cell r="W909">
            <v>0</v>
          </cell>
        </row>
        <row r="910">
          <cell r="A910" t="str">
            <v>450362</v>
          </cell>
          <cell r="B910" t="str">
            <v>1251</v>
          </cell>
          <cell r="C910" t="str">
            <v>12</v>
          </cell>
          <cell r="D910" t="str">
            <v>02</v>
          </cell>
          <cell r="E910">
            <v>31</v>
          </cell>
          <cell r="G910">
            <v>9076</v>
          </cell>
          <cell r="H910">
            <v>9076</v>
          </cell>
          <cell r="I910">
            <v>11325</v>
          </cell>
          <cell r="J910">
            <v>0</v>
          </cell>
          <cell r="K910">
            <v>0</v>
          </cell>
          <cell r="L910">
            <v>0</v>
          </cell>
          <cell r="M910">
            <v>9076</v>
          </cell>
          <cell r="N910">
            <v>9076</v>
          </cell>
          <cell r="O910">
            <v>11325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</row>
        <row r="911">
          <cell r="A911" t="str">
            <v>450362</v>
          </cell>
          <cell r="B911" t="str">
            <v>1251</v>
          </cell>
          <cell r="C911" t="str">
            <v>12</v>
          </cell>
          <cell r="D911" t="str">
            <v>02</v>
          </cell>
          <cell r="E911">
            <v>36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23867</v>
          </cell>
          <cell r="T911">
            <v>23867</v>
          </cell>
          <cell r="U911">
            <v>26701</v>
          </cell>
          <cell r="V911">
            <v>0</v>
          </cell>
          <cell r="W911">
            <v>0</v>
          </cell>
        </row>
        <row r="912">
          <cell r="A912" t="str">
            <v>450362</v>
          </cell>
          <cell r="B912" t="str">
            <v>1251</v>
          </cell>
          <cell r="C912" t="str">
            <v>12</v>
          </cell>
          <cell r="D912" t="str">
            <v>02</v>
          </cell>
          <cell r="E912">
            <v>41</v>
          </cell>
          <cell r="G912">
            <v>0</v>
          </cell>
          <cell r="H912">
            <v>0</v>
          </cell>
          <cell r="I912">
            <v>23</v>
          </cell>
          <cell r="J912">
            <v>23867</v>
          </cell>
          <cell r="K912">
            <v>23867</v>
          </cell>
          <cell r="L912">
            <v>26724</v>
          </cell>
          <cell r="M912">
            <v>912</v>
          </cell>
          <cell r="N912">
            <v>1212</v>
          </cell>
          <cell r="O912">
            <v>1211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</row>
        <row r="913">
          <cell r="A913" t="str">
            <v>450362</v>
          </cell>
          <cell r="B913" t="str">
            <v>1251</v>
          </cell>
          <cell r="C913" t="str">
            <v>12</v>
          </cell>
          <cell r="D913" t="str">
            <v>02</v>
          </cell>
          <cell r="E913">
            <v>46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912</v>
          </cell>
          <cell r="Q913">
            <v>1212</v>
          </cell>
          <cell r="R913">
            <v>1211</v>
          </cell>
          <cell r="S913">
            <v>177911</v>
          </cell>
          <cell r="T913">
            <v>177911</v>
          </cell>
          <cell r="U913">
            <v>168109</v>
          </cell>
          <cell r="V913">
            <v>0</v>
          </cell>
          <cell r="W913">
            <v>0</v>
          </cell>
        </row>
        <row r="914">
          <cell r="A914" t="str">
            <v>450362</v>
          </cell>
          <cell r="B914" t="str">
            <v>1251</v>
          </cell>
          <cell r="C914" t="str">
            <v>12</v>
          </cell>
          <cell r="D914" t="str">
            <v>02</v>
          </cell>
          <cell r="E914">
            <v>51</v>
          </cell>
          <cell r="G914">
            <v>48698</v>
          </cell>
          <cell r="H914">
            <v>48698</v>
          </cell>
          <cell r="I914">
            <v>45274</v>
          </cell>
          <cell r="J914">
            <v>5038</v>
          </cell>
          <cell r="K914">
            <v>5038</v>
          </cell>
          <cell r="L914">
            <v>4694</v>
          </cell>
          <cell r="M914">
            <v>2204</v>
          </cell>
          <cell r="N914">
            <v>2204</v>
          </cell>
          <cell r="O914">
            <v>2400</v>
          </cell>
          <cell r="P914">
            <v>733</v>
          </cell>
          <cell r="Q914">
            <v>733</v>
          </cell>
          <cell r="R914">
            <v>1276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</row>
        <row r="915">
          <cell r="A915" t="str">
            <v>450362</v>
          </cell>
          <cell r="B915" t="str">
            <v>1251</v>
          </cell>
          <cell r="C915" t="str">
            <v>12</v>
          </cell>
          <cell r="D915" t="str">
            <v>02</v>
          </cell>
          <cell r="E915">
            <v>56</v>
          </cell>
          <cell r="G915">
            <v>0</v>
          </cell>
          <cell r="H915">
            <v>0</v>
          </cell>
          <cell r="I915">
            <v>0</v>
          </cell>
          <cell r="J915">
            <v>56673</v>
          </cell>
          <cell r="K915">
            <v>56673</v>
          </cell>
          <cell r="L915">
            <v>53644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A916" t="str">
            <v>450362</v>
          </cell>
          <cell r="B916" t="str">
            <v>1251</v>
          </cell>
          <cell r="C916" t="str">
            <v>12</v>
          </cell>
          <cell r="D916" t="str">
            <v>03</v>
          </cell>
          <cell r="E916">
            <v>1</v>
          </cell>
          <cell r="G916">
            <v>43997</v>
          </cell>
          <cell r="H916">
            <v>43997</v>
          </cell>
          <cell r="I916">
            <v>36142</v>
          </cell>
          <cell r="J916">
            <v>4497</v>
          </cell>
          <cell r="K916">
            <v>6883</v>
          </cell>
          <cell r="L916">
            <v>6883</v>
          </cell>
          <cell r="M916">
            <v>0</v>
          </cell>
          <cell r="N916">
            <v>0</v>
          </cell>
          <cell r="O916">
            <v>0</v>
          </cell>
          <cell r="P916">
            <v>686</v>
          </cell>
          <cell r="Q916">
            <v>686</v>
          </cell>
          <cell r="R916">
            <v>578</v>
          </cell>
          <cell r="S916">
            <v>86</v>
          </cell>
          <cell r="T916">
            <v>86</v>
          </cell>
          <cell r="U916">
            <v>7</v>
          </cell>
          <cell r="V916">
            <v>0</v>
          </cell>
          <cell r="W916">
            <v>0</v>
          </cell>
        </row>
        <row r="917">
          <cell r="A917" t="str">
            <v>450362</v>
          </cell>
          <cell r="B917" t="str">
            <v>1251</v>
          </cell>
          <cell r="C917" t="str">
            <v>12</v>
          </cell>
          <cell r="D917" t="str">
            <v>03</v>
          </cell>
          <cell r="E917">
            <v>6</v>
          </cell>
          <cell r="G917">
            <v>0</v>
          </cell>
          <cell r="H917">
            <v>0</v>
          </cell>
          <cell r="I917">
            <v>235</v>
          </cell>
          <cell r="J917">
            <v>0</v>
          </cell>
          <cell r="K917">
            <v>0</v>
          </cell>
          <cell r="L917">
            <v>38</v>
          </cell>
          <cell r="M917">
            <v>0</v>
          </cell>
          <cell r="N917">
            <v>0</v>
          </cell>
          <cell r="O917">
            <v>0</v>
          </cell>
          <cell r="P917">
            <v>519</v>
          </cell>
          <cell r="Q917">
            <v>519</v>
          </cell>
          <cell r="R917">
            <v>465</v>
          </cell>
          <cell r="S917">
            <v>690</v>
          </cell>
          <cell r="T917">
            <v>748</v>
          </cell>
          <cell r="U917">
            <v>748</v>
          </cell>
          <cell r="V917">
            <v>0</v>
          </cell>
          <cell r="W917">
            <v>0</v>
          </cell>
        </row>
        <row r="918">
          <cell r="A918" t="str">
            <v>450362</v>
          </cell>
          <cell r="B918" t="str">
            <v>1251</v>
          </cell>
          <cell r="C918" t="str">
            <v>12</v>
          </cell>
          <cell r="D918" t="str">
            <v>03</v>
          </cell>
          <cell r="E918">
            <v>11</v>
          </cell>
          <cell r="G918">
            <v>0</v>
          </cell>
          <cell r="H918">
            <v>0</v>
          </cell>
          <cell r="I918">
            <v>398</v>
          </cell>
          <cell r="J918">
            <v>749</v>
          </cell>
          <cell r="K918">
            <v>749</v>
          </cell>
          <cell r="L918">
            <v>734</v>
          </cell>
          <cell r="M918">
            <v>3347</v>
          </cell>
          <cell r="N918">
            <v>3347</v>
          </cell>
          <cell r="O918">
            <v>3193</v>
          </cell>
          <cell r="P918">
            <v>54571</v>
          </cell>
          <cell r="Q918">
            <v>57015</v>
          </cell>
          <cell r="R918">
            <v>49421</v>
          </cell>
          <cell r="S918">
            <v>1078</v>
          </cell>
          <cell r="T918">
            <v>1078</v>
          </cell>
          <cell r="U918">
            <v>1019</v>
          </cell>
          <cell r="V918">
            <v>0</v>
          </cell>
          <cell r="W918">
            <v>0</v>
          </cell>
        </row>
        <row r="919">
          <cell r="A919" t="str">
            <v>450362</v>
          </cell>
          <cell r="B919" t="str">
            <v>1251</v>
          </cell>
          <cell r="C919" t="str">
            <v>12</v>
          </cell>
          <cell r="D919" t="str">
            <v>03</v>
          </cell>
          <cell r="E919">
            <v>16</v>
          </cell>
          <cell r="G919">
            <v>0</v>
          </cell>
          <cell r="H919">
            <v>0</v>
          </cell>
          <cell r="I919">
            <v>12</v>
          </cell>
          <cell r="J919">
            <v>47</v>
          </cell>
          <cell r="K919">
            <v>47</v>
          </cell>
          <cell r="L919">
            <v>49</v>
          </cell>
          <cell r="M919">
            <v>1125</v>
          </cell>
          <cell r="N919">
            <v>1125</v>
          </cell>
          <cell r="O919">
            <v>1080</v>
          </cell>
          <cell r="P919">
            <v>5031</v>
          </cell>
          <cell r="Q919">
            <v>6056</v>
          </cell>
          <cell r="R919">
            <v>6056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</row>
        <row r="920">
          <cell r="A920" t="str">
            <v>450362</v>
          </cell>
          <cell r="B920" t="str">
            <v>1251</v>
          </cell>
          <cell r="C920" t="str">
            <v>12</v>
          </cell>
          <cell r="D920" t="str">
            <v>03</v>
          </cell>
          <cell r="E920">
            <v>21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15</v>
          </cell>
          <cell r="L920">
            <v>14</v>
          </cell>
          <cell r="M920">
            <v>16759</v>
          </cell>
          <cell r="N920">
            <v>16759</v>
          </cell>
          <cell r="O920">
            <v>16666</v>
          </cell>
          <cell r="P920">
            <v>2879</v>
          </cell>
          <cell r="Q920">
            <v>2879</v>
          </cell>
          <cell r="R920">
            <v>2441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</row>
        <row r="921">
          <cell r="A921" t="str">
            <v>450362</v>
          </cell>
          <cell r="B921" t="str">
            <v>1251</v>
          </cell>
          <cell r="C921" t="str">
            <v>12</v>
          </cell>
          <cell r="D921" t="str">
            <v>03</v>
          </cell>
          <cell r="E921">
            <v>26</v>
          </cell>
          <cell r="G921">
            <v>1626</v>
          </cell>
          <cell r="H921">
            <v>3378</v>
          </cell>
          <cell r="I921">
            <v>3378</v>
          </cell>
          <cell r="J921">
            <v>661</v>
          </cell>
          <cell r="K921">
            <v>2161</v>
          </cell>
          <cell r="L921">
            <v>2070</v>
          </cell>
          <cell r="M921">
            <v>7991</v>
          </cell>
          <cell r="N921">
            <v>9097</v>
          </cell>
          <cell r="O921">
            <v>9097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</row>
        <row r="922">
          <cell r="A922" t="str">
            <v>450362</v>
          </cell>
          <cell r="B922" t="str">
            <v>1251</v>
          </cell>
          <cell r="C922" t="str">
            <v>12</v>
          </cell>
          <cell r="D922" t="str">
            <v>03</v>
          </cell>
          <cell r="E922">
            <v>31</v>
          </cell>
          <cell r="G922">
            <v>34947</v>
          </cell>
          <cell r="H922">
            <v>40345</v>
          </cell>
          <cell r="I922">
            <v>39722</v>
          </cell>
          <cell r="J922">
            <v>7497</v>
          </cell>
          <cell r="K922">
            <v>10903</v>
          </cell>
          <cell r="L922">
            <v>8173</v>
          </cell>
          <cell r="M922">
            <v>12069</v>
          </cell>
          <cell r="N922">
            <v>15423</v>
          </cell>
          <cell r="O922">
            <v>15423</v>
          </cell>
          <cell r="P922">
            <v>2007</v>
          </cell>
          <cell r="Q922">
            <v>2007</v>
          </cell>
          <cell r="R922">
            <v>1689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</row>
        <row r="923">
          <cell r="A923" t="str">
            <v>450362</v>
          </cell>
          <cell r="B923" t="str">
            <v>1251</v>
          </cell>
          <cell r="C923" t="str">
            <v>12</v>
          </cell>
          <cell r="D923" t="str">
            <v>03</v>
          </cell>
          <cell r="E923">
            <v>36</v>
          </cell>
          <cell r="G923">
            <v>14076</v>
          </cell>
          <cell r="H923">
            <v>17430</v>
          </cell>
          <cell r="I923">
            <v>17112</v>
          </cell>
          <cell r="J923">
            <v>0</v>
          </cell>
          <cell r="K923">
            <v>19</v>
          </cell>
          <cell r="L923">
            <v>19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</row>
        <row r="924">
          <cell r="A924" t="str">
            <v>450362</v>
          </cell>
          <cell r="B924" t="str">
            <v>1251</v>
          </cell>
          <cell r="C924" t="str">
            <v>12</v>
          </cell>
          <cell r="D924" t="str">
            <v>03</v>
          </cell>
          <cell r="E924">
            <v>41</v>
          </cell>
          <cell r="G924">
            <v>0</v>
          </cell>
          <cell r="H924">
            <v>19</v>
          </cell>
          <cell r="I924">
            <v>19</v>
          </cell>
          <cell r="J924">
            <v>0</v>
          </cell>
          <cell r="K924">
            <v>0</v>
          </cell>
          <cell r="L924">
            <v>0</v>
          </cell>
          <cell r="M924">
            <v>716</v>
          </cell>
          <cell r="N924">
            <v>836</v>
          </cell>
          <cell r="O924">
            <v>836</v>
          </cell>
          <cell r="P924">
            <v>112932</v>
          </cell>
          <cell r="Q924">
            <v>127673</v>
          </cell>
          <cell r="R924">
            <v>116363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A925" t="str">
            <v>450362</v>
          </cell>
          <cell r="B925" t="str">
            <v>1251</v>
          </cell>
          <cell r="C925" t="str">
            <v>12</v>
          </cell>
          <cell r="D925" t="str">
            <v>03</v>
          </cell>
          <cell r="E925">
            <v>46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A926" t="str">
            <v>450362</v>
          </cell>
          <cell r="B926" t="str">
            <v>1251</v>
          </cell>
          <cell r="C926" t="str">
            <v>12</v>
          </cell>
          <cell r="D926" t="str">
            <v>03</v>
          </cell>
          <cell r="E926">
            <v>51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35</v>
          </cell>
          <cell r="O926">
            <v>35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198</v>
          </cell>
          <cell r="U926">
            <v>198</v>
          </cell>
          <cell r="V926">
            <v>0</v>
          </cell>
          <cell r="W926">
            <v>0</v>
          </cell>
        </row>
        <row r="927">
          <cell r="A927" t="str">
            <v>450362</v>
          </cell>
          <cell r="B927" t="str">
            <v>1251</v>
          </cell>
          <cell r="C927" t="str">
            <v>12</v>
          </cell>
          <cell r="D927" t="str">
            <v>03</v>
          </cell>
          <cell r="E927">
            <v>56</v>
          </cell>
          <cell r="G927">
            <v>0</v>
          </cell>
          <cell r="H927">
            <v>233</v>
          </cell>
          <cell r="I927">
            <v>233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482</v>
          </cell>
          <cell r="O927">
            <v>320</v>
          </cell>
          <cell r="P927">
            <v>0</v>
          </cell>
          <cell r="Q927">
            <v>482</v>
          </cell>
          <cell r="R927">
            <v>320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</row>
        <row r="928">
          <cell r="A928" t="str">
            <v>450362</v>
          </cell>
          <cell r="B928" t="str">
            <v>1251</v>
          </cell>
          <cell r="C928" t="str">
            <v>12</v>
          </cell>
          <cell r="D928" t="str">
            <v>03</v>
          </cell>
          <cell r="E928">
            <v>61</v>
          </cell>
          <cell r="G928">
            <v>0</v>
          </cell>
          <cell r="H928">
            <v>715</v>
          </cell>
          <cell r="I928">
            <v>553</v>
          </cell>
          <cell r="J928">
            <v>112932</v>
          </cell>
          <cell r="K928">
            <v>128388</v>
          </cell>
          <cell r="L928">
            <v>116916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A929" t="str">
            <v>450362</v>
          </cell>
          <cell r="B929" t="str">
            <v>1251</v>
          </cell>
          <cell r="C929" t="str">
            <v>12</v>
          </cell>
          <cell r="D929" t="str">
            <v>05</v>
          </cell>
          <cell r="E929">
            <v>1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</row>
        <row r="930">
          <cell r="A930" t="str">
            <v>450362</v>
          </cell>
          <cell r="B930" t="str">
            <v>1251</v>
          </cell>
          <cell r="C930" t="str">
            <v>12</v>
          </cell>
          <cell r="D930" t="str">
            <v>05</v>
          </cell>
          <cell r="E930">
            <v>6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</row>
        <row r="931">
          <cell r="A931" t="str">
            <v>450362</v>
          </cell>
          <cell r="B931" t="str">
            <v>1251</v>
          </cell>
          <cell r="C931" t="str">
            <v>12</v>
          </cell>
          <cell r="D931" t="str">
            <v>05</v>
          </cell>
          <cell r="E931">
            <v>11</v>
          </cell>
          <cell r="G931">
            <v>0</v>
          </cell>
          <cell r="H931">
            <v>581</v>
          </cell>
          <cell r="I931">
            <v>306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581</v>
          </cell>
          <cell r="O931">
            <v>306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</row>
        <row r="932">
          <cell r="A932" t="str">
            <v>450362</v>
          </cell>
          <cell r="B932" t="str">
            <v>1251</v>
          </cell>
          <cell r="C932" t="str">
            <v>12</v>
          </cell>
          <cell r="D932" t="str">
            <v>05</v>
          </cell>
          <cell r="E932">
            <v>16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A933" t="str">
            <v>450362</v>
          </cell>
          <cell r="B933" t="str">
            <v>1251</v>
          </cell>
          <cell r="C933" t="str">
            <v>12</v>
          </cell>
          <cell r="D933" t="str">
            <v>05</v>
          </cell>
          <cell r="E933">
            <v>21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</row>
        <row r="934">
          <cell r="A934" t="str">
            <v>450362</v>
          </cell>
          <cell r="B934" t="str">
            <v>1251</v>
          </cell>
          <cell r="C934" t="str">
            <v>12</v>
          </cell>
          <cell r="D934" t="str">
            <v>05</v>
          </cell>
          <cell r="E934">
            <v>26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</row>
        <row r="935">
          <cell r="A935" t="str">
            <v>450362</v>
          </cell>
          <cell r="B935" t="str">
            <v>1251</v>
          </cell>
          <cell r="C935" t="str">
            <v>12</v>
          </cell>
          <cell r="D935" t="str">
            <v>05</v>
          </cell>
          <cell r="E935">
            <v>31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581</v>
          </cell>
          <cell r="O935">
            <v>306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</row>
        <row r="936">
          <cell r="A936" t="str">
            <v>450362</v>
          </cell>
          <cell r="B936" t="str">
            <v>1251</v>
          </cell>
          <cell r="C936" t="str">
            <v>12</v>
          </cell>
          <cell r="D936" t="str">
            <v>05</v>
          </cell>
          <cell r="E936">
            <v>36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581</v>
          </cell>
          <cell r="R936">
            <v>306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</row>
        <row r="937">
          <cell r="A937" t="str">
            <v>450362</v>
          </cell>
          <cell r="B937" t="str">
            <v>1251</v>
          </cell>
          <cell r="C937" t="str">
            <v>12</v>
          </cell>
          <cell r="D937" t="str">
            <v>06</v>
          </cell>
          <cell r="E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</row>
        <row r="938">
          <cell r="A938" t="str">
            <v>450362</v>
          </cell>
          <cell r="B938" t="str">
            <v>1251</v>
          </cell>
          <cell r="C938" t="str">
            <v>12</v>
          </cell>
          <cell r="D938" t="str">
            <v>06</v>
          </cell>
          <cell r="E938">
            <v>6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</row>
        <row r="939">
          <cell r="A939" t="str">
            <v>450362</v>
          </cell>
          <cell r="B939" t="str">
            <v>1251</v>
          </cell>
          <cell r="C939" t="str">
            <v>12</v>
          </cell>
          <cell r="D939" t="str">
            <v>06</v>
          </cell>
          <cell r="E939">
            <v>11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</row>
        <row r="940">
          <cell r="A940" t="str">
            <v>450362</v>
          </cell>
          <cell r="B940" t="str">
            <v>1251</v>
          </cell>
          <cell r="C940" t="str">
            <v>12</v>
          </cell>
          <cell r="D940" t="str">
            <v>06</v>
          </cell>
          <cell r="E940">
            <v>16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</row>
        <row r="941">
          <cell r="A941" t="str">
            <v>450362</v>
          </cell>
          <cell r="B941" t="str">
            <v>1251</v>
          </cell>
          <cell r="C941" t="str">
            <v>12</v>
          </cell>
          <cell r="D941" t="str">
            <v>06</v>
          </cell>
          <cell r="E941">
            <v>21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</row>
        <row r="942">
          <cell r="A942" t="str">
            <v>450362</v>
          </cell>
          <cell r="B942" t="str">
            <v>1251</v>
          </cell>
          <cell r="C942" t="str">
            <v>12</v>
          </cell>
          <cell r="D942" t="str">
            <v>06</v>
          </cell>
          <cell r="E942">
            <v>26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</row>
        <row r="943">
          <cell r="A943" t="str">
            <v>450362</v>
          </cell>
          <cell r="B943" t="str">
            <v>1251</v>
          </cell>
          <cell r="C943" t="str">
            <v>12</v>
          </cell>
          <cell r="D943" t="str">
            <v>06</v>
          </cell>
          <cell r="E943">
            <v>31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</row>
        <row r="944">
          <cell r="A944" t="str">
            <v>450362</v>
          </cell>
          <cell r="B944" t="str">
            <v>1251</v>
          </cell>
          <cell r="C944" t="str">
            <v>12</v>
          </cell>
          <cell r="D944" t="str">
            <v>06</v>
          </cell>
          <cell r="E944">
            <v>36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</row>
        <row r="945">
          <cell r="A945" t="str">
            <v>450362</v>
          </cell>
          <cell r="B945" t="str">
            <v>1251</v>
          </cell>
          <cell r="C945" t="str">
            <v>12</v>
          </cell>
          <cell r="D945" t="str">
            <v>06</v>
          </cell>
          <cell r="E945">
            <v>41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</row>
        <row r="946">
          <cell r="A946" t="str">
            <v>450362</v>
          </cell>
          <cell r="B946" t="str">
            <v>1251</v>
          </cell>
          <cell r="C946" t="str">
            <v>12</v>
          </cell>
          <cell r="D946" t="str">
            <v>06</v>
          </cell>
          <cell r="E946">
            <v>46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</row>
        <row r="947">
          <cell r="A947" t="str">
            <v>450362</v>
          </cell>
          <cell r="B947" t="str">
            <v>1251</v>
          </cell>
          <cell r="C947" t="str">
            <v>12</v>
          </cell>
          <cell r="D947" t="str">
            <v>06</v>
          </cell>
          <cell r="E947">
            <v>51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</row>
        <row r="948">
          <cell r="A948" t="str">
            <v>450362</v>
          </cell>
          <cell r="B948" t="str">
            <v>1251</v>
          </cell>
          <cell r="C948" t="str">
            <v>12</v>
          </cell>
          <cell r="D948" t="str">
            <v>06</v>
          </cell>
          <cell r="E948">
            <v>56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</row>
        <row r="949">
          <cell r="A949" t="str">
            <v>450362</v>
          </cell>
          <cell r="B949" t="str">
            <v>1251</v>
          </cell>
          <cell r="C949" t="str">
            <v>12</v>
          </cell>
          <cell r="D949" t="str">
            <v>06</v>
          </cell>
          <cell r="E949">
            <v>61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</row>
        <row r="950">
          <cell r="A950" t="str">
            <v>450362</v>
          </cell>
          <cell r="B950" t="str">
            <v>1251</v>
          </cell>
          <cell r="C950" t="str">
            <v>12</v>
          </cell>
          <cell r="D950" t="str">
            <v>06</v>
          </cell>
          <cell r="E950">
            <v>66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</row>
        <row r="951">
          <cell r="A951" t="str">
            <v>450362</v>
          </cell>
          <cell r="B951" t="str">
            <v>1251</v>
          </cell>
          <cell r="C951" t="str">
            <v>12</v>
          </cell>
          <cell r="D951" t="str">
            <v>06</v>
          </cell>
          <cell r="E951">
            <v>71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</row>
        <row r="952">
          <cell r="A952" t="str">
            <v>450362</v>
          </cell>
          <cell r="B952" t="str">
            <v>1251</v>
          </cell>
          <cell r="C952" t="str">
            <v>12</v>
          </cell>
          <cell r="D952" t="str">
            <v>06</v>
          </cell>
          <cell r="E952">
            <v>76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</row>
        <row r="953">
          <cell r="A953" t="str">
            <v>450362</v>
          </cell>
          <cell r="B953" t="str">
            <v>1251</v>
          </cell>
          <cell r="C953" t="str">
            <v>12</v>
          </cell>
          <cell r="D953" t="str">
            <v>06</v>
          </cell>
          <cell r="E953">
            <v>81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</row>
        <row r="954">
          <cell r="A954" t="str">
            <v>450362</v>
          </cell>
          <cell r="B954" t="str">
            <v>1251</v>
          </cell>
          <cell r="C954" t="str">
            <v>12</v>
          </cell>
          <cell r="D954" t="str">
            <v>06</v>
          </cell>
          <cell r="E954">
            <v>86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</row>
        <row r="955">
          <cell r="A955" t="str">
            <v>450362</v>
          </cell>
          <cell r="B955" t="str">
            <v>1251</v>
          </cell>
          <cell r="C955" t="str">
            <v>12</v>
          </cell>
          <cell r="D955" t="str">
            <v>06</v>
          </cell>
          <cell r="E955">
            <v>91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A956" t="str">
            <v>450362</v>
          </cell>
          <cell r="B956" t="str">
            <v>1251</v>
          </cell>
          <cell r="C956" t="str">
            <v>12</v>
          </cell>
          <cell r="D956" t="str">
            <v>06</v>
          </cell>
          <cell r="E956">
            <v>96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A957" t="str">
            <v>450362</v>
          </cell>
          <cell r="B957" t="str">
            <v>1251</v>
          </cell>
          <cell r="C957" t="str">
            <v>12</v>
          </cell>
          <cell r="D957" t="str">
            <v>06</v>
          </cell>
          <cell r="E957">
            <v>101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</row>
        <row r="958">
          <cell r="A958" t="str">
            <v>450362</v>
          </cell>
          <cell r="B958" t="str">
            <v>1251</v>
          </cell>
          <cell r="C958" t="str">
            <v>12</v>
          </cell>
          <cell r="D958" t="str">
            <v>06</v>
          </cell>
          <cell r="E958">
            <v>106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-41</v>
          </cell>
          <cell r="P958">
            <v>0</v>
          </cell>
          <cell r="Q958">
            <v>0</v>
          </cell>
          <cell r="R958">
            <v>-3842</v>
          </cell>
          <cell r="S958">
            <v>0</v>
          </cell>
          <cell r="T958">
            <v>0</v>
          </cell>
          <cell r="U958">
            <v>-3883</v>
          </cell>
          <cell r="V958">
            <v>0</v>
          </cell>
          <cell r="W958">
            <v>0</v>
          </cell>
        </row>
        <row r="959">
          <cell r="A959" t="str">
            <v>450362</v>
          </cell>
          <cell r="B959" t="str">
            <v>1251</v>
          </cell>
          <cell r="C959" t="str">
            <v>12</v>
          </cell>
          <cell r="D959" t="str">
            <v>07</v>
          </cell>
          <cell r="E959">
            <v>1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</row>
        <row r="960">
          <cell r="A960" t="str">
            <v>450362</v>
          </cell>
          <cell r="B960" t="str">
            <v>1251</v>
          </cell>
          <cell r="C960" t="str">
            <v>12</v>
          </cell>
          <cell r="D960" t="str">
            <v>07</v>
          </cell>
          <cell r="E960">
            <v>5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6138</v>
          </cell>
          <cell r="L960">
            <v>9063</v>
          </cell>
          <cell r="M960">
            <v>9063</v>
          </cell>
          <cell r="N960">
            <v>0</v>
          </cell>
          <cell r="O960">
            <v>2381</v>
          </cell>
          <cell r="P960">
            <v>3135</v>
          </cell>
          <cell r="Q960">
            <v>3069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</row>
        <row r="961">
          <cell r="A961" t="str">
            <v>450362</v>
          </cell>
          <cell r="B961" t="str">
            <v>1251</v>
          </cell>
          <cell r="C961" t="str">
            <v>12</v>
          </cell>
          <cell r="D961" t="str">
            <v>07</v>
          </cell>
          <cell r="E961">
            <v>9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110760</v>
          </cell>
          <cell r="L961">
            <v>116826</v>
          </cell>
          <cell r="M961">
            <v>116826</v>
          </cell>
          <cell r="N961">
            <v>0</v>
          </cell>
          <cell r="O961">
            <v>4529</v>
          </cell>
          <cell r="P961">
            <v>4529</v>
          </cell>
          <cell r="Q961">
            <v>4453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</row>
        <row r="962">
          <cell r="A962" t="str">
            <v>450362</v>
          </cell>
          <cell r="B962" t="str">
            <v>1251</v>
          </cell>
          <cell r="C962" t="str">
            <v>12</v>
          </cell>
          <cell r="D962" t="str">
            <v>07</v>
          </cell>
          <cell r="E962">
            <v>13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123808</v>
          </cell>
          <cell r="L962">
            <v>133553</v>
          </cell>
          <cell r="M962">
            <v>133411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</row>
        <row r="963">
          <cell r="A963" t="str">
            <v>450362</v>
          </cell>
          <cell r="B963" t="str">
            <v>1251</v>
          </cell>
          <cell r="C963" t="str">
            <v>12</v>
          </cell>
          <cell r="D963" t="str">
            <v>07</v>
          </cell>
          <cell r="E963">
            <v>17</v>
          </cell>
          <cell r="G963">
            <v>2673</v>
          </cell>
          <cell r="H963">
            <v>3319</v>
          </cell>
          <cell r="I963">
            <v>3298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2673</v>
          </cell>
          <cell r="P963">
            <v>3319</v>
          </cell>
          <cell r="Q963">
            <v>3298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A964" t="str">
            <v>450362</v>
          </cell>
          <cell r="B964" t="str">
            <v>1251</v>
          </cell>
          <cell r="C964" t="str">
            <v>12</v>
          </cell>
          <cell r="D964" t="str">
            <v>07</v>
          </cell>
          <cell r="E964">
            <v>21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</row>
        <row r="965">
          <cell r="A965" t="str">
            <v>450362</v>
          </cell>
          <cell r="B965" t="str">
            <v>1251</v>
          </cell>
          <cell r="C965" t="str">
            <v>12</v>
          </cell>
          <cell r="D965" t="str">
            <v>07</v>
          </cell>
          <cell r="E965">
            <v>25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</row>
        <row r="966">
          <cell r="A966" t="str">
            <v>450362</v>
          </cell>
          <cell r="B966" t="str">
            <v>1251</v>
          </cell>
          <cell r="C966" t="str">
            <v>12</v>
          </cell>
          <cell r="D966" t="str">
            <v>07</v>
          </cell>
          <cell r="E966">
            <v>29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126481</v>
          </cell>
          <cell r="P966">
            <v>136872</v>
          </cell>
          <cell r="Q966">
            <v>136709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</row>
        <row r="967">
          <cell r="A967" t="str">
            <v>450362</v>
          </cell>
          <cell r="B967" t="str">
            <v>1251</v>
          </cell>
          <cell r="C967" t="str">
            <v>12</v>
          </cell>
          <cell r="D967" t="str">
            <v>09</v>
          </cell>
          <cell r="E967">
            <v>1</v>
          </cell>
          <cell r="G967">
            <v>221035</v>
          </cell>
          <cell r="H967">
            <v>221035</v>
          </cell>
          <cell r="I967">
            <v>202937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221035</v>
          </cell>
          <cell r="T967">
            <v>221035</v>
          </cell>
          <cell r="U967">
            <v>202937</v>
          </cell>
          <cell r="V967">
            <v>0</v>
          </cell>
          <cell r="W967">
            <v>0</v>
          </cell>
        </row>
        <row r="968">
          <cell r="A968" t="str">
            <v>450362</v>
          </cell>
          <cell r="B968" t="str">
            <v>1251</v>
          </cell>
          <cell r="C968" t="str">
            <v>12</v>
          </cell>
          <cell r="D968" t="str">
            <v>09</v>
          </cell>
          <cell r="E968">
            <v>6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1763</v>
          </cell>
          <cell r="U968">
            <v>1763</v>
          </cell>
          <cell r="V968">
            <v>0</v>
          </cell>
          <cell r="W968">
            <v>0</v>
          </cell>
        </row>
        <row r="969">
          <cell r="A969" t="str">
            <v>450362</v>
          </cell>
          <cell r="B969" t="str">
            <v>1251</v>
          </cell>
          <cell r="C969" t="str">
            <v>12</v>
          </cell>
          <cell r="D969" t="str">
            <v>09</v>
          </cell>
          <cell r="E969">
            <v>11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1763</v>
          </cell>
          <cell r="R969">
            <v>1763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</row>
        <row r="970">
          <cell r="A970" t="str">
            <v>450362</v>
          </cell>
          <cell r="B970" t="str">
            <v>1251</v>
          </cell>
          <cell r="C970" t="str">
            <v>12</v>
          </cell>
          <cell r="D970" t="str">
            <v>09</v>
          </cell>
          <cell r="E970">
            <v>16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</row>
        <row r="971">
          <cell r="A971" t="str">
            <v>450362</v>
          </cell>
          <cell r="B971" t="str">
            <v>1251</v>
          </cell>
          <cell r="C971" t="str">
            <v>12</v>
          </cell>
          <cell r="D971" t="str">
            <v>09</v>
          </cell>
          <cell r="E971">
            <v>21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1763</v>
          </cell>
          <cell r="L971">
            <v>1763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</row>
        <row r="972">
          <cell r="A972" t="str">
            <v>450362</v>
          </cell>
          <cell r="B972" t="str">
            <v>1251</v>
          </cell>
          <cell r="C972" t="str">
            <v>12</v>
          </cell>
          <cell r="D972" t="str">
            <v>09</v>
          </cell>
          <cell r="E972">
            <v>26</v>
          </cell>
          <cell r="G972">
            <v>0</v>
          </cell>
          <cell r="H972">
            <v>0</v>
          </cell>
          <cell r="I972">
            <v>0</v>
          </cell>
          <cell r="J972">
            <v>221035</v>
          </cell>
          <cell r="K972">
            <v>222798</v>
          </cell>
          <cell r="L972">
            <v>204700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</row>
        <row r="973">
          <cell r="A973" t="str">
            <v>450362</v>
          </cell>
          <cell r="B973" t="str">
            <v>1251</v>
          </cell>
          <cell r="C973" t="str">
            <v>12</v>
          </cell>
          <cell r="D973" t="str">
            <v>10</v>
          </cell>
          <cell r="E973">
            <v>1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</row>
        <row r="974">
          <cell r="A974" t="str">
            <v>450362</v>
          </cell>
          <cell r="B974" t="str">
            <v>1251</v>
          </cell>
          <cell r="C974" t="str">
            <v>12</v>
          </cell>
          <cell r="D974" t="str">
            <v>10</v>
          </cell>
          <cell r="E974">
            <v>6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</row>
        <row r="975">
          <cell r="A975" t="str">
            <v>450362</v>
          </cell>
          <cell r="B975" t="str">
            <v>1251</v>
          </cell>
          <cell r="C975" t="str">
            <v>12</v>
          </cell>
          <cell r="D975" t="str">
            <v>10</v>
          </cell>
          <cell r="E975">
            <v>11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</row>
        <row r="976">
          <cell r="A976" t="str">
            <v>450362</v>
          </cell>
          <cell r="B976" t="str">
            <v>1251</v>
          </cell>
          <cell r="C976" t="str">
            <v>12</v>
          </cell>
          <cell r="D976" t="str">
            <v>10</v>
          </cell>
          <cell r="E976">
            <v>16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</row>
        <row r="977">
          <cell r="A977" t="str">
            <v>450362</v>
          </cell>
          <cell r="B977" t="str">
            <v>1251</v>
          </cell>
          <cell r="C977" t="str">
            <v>12</v>
          </cell>
          <cell r="D977" t="str">
            <v>10</v>
          </cell>
          <cell r="E977">
            <v>21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A978" t="str">
            <v>450362</v>
          </cell>
          <cell r="B978" t="str">
            <v>1251</v>
          </cell>
          <cell r="C978" t="str">
            <v>12</v>
          </cell>
          <cell r="D978" t="str">
            <v>10</v>
          </cell>
          <cell r="E978">
            <v>26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</row>
        <row r="979">
          <cell r="A979" t="str">
            <v>450362</v>
          </cell>
          <cell r="B979" t="str">
            <v>1251</v>
          </cell>
          <cell r="C979" t="str">
            <v>12</v>
          </cell>
          <cell r="D979" t="str">
            <v>10</v>
          </cell>
          <cell r="E979">
            <v>31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</row>
        <row r="980">
          <cell r="A980" t="str">
            <v>450362</v>
          </cell>
          <cell r="B980" t="str">
            <v>1251</v>
          </cell>
          <cell r="C980" t="str">
            <v>12</v>
          </cell>
          <cell r="D980" t="str">
            <v>10</v>
          </cell>
          <cell r="E980">
            <v>36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</row>
        <row r="981">
          <cell r="A981" t="str">
            <v>450362</v>
          </cell>
          <cell r="B981" t="str">
            <v>1251</v>
          </cell>
          <cell r="C981" t="str">
            <v>12</v>
          </cell>
          <cell r="D981" t="str">
            <v>10</v>
          </cell>
          <cell r="E981">
            <v>41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</row>
        <row r="982">
          <cell r="A982" t="str">
            <v>450362</v>
          </cell>
          <cell r="B982" t="str">
            <v>1251</v>
          </cell>
          <cell r="C982" t="str">
            <v>12</v>
          </cell>
          <cell r="D982" t="str">
            <v>10</v>
          </cell>
          <cell r="E982">
            <v>46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</row>
        <row r="983">
          <cell r="A983" t="str">
            <v>450362</v>
          </cell>
          <cell r="B983" t="str">
            <v>1251</v>
          </cell>
          <cell r="C983" t="str">
            <v>12</v>
          </cell>
          <cell r="D983" t="str">
            <v>10</v>
          </cell>
          <cell r="E983">
            <v>51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</row>
        <row r="984">
          <cell r="A984" t="str">
            <v>450362</v>
          </cell>
          <cell r="B984" t="str">
            <v>1251</v>
          </cell>
          <cell r="C984" t="str">
            <v>12</v>
          </cell>
          <cell r="D984" t="str">
            <v>10</v>
          </cell>
          <cell r="E984">
            <v>56</v>
          </cell>
          <cell r="G984">
            <v>0</v>
          </cell>
          <cell r="H984">
            <v>3883</v>
          </cell>
          <cell r="I984">
            <v>3883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3883</v>
          </cell>
          <cell r="R984">
            <v>3883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</row>
        <row r="985">
          <cell r="A985" t="str">
            <v>450362</v>
          </cell>
          <cell r="B985" t="str">
            <v>1251</v>
          </cell>
          <cell r="C985" t="str">
            <v>12</v>
          </cell>
          <cell r="D985" t="str">
            <v>10</v>
          </cell>
          <cell r="E985">
            <v>61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</row>
        <row r="986">
          <cell r="A986" t="str">
            <v>450362</v>
          </cell>
          <cell r="B986" t="str">
            <v>1251</v>
          </cell>
          <cell r="C986" t="str">
            <v>12</v>
          </cell>
          <cell r="D986" t="str">
            <v>10</v>
          </cell>
          <cell r="E986">
            <v>66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</row>
        <row r="987">
          <cell r="A987" t="str">
            <v>450362</v>
          </cell>
          <cell r="B987" t="str">
            <v>1251</v>
          </cell>
          <cell r="C987" t="str">
            <v>12</v>
          </cell>
          <cell r="D987" t="str">
            <v>10</v>
          </cell>
          <cell r="E987">
            <v>71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</row>
        <row r="988">
          <cell r="A988" t="str">
            <v>450362</v>
          </cell>
          <cell r="B988" t="str">
            <v>1251</v>
          </cell>
          <cell r="C988" t="str">
            <v>12</v>
          </cell>
          <cell r="D988" t="str">
            <v>10</v>
          </cell>
          <cell r="E988">
            <v>76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</row>
        <row r="989">
          <cell r="A989" t="str">
            <v>450362</v>
          </cell>
          <cell r="B989" t="str">
            <v>1251</v>
          </cell>
          <cell r="C989" t="str">
            <v>12</v>
          </cell>
          <cell r="D989" t="str">
            <v>10</v>
          </cell>
          <cell r="E989">
            <v>81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</row>
        <row r="990">
          <cell r="A990" t="str">
            <v>450362</v>
          </cell>
          <cell r="B990" t="str">
            <v>1251</v>
          </cell>
          <cell r="C990" t="str">
            <v>12</v>
          </cell>
          <cell r="D990" t="str">
            <v>10</v>
          </cell>
          <cell r="E990">
            <v>86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</row>
        <row r="991">
          <cell r="A991" t="str">
            <v>450362</v>
          </cell>
          <cell r="B991" t="str">
            <v>1251</v>
          </cell>
          <cell r="C991" t="str">
            <v>12</v>
          </cell>
          <cell r="D991" t="str">
            <v>10</v>
          </cell>
          <cell r="E991">
            <v>91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</row>
        <row r="992">
          <cell r="A992" t="str">
            <v>450362</v>
          </cell>
          <cell r="B992" t="str">
            <v>1251</v>
          </cell>
          <cell r="C992" t="str">
            <v>12</v>
          </cell>
          <cell r="D992" t="str">
            <v>10</v>
          </cell>
          <cell r="E992">
            <v>96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</row>
        <row r="993">
          <cell r="A993" t="str">
            <v>450362</v>
          </cell>
          <cell r="B993" t="str">
            <v>1251</v>
          </cell>
          <cell r="C993" t="str">
            <v>12</v>
          </cell>
          <cell r="D993" t="str">
            <v>10</v>
          </cell>
          <cell r="E993">
            <v>101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</row>
        <row r="994">
          <cell r="A994" t="str">
            <v>450362</v>
          </cell>
          <cell r="B994" t="str">
            <v>1251</v>
          </cell>
          <cell r="C994" t="str">
            <v>12</v>
          </cell>
          <cell r="D994" t="str">
            <v>10</v>
          </cell>
          <cell r="E994">
            <v>106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</row>
        <row r="995">
          <cell r="A995" t="str">
            <v>450362</v>
          </cell>
          <cell r="B995" t="str">
            <v>1251</v>
          </cell>
          <cell r="C995" t="str">
            <v>12</v>
          </cell>
          <cell r="D995" t="str">
            <v>10</v>
          </cell>
          <cell r="E995">
            <v>111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3883</v>
          </cell>
          <cell r="L995">
            <v>3883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</row>
        <row r="996">
          <cell r="A996" t="str">
            <v>450362</v>
          </cell>
          <cell r="B996" t="str">
            <v>1251</v>
          </cell>
          <cell r="C996" t="str">
            <v>12</v>
          </cell>
          <cell r="D996" t="str">
            <v>21</v>
          </cell>
          <cell r="E996">
            <v>1</v>
          </cell>
          <cell r="G996">
            <v>552411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4781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</row>
        <row r="997">
          <cell r="A997" t="str">
            <v>450362</v>
          </cell>
          <cell r="B997" t="str">
            <v>1251</v>
          </cell>
          <cell r="C997" t="str">
            <v>12</v>
          </cell>
          <cell r="D997" t="str">
            <v>21</v>
          </cell>
          <cell r="E997">
            <v>1</v>
          </cell>
          <cell r="G997">
            <v>853169</v>
          </cell>
          <cell r="H997">
            <v>30628</v>
          </cell>
          <cell r="I997">
            <v>6074</v>
          </cell>
          <cell r="J997">
            <v>600</v>
          </cell>
          <cell r="K997">
            <v>37302</v>
          </cell>
          <cell r="L997">
            <v>12616</v>
          </cell>
          <cell r="M997">
            <v>19592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A998" t="str">
            <v>450362</v>
          </cell>
          <cell r="B998" t="str">
            <v>1251</v>
          </cell>
          <cell r="C998" t="str">
            <v>12</v>
          </cell>
          <cell r="D998" t="str">
            <v>21</v>
          </cell>
          <cell r="E998">
            <v>1</v>
          </cell>
          <cell r="G998">
            <v>853170</v>
          </cell>
          <cell r="H998">
            <v>94092</v>
          </cell>
          <cell r="I998">
            <v>17301</v>
          </cell>
          <cell r="J998">
            <v>354</v>
          </cell>
          <cell r="K998">
            <v>111747</v>
          </cell>
          <cell r="L998">
            <v>36192</v>
          </cell>
          <cell r="M998">
            <v>79893</v>
          </cell>
          <cell r="N998">
            <v>540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</row>
        <row r="999">
          <cell r="A999" t="str">
            <v>450362</v>
          </cell>
          <cell r="B999" t="str">
            <v>1251</v>
          </cell>
          <cell r="C999" t="str">
            <v>12</v>
          </cell>
          <cell r="D999" t="str">
            <v>21</v>
          </cell>
          <cell r="E999">
            <v>1</v>
          </cell>
          <cell r="G999">
            <v>853233</v>
          </cell>
          <cell r="H999">
            <v>5088</v>
          </cell>
          <cell r="I999">
            <v>1189</v>
          </cell>
          <cell r="J999">
            <v>0</v>
          </cell>
          <cell r="K999">
            <v>6277</v>
          </cell>
          <cell r="L999">
            <v>1846</v>
          </cell>
          <cell r="M999">
            <v>41</v>
          </cell>
          <cell r="N999">
            <v>13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</row>
        <row r="1000">
          <cell r="A1000" t="str">
            <v>450362</v>
          </cell>
          <cell r="B1000" t="str">
            <v>1251</v>
          </cell>
          <cell r="C1000" t="str">
            <v>12</v>
          </cell>
          <cell r="D1000" t="str">
            <v>21</v>
          </cell>
          <cell r="E1000">
            <v>1</v>
          </cell>
          <cell r="G1000">
            <v>853255</v>
          </cell>
          <cell r="H1000">
            <v>2817</v>
          </cell>
          <cell r="I1000">
            <v>1063</v>
          </cell>
          <cell r="J1000">
            <v>0</v>
          </cell>
          <cell r="K1000">
            <v>3880</v>
          </cell>
          <cell r="L1000">
            <v>91</v>
          </cell>
          <cell r="M1000">
            <v>7084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</row>
        <row r="1001">
          <cell r="A1001" t="str">
            <v>450362</v>
          </cell>
          <cell r="B1001" t="str">
            <v>1251</v>
          </cell>
          <cell r="C1001" t="str">
            <v>12</v>
          </cell>
          <cell r="D1001" t="str">
            <v>21</v>
          </cell>
          <cell r="E1001">
            <v>1</v>
          </cell>
          <cell r="G1001">
            <v>853266</v>
          </cell>
          <cell r="H1001">
            <v>7549</v>
          </cell>
          <cell r="I1001">
            <v>1097</v>
          </cell>
          <cell r="J1001">
            <v>257</v>
          </cell>
          <cell r="K1001">
            <v>8903</v>
          </cell>
          <cell r="L1001">
            <v>2899</v>
          </cell>
          <cell r="M1001">
            <v>4972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</row>
        <row r="1002">
          <cell r="A1002" t="str">
            <v>450362</v>
          </cell>
          <cell r="B1002" t="str">
            <v>1251</v>
          </cell>
          <cell r="C1002" t="str">
            <v>12</v>
          </cell>
          <cell r="D1002" t="str">
            <v>21</v>
          </cell>
          <cell r="E1002">
            <v>1</v>
          </cell>
          <cell r="G1002">
            <v>999999</v>
          </cell>
          <cell r="H1002">
            <v>140174</v>
          </cell>
          <cell r="I1002">
            <v>26724</v>
          </cell>
          <cell r="J1002">
            <v>1211</v>
          </cell>
          <cell r="K1002">
            <v>168109</v>
          </cell>
          <cell r="L1002">
            <v>53644</v>
          </cell>
          <cell r="M1002">
            <v>116363</v>
          </cell>
          <cell r="N1002">
            <v>553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</row>
        <row r="1003">
          <cell r="A1003" t="str">
            <v>450362</v>
          </cell>
          <cell r="B1003" t="str">
            <v>1251</v>
          </cell>
          <cell r="C1003" t="str">
            <v>12</v>
          </cell>
          <cell r="D1003" t="str">
            <v>21</v>
          </cell>
          <cell r="E1003">
            <v>17</v>
          </cell>
          <cell r="G1003">
            <v>552411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A1004" t="str">
            <v>450362</v>
          </cell>
          <cell r="B1004" t="str">
            <v>1251</v>
          </cell>
          <cell r="C1004" t="str">
            <v>12</v>
          </cell>
          <cell r="D1004" t="str">
            <v>21</v>
          </cell>
          <cell r="E1004">
            <v>17</v>
          </cell>
          <cell r="G1004">
            <v>853169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</row>
        <row r="1005">
          <cell r="A1005" t="str">
            <v>450362</v>
          </cell>
          <cell r="B1005" t="str">
            <v>1251</v>
          </cell>
          <cell r="C1005" t="str">
            <v>12</v>
          </cell>
          <cell r="D1005" t="str">
            <v>21</v>
          </cell>
          <cell r="E1005">
            <v>17</v>
          </cell>
          <cell r="G1005">
            <v>853170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</row>
        <row r="1006">
          <cell r="A1006" t="str">
            <v>450362</v>
          </cell>
          <cell r="B1006" t="str">
            <v>1251</v>
          </cell>
          <cell r="C1006" t="str">
            <v>12</v>
          </cell>
          <cell r="D1006" t="str">
            <v>21</v>
          </cell>
          <cell r="E1006">
            <v>17</v>
          </cell>
          <cell r="G1006">
            <v>853233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</row>
        <row r="1007">
          <cell r="A1007" t="str">
            <v>450362</v>
          </cell>
          <cell r="B1007" t="str">
            <v>1251</v>
          </cell>
          <cell r="C1007" t="str">
            <v>12</v>
          </cell>
          <cell r="D1007" t="str">
            <v>21</v>
          </cell>
          <cell r="E1007">
            <v>17</v>
          </cell>
          <cell r="G1007">
            <v>853255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</row>
        <row r="1008">
          <cell r="A1008" t="str">
            <v>450362</v>
          </cell>
          <cell r="B1008" t="str">
            <v>1251</v>
          </cell>
          <cell r="C1008" t="str">
            <v>12</v>
          </cell>
          <cell r="D1008" t="str">
            <v>21</v>
          </cell>
          <cell r="E1008">
            <v>17</v>
          </cell>
          <cell r="G1008">
            <v>853266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A1009" t="str">
            <v>450362</v>
          </cell>
          <cell r="B1009" t="str">
            <v>1251</v>
          </cell>
          <cell r="C1009" t="str">
            <v>12</v>
          </cell>
          <cell r="D1009" t="str">
            <v>21</v>
          </cell>
          <cell r="E1009">
            <v>17</v>
          </cell>
          <cell r="G1009">
            <v>999999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</row>
        <row r="1010">
          <cell r="A1010" t="str">
            <v>450362</v>
          </cell>
          <cell r="B1010" t="str">
            <v>1251</v>
          </cell>
          <cell r="C1010" t="str">
            <v>12</v>
          </cell>
          <cell r="D1010" t="str">
            <v>21</v>
          </cell>
          <cell r="E1010">
            <v>33</v>
          </cell>
          <cell r="G1010">
            <v>552411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</row>
        <row r="1011">
          <cell r="A1011" t="str">
            <v>450362</v>
          </cell>
          <cell r="B1011" t="str">
            <v>1251</v>
          </cell>
          <cell r="C1011" t="str">
            <v>12</v>
          </cell>
          <cell r="D1011" t="str">
            <v>21</v>
          </cell>
          <cell r="E1011">
            <v>33</v>
          </cell>
          <cell r="G1011">
            <v>853169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</row>
        <row r="1012">
          <cell r="A1012" t="str">
            <v>450362</v>
          </cell>
          <cell r="B1012" t="str">
            <v>1251</v>
          </cell>
          <cell r="C1012" t="str">
            <v>12</v>
          </cell>
          <cell r="D1012" t="str">
            <v>21</v>
          </cell>
          <cell r="E1012">
            <v>33</v>
          </cell>
          <cell r="G1012">
            <v>853170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</row>
        <row r="1013">
          <cell r="A1013" t="str">
            <v>450362</v>
          </cell>
          <cell r="B1013" t="str">
            <v>1251</v>
          </cell>
          <cell r="C1013" t="str">
            <v>12</v>
          </cell>
          <cell r="D1013" t="str">
            <v>21</v>
          </cell>
          <cell r="E1013">
            <v>33</v>
          </cell>
          <cell r="G1013">
            <v>853233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</row>
        <row r="1014">
          <cell r="A1014" t="str">
            <v>450362</v>
          </cell>
          <cell r="B1014" t="str">
            <v>1251</v>
          </cell>
          <cell r="C1014" t="str">
            <v>12</v>
          </cell>
          <cell r="D1014" t="str">
            <v>21</v>
          </cell>
          <cell r="E1014">
            <v>33</v>
          </cell>
          <cell r="G1014">
            <v>853255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</row>
        <row r="1015">
          <cell r="A1015" t="str">
            <v>450362</v>
          </cell>
          <cell r="B1015" t="str">
            <v>1251</v>
          </cell>
          <cell r="C1015" t="str">
            <v>12</v>
          </cell>
          <cell r="D1015" t="str">
            <v>21</v>
          </cell>
          <cell r="E1015">
            <v>33</v>
          </cell>
          <cell r="G1015">
            <v>853266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</row>
        <row r="1016">
          <cell r="A1016" t="str">
            <v>450362</v>
          </cell>
          <cell r="B1016" t="str">
            <v>1251</v>
          </cell>
          <cell r="C1016" t="str">
            <v>12</v>
          </cell>
          <cell r="D1016" t="str">
            <v>21</v>
          </cell>
          <cell r="E1016">
            <v>33</v>
          </cell>
          <cell r="G1016">
            <v>999999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</row>
        <row r="1017">
          <cell r="A1017" t="str">
            <v>450362</v>
          </cell>
          <cell r="B1017" t="str">
            <v>1251</v>
          </cell>
          <cell r="C1017" t="str">
            <v>12</v>
          </cell>
          <cell r="D1017" t="str">
            <v>21</v>
          </cell>
          <cell r="E1017">
            <v>49</v>
          </cell>
          <cell r="G1017">
            <v>552411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</row>
        <row r="1018">
          <cell r="A1018" t="str">
            <v>450362</v>
          </cell>
          <cell r="B1018" t="str">
            <v>1251</v>
          </cell>
          <cell r="C1018" t="str">
            <v>12</v>
          </cell>
          <cell r="D1018" t="str">
            <v>21</v>
          </cell>
          <cell r="E1018">
            <v>49</v>
          </cell>
          <cell r="G1018">
            <v>853169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</row>
        <row r="1019">
          <cell r="A1019" t="str">
            <v>450362</v>
          </cell>
          <cell r="B1019" t="str">
            <v>1251</v>
          </cell>
          <cell r="C1019" t="str">
            <v>12</v>
          </cell>
          <cell r="D1019" t="str">
            <v>21</v>
          </cell>
          <cell r="E1019">
            <v>49</v>
          </cell>
          <cell r="G1019">
            <v>853170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306</v>
          </cell>
        </row>
        <row r="1020">
          <cell r="A1020" t="str">
            <v>450362</v>
          </cell>
          <cell r="B1020" t="str">
            <v>1251</v>
          </cell>
          <cell r="C1020" t="str">
            <v>12</v>
          </cell>
          <cell r="D1020" t="str">
            <v>21</v>
          </cell>
          <cell r="E1020">
            <v>49</v>
          </cell>
          <cell r="G1020">
            <v>853233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</row>
        <row r="1021">
          <cell r="A1021" t="str">
            <v>450362</v>
          </cell>
          <cell r="B1021" t="str">
            <v>1251</v>
          </cell>
          <cell r="C1021" t="str">
            <v>12</v>
          </cell>
          <cell r="D1021" t="str">
            <v>21</v>
          </cell>
          <cell r="E1021">
            <v>49</v>
          </cell>
          <cell r="G1021">
            <v>853255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</row>
        <row r="1022">
          <cell r="A1022" t="str">
            <v>450362</v>
          </cell>
          <cell r="B1022" t="str">
            <v>1251</v>
          </cell>
          <cell r="C1022" t="str">
            <v>12</v>
          </cell>
          <cell r="D1022" t="str">
            <v>21</v>
          </cell>
          <cell r="E1022">
            <v>49</v>
          </cell>
          <cell r="G1022">
            <v>853266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</row>
        <row r="1023">
          <cell r="A1023" t="str">
            <v>450362</v>
          </cell>
          <cell r="B1023" t="str">
            <v>1251</v>
          </cell>
          <cell r="C1023" t="str">
            <v>12</v>
          </cell>
          <cell r="D1023" t="str">
            <v>21</v>
          </cell>
          <cell r="E1023">
            <v>49</v>
          </cell>
          <cell r="G1023">
            <v>999999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306</v>
          </cell>
        </row>
        <row r="1024">
          <cell r="A1024" t="str">
            <v>450362</v>
          </cell>
          <cell r="B1024" t="str">
            <v>1251</v>
          </cell>
          <cell r="C1024" t="str">
            <v>12</v>
          </cell>
          <cell r="D1024" t="str">
            <v>21</v>
          </cell>
          <cell r="E1024">
            <v>65</v>
          </cell>
          <cell r="G1024">
            <v>552411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4781</v>
          </cell>
          <cell r="M1024">
            <v>0</v>
          </cell>
          <cell r="N1024">
            <v>4781</v>
          </cell>
          <cell r="O1024">
            <v>0</v>
          </cell>
          <cell r="P1024">
            <v>4781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</row>
        <row r="1025">
          <cell r="A1025" t="str">
            <v>450362</v>
          </cell>
          <cell r="B1025" t="str">
            <v>1251</v>
          </cell>
          <cell r="C1025" t="str">
            <v>12</v>
          </cell>
          <cell r="D1025" t="str">
            <v>21</v>
          </cell>
          <cell r="E1025">
            <v>65</v>
          </cell>
          <cell r="G1025">
            <v>853169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69510</v>
          </cell>
          <cell r="M1025">
            <v>0</v>
          </cell>
          <cell r="N1025">
            <v>69510</v>
          </cell>
          <cell r="O1025">
            <v>0</v>
          </cell>
          <cell r="P1025">
            <v>69510</v>
          </cell>
          <cell r="Q1025">
            <v>10</v>
          </cell>
          <cell r="R1025">
            <v>10</v>
          </cell>
          <cell r="S1025">
            <v>18</v>
          </cell>
          <cell r="T1025">
            <v>18</v>
          </cell>
          <cell r="U1025">
            <v>0</v>
          </cell>
          <cell r="V1025">
            <v>0</v>
          </cell>
          <cell r="W1025">
            <v>0</v>
          </cell>
        </row>
        <row r="1026">
          <cell r="A1026" t="str">
            <v>450362</v>
          </cell>
          <cell r="B1026" t="str">
            <v>1251</v>
          </cell>
          <cell r="C1026" t="str">
            <v>12</v>
          </cell>
          <cell r="D1026" t="str">
            <v>21</v>
          </cell>
          <cell r="E1026">
            <v>65</v>
          </cell>
          <cell r="G1026">
            <v>853170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228678</v>
          </cell>
          <cell r="M1026">
            <v>0</v>
          </cell>
          <cell r="N1026">
            <v>228678</v>
          </cell>
          <cell r="O1026">
            <v>0</v>
          </cell>
          <cell r="P1026">
            <v>228678</v>
          </cell>
          <cell r="Q1026">
            <v>29</v>
          </cell>
          <cell r="R1026">
            <v>29</v>
          </cell>
          <cell r="S1026">
            <v>48</v>
          </cell>
          <cell r="T1026">
            <v>48</v>
          </cell>
          <cell r="U1026">
            <v>0</v>
          </cell>
          <cell r="V1026">
            <v>0</v>
          </cell>
          <cell r="W1026">
            <v>0</v>
          </cell>
        </row>
        <row r="1027">
          <cell r="A1027" t="str">
            <v>450362</v>
          </cell>
          <cell r="B1027" t="str">
            <v>1251</v>
          </cell>
          <cell r="C1027" t="str">
            <v>12</v>
          </cell>
          <cell r="D1027" t="str">
            <v>21</v>
          </cell>
          <cell r="E1027">
            <v>65</v>
          </cell>
          <cell r="G1027">
            <v>853233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8177</v>
          </cell>
          <cell r="M1027">
            <v>0</v>
          </cell>
          <cell r="N1027">
            <v>8177</v>
          </cell>
          <cell r="O1027">
            <v>0</v>
          </cell>
          <cell r="P1027">
            <v>8177</v>
          </cell>
          <cell r="Q1027">
            <v>0</v>
          </cell>
          <cell r="R1027">
            <v>0</v>
          </cell>
          <cell r="S1027">
            <v>4</v>
          </cell>
          <cell r="T1027">
            <v>4</v>
          </cell>
          <cell r="U1027">
            <v>0</v>
          </cell>
          <cell r="V1027">
            <v>0</v>
          </cell>
          <cell r="W1027">
            <v>0</v>
          </cell>
        </row>
        <row r="1028">
          <cell r="A1028" t="str">
            <v>450362</v>
          </cell>
          <cell r="B1028" t="str">
            <v>1251</v>
          </cell>
          <cell r="C1028" t="str">
            <v>12</v>
          </cell>
          <cell r="D1028" t="str">
            <v>21</v>
          </cell>
          <cell r="E1028">
            <v>65</v>
          </cell>
          <cell r="G1028">
            <v>853255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11055</v>
          </cell>
          <cell r="M1028">
            <v>0</v>
          </cell>
          <cell r="N1028">
            <v>11055</v>
          </cell>
          <cell r="O1028">
            <v>0</v>
          </cell>
          <cell r="P1028">
            <v>11055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A1029" t="str">
            <v>450362</v>
          </cell>
          <cell r="B1029" t="str">
            <v>1251</v>
          </cell>
          <cell r="C1029" t="str">
            <v>12</v>
          </cell>
          <cell r="D1029" t="str">
            <v>21</v>
          </cell>
          <cell r="E1029">
            <v>65</v>
          </cell>
          <cell r="G1029">
            <v>853266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16774</v>
          </cell>
          <cell r="M1029">
            <v>0</v>
          </cell>
          <cell r="N1029">
            <v>16774</v>
          </cell>
          <cell r="O1029">
            <v>0</v>
          </cell>
          <cell r="P1029">
            <v>16774</v>
          </cell>
          <cell r="Q1029">
            <v>1</v>
          </cell>
          <cell r="R1029">
            <v>1</v>
          </cell>
          <cell r="S1029">
            <v>3</v>
          </cell>
          <cell r="T1029">
            <v>3</v>
          </cell>
          <cell r="U1029">
            <v>0</v>
          </cell>
          <cell r="V1029">
            <v>0</v>
          </cell>
          <cell r="W1029">
            <v>0</v>
          </cell>
        </row>
        <row r="1030">
          <cell r="A1030" t="str">
            <v>450362</v>
          </cell>
          <cell r="B1030" t="str">
            <v>1251</v>
          </cell>
          <cell r="C1030" t="str">
            <v>12</v>
          </cell>
          <cell r="D1030" t="str">
            <v>21</v>
          </cell>
          <cell r="E1030">
            <v>65</v>
          </cell>
          <cell r="G1030">
            <v>999999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338975</v>
          </cell>
          <cell r="M1030">
            <v>0</v>
          </cell>
          <cell r="N1030">
            <v>338975</v>
          </cell>
          <cell r="O1030">
            <v>0</v>
          </cell>
          <cell r="P1030">
            <v>338975</v>
          </cell>
          <cell r="Q1030">
            <v>40</v>
          </cell>
          <cell r="R1030">
            <v>40</v>
          </cell>
          <cell r="S1030">
            <v>73</v>
          </cell>
          <cell r="T1030">
            <v>73</v>
          </cell>
          <cell r="U1030">
            <v>0</v>
          </cell>
          <cell r="V1030">
            <v>0</v>
          </cell>
          <cell r="W1030">
            <v>0</v>
          </cell>
        </row>
        <row r="1031">
          <cell r="A1031" t="str">
            <v>450362</v>
          </cell>
          <cell r="B1031" t="str">
            <v>1251</v>
          </cell>
          <cell r="C1031" t="str">
            <v>12</v>
          </cell>
          <cell r="D1031" t="str">
            <v>22</v>
          </cell>
          <cell r="E1031">
            <v>1</v>
          </cell>
          <cell r="G1031">
            <v>552411</v>
          </cell>
          <cell r="H1031">
            <v>0</v>
          </cell>
          <cell r="I1031">
            <v>4453</v>
          </cell>
          <cell r="J1031">
            <v>726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</row>
        <row r="1032">
          <cell r="A1032" t="str">
            <v>450362</v>
          </cell>
          <cell r="B1032" t="str">
            <v>1251</v>
          </cell>
          <cell r="C1032" t="str">
            <v>12</v>
          </cell>
          <cell r="D1032" t="str">
            <v>22</v>
          </cell>
          <cell r="E1032">
            <v>1</v>
          </cell>
          <cell r="G1032">
            <v>701015</v>
          </cell>
          <cell r="H1032">
            <v>0</v>
          </cell>
          <cell r="I1032">
            <v>328</v>
          </cell>
          <cell r="J1032">
            <v>66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0</v>
          </cell>
          <cell r="W1032">
            <v>0</v>
          </cell>
        </row>
        <row r="1033">
          <cell r="A1033" t="str">
            <v>450362</v>
          </cell>
          <cell r="B1033" t="str">
            <v>1251</v>
          </cell>
          <cell r="C1033" t="str">
            <v>12</v>
          </cell>
          <cell r="D1033" t="str">
            <v>22</v>
          </cell>
          <cell r="E1033">
            <v>1</v>
          </cell>
          <cell r="G1033">
            <v>751922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</row>
        <row r="1034">
          <cell r="A1034" t="str">
            <v>450362</v>
          </cell>
          <cell r="B1034" t="str">
            <v>1251</v>
          </cell>
          <cell r="C1034" t="str">
            <v>12</v>
          </cell>
          <cell r="D1034" t="str">
            <v>22</v>
          </cell>
          <cell r="E1034">
            <v>1</v>
          </cell>
          <cell r="G1034">
            <v>853169</v>
          </cell>
          <cell r="H1034">
            <v>0</v>
          </cell>
          <cell r="I1034">
            <v>23860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A1035" t="str">
            <v>450362</v>
          </cell>
          <cell r="B1035" t="str">
            <v>1251</v>
          </cell>
          <cell r="C1035" t="str">
            <v>12</v>
          </cell>
          <cell r="D1035" t="str">
            <v>22</v>
          </cell>
          <cell r="E1035">
            <v>1</v>
          </cell>
          <cell r="G1035">
            <v>853170</v>
          </cell>
          <cell r="H1035">
            <v>0</v>
          </cell>
          <cell r="I1035">
            <v>93145</v>
          </cell>
          <cell r="J1035">
            <v>1655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1763</v>
          </cell>
          <cell r="P1035">
            <v>0</v>
          </cell>
          <cell r="Q1035">
            <v>0</v>
          </cell>
          <cell r="R1035">
            <v>1763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</row>
        <row r="1036">
          <cell r="A1036" t="str">
            <v>450362</v>
          </cell>
          <cell r="B1036" t="str">
            <v>1251</v>
          </cell>
          <cell r="C1036" t="str">
            <v>12</v>
          </cell>
          <cell r="D1036" t="str">
            <v>22</v>
          </cell>
          <cell r="E1036">
            <v>1</v>
          </cell>
          <cell r="G1036">
            <v>853233</v>
          </cell>
          <cell r="H1036">
            <v>0</v>
          </cell>
          <cell r="I1036">
            <v>825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</row>
        <row r="1037">
          <cell r="A1037" t="str">
            <v>450362</v>
          </cell>
          <cell r="B1037" t="str">
            <v>1251</v>
          </cell>
          <cell r="C1037" t="str">
            <v>12</v>
          </cell>
          <cell r="D1037" t="str">
            <v>22</v>
          </cell>
          <cell r="E1037">
            <v>1</v>
          </cell>
          <cell r="G1037">
            <v>853255</v>
          </cell>
          <cell r="H1037">
            <v>0</v>
          </cell>
          <cell r="I1037">
            <v>5363</v>
          </cell>
          <cell r="J1037">
            <v>848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</row>
        <row r="1038">
          <cell r="A1038" t="str">
            <v>450362</v>
          </cell>
          <cell r="B1038" t="str">
            <v>1251</v>
          </cell>
          <cell r="C1038" t="str">
            <v>12</v>
          </cell>
          <cell r="D1038" t="str">
            <v>22</v>
          </cell>
          <cell r="E1038">
            <v>1</v>
          </cell>
          <cell r="G1038">
            <v>853266</v>
          </cell>
          <cell r="H1038">
            <v>0</v>
          </cell>
          <cell r="I1038">
            <v>5437</v>
          </cell>
          <cell r="J1038">
            <v>3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</row>
        <row r="1039">
          <cell r="A1039" t="str">
            <v>450362</v>
          </cell>
          <cell r="B1039" t="str">
            <v>1251</v>
          </cell>
          <cell r="C1039" t="str">
            <v>12</v>
          </cell>
          <cell r="D1039" t="str">
            <v>22</v>
          </cell>
          <cell r="E1039">
            <v>1</v>
          </cell>
          <cell r="G1039">
            <v>999999</v>
          </cell>
          <cell r="H1039">
            <v>0</v>
          </cell>
          <cell r="I1039">
            <v>133411</v>
          </cell>
          <cell r="J1039">
            <v>3298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1763</v>
          </cell>
          <cell r="P1039">
            <v>0</v>
          </cell>
          <cell r="Q1039">
            <v>0</v>
          </cell>
          <cell r="R1039">
            <v>1763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</row>
        <row r="1040">
          <cell r="A1040" t="str">
            <v>450362</v>
          </cell>
          <cell r="B1040" t="str">
            <v>1251</v>
          </cell>
          <cell r="C1040" t="str">
            <v>12</v>
          </cell>
          <cell r="D1040" t="str">
            <v>22</v>
          </cell>
          <cell r="E1040">
            <v>17</v>
          </cell>
          <cell r="G1040">
            <v>552411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5179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</row>
        <row r="1041">
          <cell r="A1041" t="str">
            <v>450362</v>
          </cell>
          <cell r="B1041" t="str">
            <v>1251</v>
          </cell>
          <cell r="C1041" t="str">
            <v>12</v>
          </cell>
          <cell r="D1041" t="str">
            <v>22</v>
          </cell>
          <cell r="E1041">
            <v>17</v>
          </cell>
          <cell r="G1041">
            <v>701015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394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</row>
        <row r="1042">
          <cell r="A1042" t="str">
            <v>450362</v>
          </cell>
          <cell r="B1042" t="str">
            <v>1251</v>
          </cell>
          <cell r="C1042" t="str">
            <v>12</v>
          </cell>
          <cell r="D1042" t="str">
            <v>22</v>
          </cell>
          <cell r="E1042">
            <v>17</v>
          </cell>
          <cell r="G1042">
            <v>751922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</row>
        <row r="1043">
          <cell r="A1043" t="str">
            <v>450362</v>
          </cell>
          <cell r="B1043" t="str">
            <v>1251</v>
          </cell>
          <cell r="C1043" t="str">
            <v>12</v>
          </cell>
          <cell r="D1043" t="str">
            <v>22</v>
          </cell>
          <cell r="E1043">
            <v>17</v>
          </cell>
          <cell r="G1043">
            <v>853169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23860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</row>
        <row r="1044">
          <cell r="A1044" t="str">
            <v>450362</v>
          </cell>
          <cell r="B1044" t="str">
            <v>1251</v>
          </cell>
          <cell r="C1044" t="str">
            <v>12</v>
          </cell>
          <cell r="D1044" t="str">
            <v>22</v>
          </cell>
          <cell r="E1044">
            <v>17</v>
          </cell>
          <cell r="G1044">
            <v>853170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96563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</row>
        <row r="1045">
          <cell r="A1045" t="str">
            <v>450362</v>
          </cell>
          <cell r="B1045" t="str">
            <v>1251</v>
          </cell>
          <cell r="C1045" t="str">
            <v>12</v>
          </cell>
          <cell r="D1045" t="str">
            <v>22</v>
          </cell>
          <cell r="E1045">
            <v>17</v>
          </cell>
          <cell r="G1045">
            <v>853233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825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</row>
        <row r="1046">
          <cell r="A1046" t="str">
            <v>450362</v>
          </cell>
          <cell r="B1046" t="str">
            <v>1251</v>
          </cell>
          <cell r="C1046" t="str">
            <v>12</v>
          </cell>
          <cell r="D1046" t="str">
            <v>22</v>
          </cell>
          <cell r="E1046">
            <v>17</v>
          </cell>
          <cell r="G1046">
            <v>853255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6211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</row>
        <row r="1047">
          <cell r="A1047" t="str">
            <v>450362</v>
          </cell>
          <cell r="B1047" t="str">
            <v>1251</v>
          </cell>
          <cell r="C1047" t="str">
            <v>12</v>
          </cell>
          <cell r="D1047" t="str">
            <v>22</v>
          </cell>
          <cell r="E1047">
            <v>17</v>
          </cell>
          <cell r="G1047">
            <v>853266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5440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</row>
        <row r="1048">
          <cell r="A1048" t="str">
            <v>450362</v>
          </cell>
          <cell r="B1048" t="str">
            <v>1251</v>
          </cell>
          <cell r="C1048" t="str">
            <v>12</v>
          </cell>
          <cell r="D1048" t="str">
            <v>22</v>
          </cell>
          <cell r="E1048">
            <v>17</v>
          </cell>
          <cell r="G1048">
            <v>999999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138472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</row>
        <row r="1049">
          <cell r="A1049" t="str">
            <v>450362</v>
          </cell>
          <cell r="B1049" t="str">
            <v>1251</v>
          </cell>
          <cell r="C1049" t="str">
            <v>12</v>
          </cell>
          <cell r="D1049" t="str">
            <v>22</v>
          </cell>
          <cell r="E1049">
            <v>33</v>
          </cell>
          <cell r="G1049">
            <v>552411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</row>
        <row r="1050">
          <cell r="A1050" t="str">
            <v>450362</v>
          </cell>
          <cell r="B1050" t="str">
            <v>1251</v>
          </cell>
          <cell r="C1050" t="str">
            <v>12</v>
          </cell>
          <cell r="D1050" t="str">
            <v>22</v>
          </cell>
          <cell r="E1050">
            <v>33</v>
          </cell>
          <cell r="G1050">
            <v>701015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A1051" t="str">
            <v>450362</v>
          </cell>
          <cell r="B1051" t="str">
            <v>1251</v>
          </cell>
          <cell r="C1051" t="str">
            <v>12</v>
          </cell>
          <cell r="D1051" t="str">
            <v>22</v>
          </cell>
          <cell r="E1051">
            <v>33</v>
          </cell>
          <cell r="G1051">
            <v>751922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A1052" t="str">
            <v>450362</v>
          </cell>
          <cell r="B1052" t="str">
            <v>1251</v>
          </cell>
          <cell r="C1052" t="str">
            <v>12</v>
          </cell>
          <cell r="D1052" t="str">
            <v>22</v>
          </cell>
          <cell r="E1052">
            <v>33</v>
          </cell>
          <cell r="G1052">
            <v>853169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A1053" t="str">
            <v>450362</v>
          </cell>
          <cell r="B1053" t="str">
            <v>1251</v>
          </cell>
          <cell r="C1053" t="str">
            <v>12</v>
          </cell>
          <cell r="D1053" t="str">
            <v>22</v>
          </cell>
          <cell r="E1053">
            <v>33</v>
          </cell>
          <cell r="G1053">
            <v>853170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A1054" t="str">
            <v>450362</v>
          </cell>
          <cell r="B1054" t="str">
            <v>1251</v>
          </cell>
          <cell r="C1054" t="str">
            <v>12</v>
          </cell>
          <cell r="D1054" t="str">
            <v>22</v>
          </cell>
          <cell r="E1054">
            <v>33</v>
          </cell>
          <cell r="G1054">
            <v>853233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A1055" t="str">
            <v>450362</v>
          </cell>
          <cell r="B1055" t="str">
            <v>1251</v>
          </cell>
          <cell r="C1055" t="str">
            <v>12</v>
          </cell>
          <cell r="D1055" t="str">
            <v>22</v>
          </cell>
          <cell r="E1055">
            <v>33</v>
          </cell>
          <cell r="G1055">
            <v>853255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A1056" t="str">
            <v>450362</v>
          </cell>
          <cell r="B1056" t="str">
            <v>1251</v>
          </cell>
          <cell r="C1056" t="str">
            <v>12</v>
          </cell>
          <cell r="D1056" t="str">
            <v>22</v>
          </cell>
          <cell r="E1056">
            <v>33</v>
          </cell>
          <cell r="G1056">
            <v>853266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A1057" t="str">
            <v>450362</v>
          </cell>
          <cell r="B1057" t="str">
            <v>1251</v>
          </cell>
          <cell r="C1057" t="str">
            <v>12</v>
          </cell>
          <cell r="D1057" t="str">
            <v>22</v>
          </cell>
          <cell r="E1057">
            <v>33</v>
          </cell>
          <cell r="G1057">
            <v>999999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A1058" t="str">
            <v>450362</v>
          </cell>
          <cell r="B1058" t="str">
            <v>1251</v>
          </cell>
          <cell r="C1058" t="str">
            <v>12</v>
          </cell>
          <cell r="D1058" t="str">
            <v>22</v>
          </cell>
          <cell r="E1058">
            <v>49</v>
          </cell>
          <cell r="G1058">
            <v>552411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5179</v>
          </cell>
          <cell r="P1058">
            <v>0</v>
          </cell>
          <cell r="Q1058">
            <v>5179</v>
          </cell>
          <cell r="R1058">
            <v>0</v>
          </cell>
          <cell r="S1058">
            <v>5179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A1059" t="str">
            <v>450362</v>
          </cell>
          <cell r="B1059" t="str">
            <v>1251</v>
          </cell>
          <cell r="C1059" t="str">
            <v>12</v>
          </cell>
          <cell r="D1059" t="str">
            <v>22</v>
          </cell>
          <cell r="E1059">
            <v>49</v>
          </cell>
          <cell r="G1059">
            <v>701015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394</v>
          </cell>
          <cell r="P1059">
            <v>0</v>
          </cell>
          <cell r="Q1059">
            <v>394</v>
          </cell>
          <cell r="R1059">
            <v>0</v>
          </cell>
          <cell r="S1059">
            <v>394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A1060" t="str">
            <v>450362</v>
          </cell>
          <cell r="B1060" t="str">
            <v>1251</v>
          </cell>
          <cell r="C1060" t="str">
            <v>12</v>
          </cell>
          <cell r="D1060" t="str">
            <v>22</v>
          </cell>
          <cell r="E1060">
            <v>49</v>
          </cell>
          <cell r="G1060">
            <v>751922</v>
          </cell>
          <cell r="H1060">
            <v>202937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202937</v>
          </cell>
          <cell r="P1060">
            <v>0</v>
          </cell>
          <cell r="Q1060">
            <v>202937</v>
          </cell>
          <cell r="R1060">
            <v>0</v>
          </cell>
          <cell r="S1060">
            <v>202937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A1061" t="str">
            <v>450362</v>
          </cell>
          <cell r="B1061" t="str">
            <v>1251</v>
          </cell>
          <cell r="C1061" t="str">
            <v>12</v>
          </cell>
          <cell r="D1061" t="str">
            <v>22</v>
          </cell>
          <cell r="E1061">
            <v>49</v>
          </cell>
          <cell r="G1061">
            <v>853169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23860</v>
          </cell>
          <cell r="P1061">
            <v>0</v>
          </cell>
          <cell r="Q1061">
            <v>23860</v>
          </cell>
          <cell r="R1061">
            <v>0</v>
          </cell>
          <cell r="S1061">
            <v>23860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A1062" t="str">
            <v>450362</v>
          </cell>
          <cell r="B1062" t="str">
            <v>1251</v>
          </cell>
          <cell r="C1062" t="str">
            <v>12</v>
          </cell>
          <cell r="D1062" t="str">
            <v>22</v>
          </cell>
          <cell r="E1062">
            <v>49</v>
          </cell>
          <cell r="G1062">
            <v>853170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96563</v>
          </cell>
          <cell r="P1062">
            <v>3883</v>
          </cell>
          <cell r="Q1062">
            <v>100446</v>
          </cell>
          <cell r="R1062">
            <v>0</v>
          </cell>
          <cell r="S1062">
            <v>100446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A1063" t="str">
            <v>450362</v>
          </cell>
          <cell r="B1063" t="str">
            <v>1251</v>
          </cell>
          <cell r="C1063" t="str">
            <v>12</v>
          </cell>
          <cell r="D1063" t="str">
            <v>22</v>
          </cell>
          <cell r="E1063">
            <v>49</v>
          </cell>
          <cell r="G1063">
            <v>853233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825</v>
          </cell>
          <cell r="P1063">
            <v>0</v>
          </cell>
          <cell r="Q1063">
            <v>825</v>
          </cell>
          <cell r="R1063">
            <v>0</v>
          </cell>
          <cell r="S1063">
            <v>825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A1064" t="str">
            <v>450362</v>
          </cell>
          <cell r="B1064" t="str">
            <v>1251</v>
          </cell>
          <cell r="C1064" t="str">
            <v>12</v>
          </cell>
          <cell r="D1064" t="str">
            <v>22</v>
          </cell>
          <cell r="E1064">
            <v>49</v>
          </cell>
          <cell r="G1064">
            <v>853255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6211</v>
          </cell>
          <cell r="P1064">
            <v>0</v>
          </cell>
          <cell r="Q1064">
            <v>6211</v>
          </cell>
          <cell r="R1064">
            <v>0</v>
          </cell>
          <cell r="S1064">
            <v>6211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A1065" t="str">
            <v>450362</v>
          </cell>
          <cell r="B1065" t="str">
            <v>1251</v>
          </cell>
          <cell r="C1065" t="str">
            <v>12</v>
          </cell>
          <cell r="D1065" t="str">
            <v>22</v>
          </cell>
          <cell r="E1065">
            <v>49</v>
          </cell>
          <cell r="G1065">
            <v>853266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5440</v>
          </cell>
          <cell r="P1065">
            <v>0</v>
          </cell>
          <cell r="Q1065">
            <v>5440</v>
          </cell>
          <cell r="R1065">
            <v>0</v>
          </cell>
          <cell r="S1065">
            <v>5440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A1066" t="str">
            <v>450362</v>
          </cell>
          <cell r="B1066" t="str">
            <v>1251</v>
          </cell>
          <cell r="C1066" t="str">
            <v>12</v>
          </cell>
          <cell r="D1066" t="str">
            <v>22</v>
          </cell>
          <cell r="E1066">
            <v>49</v>
          </cell>
          <cell r="G1066">
            <v>999999</v>
          </cell>
          <cell r="H1066">
            <v>202937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341409</v>
          </cell>
          <cell r="P1066">
            <v>3883</v>
          </cell>
          <cell r="Q1066">
            <v>345292</v>
          </cell>
          <cell r="R1066">
            <v>0</v>
          </cell>
          <cell r="S1066">
            <v>345292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A1067" t="str">
            <v>450362</v>
          </cell>
          <cell r="B1067" t="str">
            <v>1251</v>
          </cell>
          <cell r="C1067" t="str">
            <v>12</v>
          </cell>
          <cell r="D1067" t="str">
            <v>23</v>
          </cell>
          <cell r="E1067">
            <v>1</v>
          </cell>
          <cell r="G1067">
            <v>177911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177911</v>
          </cell>
          <cell r="N1067">
            <v>168109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A1068" t="str">
            <v>450362</v>
          </cell>
          <cell r="B1068" t="str">
            <v>1251</v>
          </cell>
          <cell r="C1068" t="str">
            <v>12</v>
          </cell>
          <cell r="D1068" t="str">
            <v>23</v>
          </cell>
          <cell r="E1068">
            <v>2</v>
          </cell>
          <cell r="G1068">
            <v>56673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56673</v>
          </cell>
          <cell r="N1068">
            <v>53644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A1069" t="str">
            <v>450362</v>
          </cell>
          <cell r="B1069" t="str">
            <v>1251</v>
          </cell>
          <cell r="C1069" t="str">
            <v>12</v>
          </cell>
          <cell r="D1069" t="str">
            <v>23</v>
          </cell>
          <cell r="E1069">
            <v>3</v>
          </cell>
          <cell r="G1069">
            <v>112932</v>
          </cell>
          <cell r="H1069">
            <v>0</v>
          </cell>
          <cell r="I1069">
            <v>0</v>
          </cell>
          <cell r="J1069">
            <v>14974</v>
          </cell>
          <cell r="K1069">
            <v>0</v>
          </cell>
          <cell r="L1069">
            <v>14974</v>
          </cell>
          <cell r="M1069">
            <v>127906</v>
          </cell>
          <cell r="N1069">
            <v>116596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A1070" t="str">
            <v>450362</v>
          </cell>
          <cell r="B1070" t="str">
            <v>1251</v>
          </cell>
          <cell r="C1070" t="str">
            <v>12</v>
          </cell>
          <cell r="D1070" t="str">
            <v>23</v>
          </cell>
          <cell r="E1070">
            <v>4</v>
          </cell>
          <cell r="G1070">
            <v>0</v>
          </cell>
          <cell r="H1070">
            <v>0</v>
          </cell>
          <cell r="I1070">
            <v>0</v>
          </cell>
          <cell r="J1070">
            <v>482</v>
          </cell>
          <cell r="K1070">
            <v>0</v>
          </cell>
          <cell r="L1070">
            <v>482</v>
          </cell>
          <cell r="M1070">
            <v>482</v>
          </cell>
          <cell r="N1070">
            <v>320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A1071" t="str">
            <v>450362</v>
          </cell>
          <cell r="B1071" t="str">
            <v>1251</v>
          </cell>
          <cell r="C1071" t="str">
            <v>12</v>
          </cell>
          <cell r="D1071" t="str">
            <v>23</v>
          </cell>
          <cell r="E1071">
            <v>5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A1072" t="str">
            <v>450362</v>
          </cell>
          <cell r="B1072" t="str">
            <v>1251</v>
          </cell>
          <cell r="C1072" t="str">
            <v>12</v>
          </cell>
          <cell r="D1072" t="str">
            <v>23</v>
          </cell>
          <cell r="E1072">
            <v>6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A1073" t="str">
            <v>450362</v>
          </cell>
          <cell r="B1073" t="str">
            <v>1251</v>
          </cell>
          <cell r="C1073" t="str">
            <v>12</v>
          </cell>
          <cell r="D1073" t="str">
            <v>23</v>
          </cell>
          <cell r="E1073">
            <v>7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A1074" t="str">
            <v>450362</v>
          </cell>
          <cell r="B1074" t="str">
            <v>1251</v>
          </cell>
          <cell r="C1074" t="str">
            <v>12</v>
          </cell>
          <cell r="D1074" t="str">
            <v>23</v>
          </cell>
          <cell r="E1074">
            <v>8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A1075" t="str">
            <v>450362</v>
          </cell>
          <cell r="B1075" t="str">
            <v>1251</v>
          </cell>
          <cell r="C1075" t="str">
            <v>12</v>
          </cell>
          <cell r="D1075" t="str">
            <v>23</v>
          </cell>
          <cell r="E1075">
            <v>9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A1076" t="str">
            <v>450362</v>
          </cell>
          <cell r="B1076" t="str">
            <v>1251</v>
          </cell>
          <cell r="C1076" t="str">
            <v>12</v>
          </cell>
          <cell r="D1076" t="str">
            <v>23</v>
          </cell>
          <cell r="E1076">
            <v>10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A1077" t="str">
            <v>450362</v>
          </cell>
          <cell r="B1077" t="str">
            <v>1251</v>
          </cell>
          <cell r="C1077" t="str">
            <v>12</v>
          </cell>
          <cell r="D1077" t="str">
            <v>23</v>
          </cell>
          <cell r="E1077">
            <v>11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A1078" t="str">
            <v>450362</v>
          </cell>
          <cell r="B1078" t="str">
            <v>1251</v>
          </cell>
          <cell r="C1078" t="str">
            <v>12</v>
          </cell>
          <cell r="D1078" t="str">
            <v>23</v>
          </cell>
          <cell r="E1078">
            <v>12</v>
          </cell>
          <cell r="G1078">
            <v>347516</v>
          </cell>
          <cell r="H1078">
            <v>0</v>
          </cell>
          <cell r="I1078">
            <v>0</v>
          </cell>
          <cell r="J1078">
            <v>15456</v>
          </cell>
          <cell r="K1078">
            <v>0</v>
          </cell>
          <cell r="L1078">
            <v>15456</v>
          </cell>
          <cell r="M1078">
            <v>362972</v>
          </cell>
          <cell r="N1078">
            <v>338669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</row>
        <row r="1079">
          <cell r="A1079" t="str">
            <v>450362</v>
          </cell>
          <cell r="B1079" t="str">
            <v>1251</v>
          </cell>
          <cell r="C1079" t="str">
            <v>12</v>
          </cell>
          <cell r="D1079" t="str">
            <v>23</v>
          </cell>
          <cell r="E1079">
            <v>13</v>
          </cell>
          <cell r="G1079">
            <v>0</v>
          </cell>
          <cell r="H1079">
            <v>0</v>
          </cell>
          <cell r="I1079">
            <v>0</v>
          </cell>
          <cell r="J1079">
            <v>581</v>
          </cell>
          <cell r="K1079">
            <v>0</v>
          </cell>
          <cell r="L1079">
            <v>581</v>
          </cell>
          <cell r="M1079">
            <v>581</v>
          </cell>
          <cell r="N1079">
            <v>306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</row>
        <row r="1080">
          <cell r="A1080" t="str">
            <v>450362</v>
          </cell>
          <cell r="B1080" t="str">
            <v>1251</v>
          </cell>
          <cell r="C1080" t="str">
            <v>12</v>
          </cell>
          <cell r="D1080" t="str">
            <v>23</v>
          </cell>
          <cell r="E1080">
            <v>14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</row>
        <row r="1081">
          <cell r="A1081" t="str">
            <v>450362</v>
          </cell>
          <cell r="B1081" t="str">
            <v>1251</v>
          </cell>
          <cell r="C1081" t="str">
            <v>12</v>
          </cell>
          <cell r="D1081" t="str">
            <v>23</v>
          </cell>
          <cell r="E1081">
            <v>15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A1082" t="str">
            <v>450362</v>
          </cell>
          <cell r="B1082" t="str">
            <v>1251</v>
          </cell>
          <cell r="C1082" t="str">
            <v>12</v>
          </cell>
          <cell r="D1082" t="str">
            <v>23</v>
          </cell>
          <cell r="E1082">
            <v>16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</row>
        <row r="1083">
          <cell r="A1083" t="str">
            <v>450362</v>
          </cell>
          <cell r="B1083" t="str">
            <v>1251</v>
          </cell>
          <cell r="C1083" t="str">
            <v>12</v>
          </cell>
          <cell r="D1083" t="str">
            <v>23</v>
          </cell>
          <cell r="E1083">
            <v>17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</row>
        <row r="1084">
          <cell r="A1084" t="str">
            <v>450362</v>
          </cell>
          <cell r="B1084" t="str">
            <v>1251</v>
          </cell>
          <cell r="C1084" t="str">
            <v>12</v>
          </cell>
          <cell r="D1084" t="str">
            <v>23</v>
          </cell>
          <cell r="E1084">
            <v>18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</row>
        <row r="1085">
          <cell r="A1085" t="str">
            <v>450362</v>
          </cell>
          <cell r="B1085" t="str">
            <v>1251</v>
          </cell>
          <cell r="C1085" t="str">
            <v>12</v>
          </cell>
          <cell r="D1085" t="str">
            <v>23</v>
          </cell>
          <cell r="E1085">
            <v>19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A1086" t="str">
            <v>450362</v>
          </cell>
          <cell r="B1086" t="str">
            <v>1251</v>
          </cell>
          <cell r="C1086" t="str">
            <v>12</v>
          </cell>
          <cell r="D1086" t="str">
            <v>23</v>
          </cell>
          <cell r="E1086">
            <v>20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</row>
        <row r="1087">
          <cell r="A1087" t="str">
            <v>450362</v>
          </cell>
          <cell r="B1087" t="str">
            <v>1251</v>
          </cell>
          <cell r="C1087" t="str">
            <v>12</v>
          </cell>
          <cell r="D1087" t="str">
            <v>23</v>
          </cell>
          <cell r="E1087">
            <v>21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A1088" t="str">
            <v>450362</v>
          </cell>
          <cell r="B1088" t="str">
            <v>1251</v>
          </cell>
          <cell r="C1088" t="str">
            <v>12</v>
          </cell>
          <cell r="D1088" t="str">
            <v>23</v>
          </cell>
          <cell r="E1088">
            <v>22</v>
          </cell>
          <cell r="G1088">
            <v>0</v>
          </cell>
          <cell r="H1088">
            <v>0</v>
          </cell>
          <cell r="I1088">
            <v>0</v>
          </cell>
          <cell r="J1088">
            <v>581</v>
          </cell>
          <cell r="K1088">
            <v>0</v>
          </cell>
          <cell r="L1088">
            <v>581</v>
          </cell>
          <cell r="M1088">
            <v>581</v>
          </cell>
          <cell r="N1088">
            <v>306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</row>
        <row r="1089">
          <cell r="A1089" t="str">
            <v>450362</v>
          </cell>
          <cell r="B1089" t="str">
            <v>1251</v>
          </cell>
          <cell r="C1089" t="str">
            <v>12</v>
          </cell>
          <cell r="D1089" t="str">
            <v>23</v>
          </cell>
          <cell r="E1089">
            <v>23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</row>
        <row r="1090">
          <cell r="A1090" t="str">
            <v>450362</v>
          </cell>
          <cell r="B1090" t="str">
            <v>1251</v>
          </cell>
          <cell r="C1090" t="str">
            <v>12</v>
          </cell>
          <cell r="D1090" t="str">
            <v>23</v>
          </cell>
          <cell r="E1090">
            <v>24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</row>
        <row r="1091">
          <cell r="A1091" t="str">
            <v>450362</v>
          </cell>
          <cell r="B1091" t="str">
            <v>1251</v>
          </cell>
          <cell r="C1091" t="str">
            <v>12</v>
          </cell>
          <cell r="D1091" t="str">
            <v>23</v>
          </cell>
          <cell r="E1091">
            <v>25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</row>
        <row r="1092">
          <cell r="A1092" t="str">
            <v>450362</v>
          </cell>
          <cell r="B1092" t="str">
            <v>1251</v>
          </cell>
          <cell r="C1092" t="str">
            <v>12</v>
          </cell>
          <cell r="D1092" t="str">
            <v>23</v>
          </cell>
          <cell r="E1092">
            <v>26</v>
          </cell>
          <cell r="G1092">
            <v>347516</v>
          </cell>
          <cell r="H1092">
            <v>0</v>
          </cell>
          <cell r="I1092">
            <v>0</v>
          </cell>
          <cell r="J1092">
            <v>16037</v>
          </cell>
          <cell r="K1092">
            <v>0</v>
          </cell>
          <cell r="L1092">
            <v>16037</v>
          </cell>
          <cell r="M1092">
            <v>363553</v>
          </cell>
          <cell r="N1092">
            <v>338975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</row>
        <row r="1093">
          <cell r="A1093" t="str">
            <v>450362</v>
          </cell>
          <cell r="B1093" t="str">
            <v>1251</v>
          </cell>
          <cell r="C1093" t="str">
            <v>12</v>
          </cell>
          <cell r="D1093" t="str">
            <v>23</v>
          </cell>
          <cell r="E1093">
            <v>27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</row>
        <row r="1094">
          <cell r="A1094" t="str">
            <v>450362</v>
          </cell>
          <cell r="B1094" t="str">
            <v>1251</v>
          </cell>
          <cell r="C1094" t="str">
            <v>12</v>
          </cell>
          <cell r="D1094" t="str">
            <v>23</v>
          </cell>
          <cell r="E1094">
            <v>28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-3883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5">
          <cell r="A1095" t="str">
            <v>450362</v>
          </cell>
          <cell r="B1095" t="str">
            <v>1251</v>
          </cell>
          <cell r="C1095" t="str">
            <v>12</v>
          </cell>
          <cell r="D1095" t="str">
            <v>23</v>
          </cell>
          <cell r="E1095">
            <v>29</v>
          </cell>
          <cell r="G1095">
            <v>347516</v>
          </cell>
          <cell r="H1095">
            <v>0</v>
          </cell>
          <cell r="I1095">
            <v>0</v>
          </cell>
          <cell r="J1095">
            <v>16037</v>
          </cell>
          <cell r="K1095">
            <v>0</v>
          </cell>
          <cell r="L1095">
            <v>16037</v>
          </cell>
          <cell r="M1095">
            <v>363553</v>
          </cell>
          <cell r="N1095">
            <v>335092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A1096" t="str">
            <v>450362</v>
          </cell>
          <cell r="B1096" t="str">
            <v>1251</v>
          </cell>
          <cell r="C1096" t="str">
            <v>12</v>
          </cell>
          <cell r="D1096" t="str">
            <v>23</v>
          </cell>
          <cell r="E1096">
            <v>30</v>
          </cell>
          <cell r="G1096">
            <v>126481</v>
          </cell>
          <cell r="H1096">
            <v>0</v>
          </cell>
          <cell r="I1096">
            <v>0</v>
          </cell>
          <cell r="J1096">
            <v>12154</v>
          </cell>
          <cell r="K1096">
            <v>0</v>
          </cell>
          <cell r="L1096">
            <v>12154</v>
          </cell>
          <cell r="M1096">
            <v>138635</v>
          </cell>
          <cell r="N1096">
            <v>138472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</row>
        <row r="1097">
          <cell r="A1097" t="str">
            <v>450362</v>
          </cell>
          <cell r="B1097" t="str">
            <v>1251</v>
          </cell>
          <cell r="C1097" t="str">
            <v>12</v>
          </cell>
          <cell r="D1097" t="str">
            <v>23</v>
          </cell>
          <cell r="E1097">
            <v>31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</row>
        <row r="1098">
          <cell r="A1098" t="str">
            <v>450362</v>
          </cell>
          <cell r="B1098" t="str">
            <v>1251</v>
          </cell>
          <cell r="C1098" t="str">
            <v>12</v>
          </cell>
          <cell r="D1098" t="str">
            <v>23</v>
          </cell>
          <cell r="E1098">
            <v>32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</row>
        <row r="1099">
          <cell r="A1099" t="str">
            <v>450362</v>
          </cell>
          <cell r="B1099" t="str">
            <v>1251</v>
          </cell>
          <cell r="C1099" t="str">
            <v>12</v>
          </cell>
          <cell r="D1099" t="str">
            <v>23</v>
          </cell>
          <cell r="E1099">
            <v>33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</row>
        <row r="1100">
          <cell r="A1100" t="str">
            <v>450362</v>
          </cell>
          <cell r="B1100" t="str">
            <v>1251</v>
          </cell>
          <cell r="C1100" t="str">
            <v>12</v>
          </cell>
          <cell r="D1100" t="str">
            <v>23</v>
          </cell>
          <cell r="E1100">
            <v>34</v>
          </cell>
          <cell r="G1100">
            <v>221035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221035</v>
          </cell>
          <cell r="N1100">
            <v>202937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</row>
        <row r="1101">
          <cell r="A1101" t="str">
            <v>450362</v>
          </cell>
          <cell r="B1101" t="str">
            <v>1251</v>
          </cell>
          <cell r="C1101" t="str">
            <v>12</v>
          </cell>
          <cell r="D1101" t="str">
            <v>23</v>
          </cell>
          <cell r="E1101">
            <v>35</v>
          </cell>
          <cell r="G1101">
            <v>0</v>
          </cell>
          <cell r="H1101">
            <v>0</v>
          </cell>
          <cell r="I1101">
            <v>0</v>
          </cell>
          <cell r="J1101">
            <v>3883</v>
          </cell>
          <cell r="K1101">
            <v>0</v>
          </cell>
          <cell r="L1101">
            <v>3883</v>
          </cell>
          <cell r="M1101">
            <v>3883</v>
          </cell>
          <cell r="N1101">
            <v>3883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</row>
        <row r="1102">
          <cell r="A1102" t="str">
            <v>450362</v>
          </cell>
          <cell r="B1102" t="str">
            <v>1251</v>
          </cell>
          <cell r="C1102" t="str">
            <v>12</v>
          </cell>
          <cell r="D1102" t="str">
            <v>23</v>
          </cell>
          <cell r="E1102">
            <v>36</v>
          </cell>
          <cell r="G1102">
            <v>347516</v>
          </cell>
          <cell r="H1102">
            <v>0</v>
          </cell>
          <cell r="I1102">
            <v>0</v>
          </cell>
          <cell r="J1102">
            <v>16037</v>
          </cell>
          <cell r="K1102">
            <v>0</v>
          </cell>
          <cell r="L1102">
            <v>16037</v>
          </cell>
          <cell r="M1102">
            <v>363553</v>
          </cell>
          <cell r="N1102">
            <v>345292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A1103" t="str">
            <v>450362</v>
          </cell>
          <cell r="B1103" t="str">
            <v>1251</v>
          </cell>
          <cell r="C1103" t="str">
            <v>12</v>
          </cell>
          <cell r="D1103" t="str">
            <v>23</v>
          </cell>
          <cell r="E1103">
            <v>37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A1104" t="str">
            <v>450362</v>
          </cell>
          <cell r="B1104" t="str">
            <v>1251</v>
          </cell>
          <cell r="C1104" t="str">
            <v>12</v>
          </cell>
          <cell r="D1104" t="str">
            <v>23</v>
          </cell>
          <cell r="E1104">
            <v>38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A1105" t="str">
            <v>450362</v>
          </cell>
          <cell r="B1105" t="str">
            <v>1251</v>
          </cell>
          <cell r="C1105" t="str">
            <v>12</v>
          </cell>
          <cell r="D1105" t="str">
            <v>23</v>
          </cell>
          <cell r="E1105">
            <v>39</v>
          </cell>
          <cell r="G1105">
            <v>347516</v>
          </cell>
          <cell r="H1105">
            <v>0</v>
          </cell>
          <cell r="I1105">
            <v>0</v>
          </cell>
          <cell r="J1105">
            <v>16037</v>
          </cell>
          <cell r="K1105">
            <v>0</v>
          </cell>
          <cell r="L1105">
            <v>16037</v>
          </cell>
          <cell r="M1105">
            <v>363553</v>
          </cell>
          <cell r="N1105">
            <v>345292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A1106" t="str">
            <v>450362</v>
          </cell>
          <cell r="B1106" t="str">
            <v>1251</v>
          </cell>
          <cell r="C1106" t="str">
            <v>12</v>
          </cell>
          <cell r="D1106" t="str">
            <v>24</v>
          </cell>
          <cell r="E1106">
            <v>1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341409</v>
          </cell>
          <cell r="M1106">
            <v>335092</v>
          </cell>
          <cell r="N1106">
            <v>6317</v>
          </cell>
          <cell r="O1106">
            <v>0</v>
          </cell>
          <cell r="P1106">
            <v>0</v>
          </cell>
          <cell r="Q1106">
            <v>0</v>
          </cell>
          <cell r="R1106">
            <v>6317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</row>
        <row r="1107">
          <cell r="A1107" t="str">
            <v>450362</v>
          </cell>
          <cell r="B1107" t="str">
            <v>1251</v>
          </cell>
          <cell r="C1107" t="str">
            <v>12</v>
          </cell>
          <cell r="D1107" t="str">
            <v>29</v>
          </cell>
          <cell r="E1107">
            <v>1</v>
          </cell>
          <cell r="G1107">
            <v>0</v>
          </cell>
          <cell r="H1107">
            <v>6317</v>
          </cell>
          <cell r="I1107">
            <v>0</v>
          </cell>
          <cell r="J1107">
            <v>0</v>
          </cell>
          <cell r="K1107">
            <v>0</v>
          </cell>
          <cell r="L1107">
            <v>6317</v>
          </cell>
          <cell r="M1107">
            <v>3842</v>
          </cell>
          <cell r="N1107">
            <v>0</v>
          </cell>
          <cell r="O1107">
            <v>0</v>
          </cell>
          <cell r="P1107">
            <v>0</v>
          </cell>
          <cell r="Q1107">
            <v>41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A1108" t="str">
            <v>450362</v>
          </cell>
          <cell r="B1108" t="str">
            <v>1251</v>
          </cell>
          <cell r="C1108" t="str">
            <v>12</v>
          </cell>
          <cell r="D1108" t="str">
            <v>29</v>
          </cell>
          <cell r="E1108">
            <v>9</v>
          </cell>
          <cell r="G1108">
            <v>0</v>
          </cell>
          <cell r="H1108">
            <v>0</v>
          </cell>
          <cell r="I1108">
            <v>3883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3883</v>
          </cell>
          <cell r="P1108">
            <v>6317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9738</v>
          </cell>
          <cell r="V1108">
            <v>18098</v>
          </cell>
          <cell r="W1108">
            <v>0</v>
          </cell>
        </row>
        <row r="1109">
          <cell r="A1109" t="str">
            <v>450362</v>
          </cell>
          <cell r="B1109" t="str">
            <v>1251</v>
          </cell>
          <cell r="C1109" t="str">
            <v>12</v>
          </cell>
          <cell r="D1109" t="str">
            <v>29</v>
          </cell>
          <cell r="E1109">
            <v>17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13621</v>
          </cell>
          <cell r="L1109">
            <v>24415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13621</v>
          </cell>
          <cell r="R1109">
            <v>24415</v>
          </cell>
          <cell r="S1109">
            <v>0</v>
          </cell>
          <cell r="T1109">
            <v>0</v>
          </cell>
          <cell r="U1109">
            <v>13621</v>
          </cell>
          <cell r="V1109">
            <v>24415</v>
          </cell>
          <cell r="W1109">
            <v>0</v>
          </cell>
        </row>
        <row r="1110">
          <cell r="A1110" t="str">
            <v>450362</v>
          </cell>
          <cell r="B1110" t="str">
            <v>1251</v>
          </cell>
          <cell r="C1110" t="str">
            <v>12</v>
          </cell>
          <cell r="D1110" t="str">
            <v>29</v>
          </cell>
          <cell r="E1110">
            <v>25</v>
          </cell>
          <cell r="G1110">
            <v>0</v>
          </cell>
          <cell r="H1110">
            <v>0</v>
          </cell>
          <cell r="I1110">
            <v>27242</v>
          </cell>
          <cell r="J1110">
            <v>48830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</row>
        <row r="1111">
          <cell r="A1111" t="str">
            <v>450362</v>
          </cell>
          <cell r="B1111" t="str">
            <v>1251</v>
          </cell>
          <cell r="C1111" t="str">
            <v>12</v>
          </cell>
          <cell r="D1111" t="str">
            <v>34</v>
          </cell>
          <cell r="E1111">
            <v>0</v>
          </cell>
          <cell r="G1111">
            <v>84</v>
          </cell>
          <cell r="H1111">
            <v>2329</v>
          </cell>
          <cell r="I1111">
            <v>0</v>
          </cell>
          <cell r="J1111">
            <v>0</v>
          </cell>
          <cell r="K1111">
            <v>583</v>
          </cell>
          <cell r="L1111">
            <v>0</v>
          </cell>
          <cell r="M1111">
            <v>0</v>
          </cell>
          <cell r="N1111">
            <v>191</v>
          </cell>
          <cell r="O1111">
            <v>2912</v>
          </cell>
          <cell r="P1111">
            <v>144</v>
          </cell>
          <cell r="Q1111">
            <v>1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</row>
        <row r="1112">
          <cell r="A1112" t="str">
            <v>450362</v>
          </cell>
          <cell r="B1112" t="str">
            <v>1251</v>
          </cell>
          <cell r="C1112" t="str">
            <v>12</v>
          </cell>
          <cell r="D1112" t="str">
            <v>34</v>
          </cell>
          <cell r="E1112">
            <v>0</v>
          </cell>
          <cell r="G1112">
            <v>89</v>
          </cell>
          <cell r="H1112">
            <v>10276</v>
          </cell>
          <cell r="I1112">
            <v>0</v>
          </cell>
          <cell r="J1112">
            <v>0</v>
          </cell>
          <cell r="K1112">
            <v>1967</v>
          </cell>
          <cell r="L1112">
            <v>0</v>
          </cell>
          <cell r="M1112">
            <v>0</v>
          </cell>
          <cell r="N1112">
            <v>884</v>
          </cell>
          <cell r="O1112">
            <v>12243</v>
          </cell>
          <cell r="P1112">
            <v>434</v>
          </cell>
          <cell r="Q1112">
            <v>7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</row>
        <row r="1113">
          <cell r="A1113" t="str">
            <v>450362</v>
          </cell>
          <cell r="B1113" t="str">
            <v>1251</v>
          </cell>
          <cell r="C1113" t="str">
            <v>12</v>
          </cell>
          <cell r="D1113" t="str">
            <v>34</v>
          </cell>
          <cell r="E1113">
            <v>0</v>
          </cell>
          <cell r="G1113">
            <v>91</v>
          </cell>
          <cell r="H1113">
            <v>3483</v>
          </cell>
          <cell r="I1113">
            <v>0</v>
          </cell>
          <cell r="J1113">
            <v>0</v>
          </cell>
          <cell r="K1113">
            <v>240</v>
          </cell>
          <cell r="L1113">
            <v>0</v>
          </cell>
          <cell r="M1113">
            <v>0</v>
          </cell>
          <cell r="N1113">
            <v>401</v>
          </cell>
          <cell r="O1113">
            <v>3723</v>
          </cell>
          <cell r="P1113">
            <v>475</v>
          </cell>
          <cell r="Q1113">
            <v>3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</row>
        <row r="1114">
          <cell r="A1114" t="str">
            <v>450362</v>
          </cell>
          <cell r="B1114" t="str">
            <v>1251</v>
          </cell>
          <cell r="C1114" t="str">
            <v>12</v>
          </cell>
          <cell r="D1114" t="str">
            <v>34</v>
          </cell>
          <cell r="E1114">
            <v>0</v>
          </cell>
          <cell r="G1114">
            <v>93</v>
          </cell>
          <cell r="H1114">
            <v>1262</v>
          </cell>
          <cell r="I1114">
            <v>0</v>
          </cell>
          <cell r="J1114">
            <v>0</v>
          </cell>
          <cell r="K1114">
            <v>80</v>
          </cell>
          <cell r="L1114">
            <v>0</v>
          </cell>
          <cell r="M1114">
            <v>0</v>
          </cell>
          <cell r="N1114">
            <v>91</v>
          </cell>
          <cell r="O1114">
            <v>1342</v>
          </cell>
          <cell r="P1114">
            <v>75</v>
          </cell>
          <cell r="Q1114">
            <v>1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A1115" t="str">
            <v>450362</v>
          </cell>
          <cell r="B1115" t="str">
            <v>1251</v>
          </cell>
          <cell r="C1115" t="str">
            <v>12</v>
          </cell>
          <cell r="D1115" t="str">
            <v>34</v>
          </cell>
          <cell r="E1115">
            <v>0</v>
          </cell>
          <cell r="G1115">
            <v>94</v>
          </cell>
          <cell r="H1115">
            <v>25836</v>
          </cell>
          <cell r="I1115">
            <v>0</v>
          </cell>
          <cell r="J1115">
            <v>0</v>
          </cell>
          <cell r="K1115">
            <v>0</v>
          </cell>
          <cell r="L1115">
            <v>2225</v>
          </cell>
          <cell r="M1115">
            <v>0</v>
          </cell>
          <cell r="N1115">
            <v>1683</v>
          </cell>
          <cell r="O1115">
            <v>28061</v>
          </cell>
          <cell r="P1115">
            <v>2563</v>
          </cell>
          <cell r="Q1115">
            <v>46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</row>
        <row r="1116">
          <cell r="A1116" t="str">
            <v>450362</v>
          </cell>
          <cell r="B1116" t="str">
            <v>1251</v>
          </cell>
          <cell r="C1116" t="str">
            <v>12</v>
          </cell>
          <cell r="D1116" t="str">
            <v>34</v>
          </cell>
          <cell r="E1116">
            <v>0</v>
          </cell>
          <cell r="G1116">
            <v>95</v>
          </cell>
          <cell r="H1116">
            <v>16202</v>
          </cell>
          <cell r="I1116">
            <v>0</v>
          </cell>
          <cell r="J1116">
            <v>0</v>
          </cell>
          <cell r="K1116">
            <v>0</v>
          </cell>
          <cell r="L1116">
            <v>4501</v>
          </cell>
          <cell r="M1116">
            <v>0</v>
          </cell>
          <cell r="N1116">
            <v>1546</v>
          </cell>
          <cell r="O1116">
            <v>20703</v>
          </cell>
          <cell r="P1116">
            <v>2420</v>
          </cell>
          <cell r="Q1116">
            <v>14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A1117" t="str">
            <v>450362</v>
          </cell>
          <cell r="B1117" t="str">
            <v>1251</v>
          </cell>
          <cell r="C1117" t="str">
            <v>12</v>
          </cell>
          <cell r="D1117" t="str">
            <v>34</v>
          </cell>
          <cell r="E1117">
            <v>0</v>
          </cell>
          <cell r="G1117">
            <v>96</v>
          </cell>
          <cell r="H1117">
            <v>20428</v>
          </cell>
          <cell r="I1117">
            <v>0</v>
          </cell>
          <cell r="J1117">
            <v>0</v>
          </cell>
          <cell r="K1117">
            <v>0</v>
          </cell>
          <cell r="L1117">
            <v>3734</v>
          </cell>
          <cell r="M1117">
            <v>0</v>
          </cell>
          <cell r="N1117">
            <v>1103</v>
          </cell>
          <cell r="O1117">
            <v>24162</v>
          </cell>
          <cell r="P1117">
            <v>1190</v>
          </cell>
          <cell r="Q1117">
            <v>9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</row>
        <row r="1118">
          <cell r="A1118" t="str">
            <v>450362</v>
          </cell>
          <cell r="B1118" t="str">
            <v>1251</v>
          </cell>
          <cell r="C1118" t="str">
            <v>12</v>
          </cell>
          <cell r="D1118" t="str">
            <v>34</v>
          </cell>
          <cell r="E1118">
            <v>0</v>
          </cell>
          <cell r="G1118">
            <v>97</v>
          </cell>
          <cell r="H1118">
            <v>11416</v>
          </cell>
          <cell r="I1118">
            <v>0</v>
          </cell>
          <cell r="J1118">
            <v>0</v>
          </cell>
          <cell r="K1118">
            <v>0</v>
          </cell>
          <cell r="L1118">
            <v>3062</v>
          </cell>
          <cell r="M1118">
            <v>0</v>
          </cell>
          <cell r="N1118">
            <v>1333</v>
          </cell>
          <cell r="O1118">
            <v>14478</v>
          </cell>
          <cell r="P1118">
            <v>1870</v>
          </cell>
          <cell r="Q1118">
            <v>12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</row>
        <row r="1119">
          <cell r="A1119" t="str">
            <v>450362</v>
          </cell>
          <cell r="B1119" t="str">
            <v>1251</v>
          </cell>
          <cell r="C1119" t="str">
            <v>12</v>
          </cell>
          <cell r="D1119" t="str">
            <v>34</v>
          </cell>
          <cell r="E1119">
            <v>0</v>
          </cell>
          <cell r="G1119">
            <v>98</v>
          </cell>
          <cell r="H1119">
            <v>23854</v>
          </cell>
          <cell r="I1119">
            <v>0</v>
          </cell>
          <cell r="J1119">
            <v>0</v>
          </cell>
          <cell r="K1119">
            <v>0</v>
          </cell>
          <cell r="L1119">
            <v>3165</v>
          </cell>
          <cell r="M1119">
            <v>0</v>
          </cell>
          <cell r="N1119">
            <v>1446</v>
          </cell>
          <cell r="O1119">
            <v>27019</v>
          </cell>
          <cell r="P1119">
            <v>2137</v>
          </cell>
          <cell r="Q1119">
            <v>16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</row>
        <row r="1120">
          <cell r="A1120" t="str">
            <v>450362</v>
          </cell>
          <cell r="B1120" t="str">
            <v>1251</v>
          </cell>
          <cell r="C1120" t="str">
            <v>12</v>
          </cell>
          <cell r="D1120" t="str">
            <v>34</v>
          </cell>
          <cell r="E1120">
            <v>0</v>
          </cell>
          <cell r="G1120">
            <v>99</v>
          </cell>
          <cell r="H1120">
            <v>2970</v>
          </cell>
          <cell r="I1120">
            <v>0</v>
          </cell>
          <cell r="J1120">
            <v>0</v>
          </cell>
          <cell r="K1120">
            <v>0</v>
          </cell>
          <cell r="L1120">
            <v>411</v>
          </cell>
          <cell r="M1120">
            <v>0</v>
          </cell>
          <cell r="N1120">
            <v>602</v>
          </cell>
          <cell r="O1120">
            <v>3381</v>
          </cell>
          <cell r="P1120">
            <v>719</v>
          </cell>
          <cell r="Q1120">
            <v>4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</row>
        <row r="1121">
          <cell r="A1121" t="str">
            <v>450362</v>
          </cell>
          <cell r="B1121" t="str">
            <v>1251</v>
          </cell>
          <cell r="C1121" t="str">
            <v>12</v>
          </cell>
          <cell r="D1121" t="str">
            <v>34</v>
          </cell>
          <cell r="E1121">
            <v>0</v>
          </cell>
          <cell r="G1121">
            <v>105</v>
          </cell>
          <cell r="H1121">
            <v>118056</v>
          </cell>
          <cell r="I1121">
            <v>0</v>
          </cell>
          <cell r="J1121">
            <v>0</v>
          </cell>
          <cell r="K1121">
            <v>2870</v>
          </cell>
          <cell r="L1121">
            <v>17098</v>
          </cell>
          <cell r="M1121">
            <v>0</v>
          </cell>
          <cell r="N1121">
            <v>9280</v>
          </cell>
          <cell r="O1121">
            <v>138024</v>
          </cell>
          <cell r="P1121">
            <v>12027</v>
          </cell>
          <cell r="Q1121">
            <v>113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</row>
        <row r="1122">
          <cell r="A1122" t="str">
            <v>450362</v>
          </cell>
          <cell r="B1122" t="str">
            <v>1251</v>
          </cell>
          <cell r="C1122" t="str">
            <v>12</v>
          </cell>
          <cell r="D1122" t="str">
            <v>34</v>
          </cell>
          <cell r="E1122">
            <v>0</v>
          </cell>
          <cell r="G1122">
            <v>148</v>
          </cell>
          <cell r="H1122">
            <v>1511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1511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A1123" t="str">
            <v>450362</v>
          </cell>
          <cell r="B1123" t="str">
            <v>1251</v>
          </cell>
          <cell r="C1123" t="str">
            <v>12</v>
          </cell>
          <cell r="D1123" t="str">
            <v>34</v>
          </cell>
          <cell r="E1123">
            <v>0</v>
          </cell>
          <cell r="G1123">
            <v>149</v>
          </cell>
          <cell r="H1123">
            <v>1511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1511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</row>
        <row r="1124">
          <cell r="A1124" t="str">
            <v>450362</v>
          </cell>
          <cell r="B1124" t="str">
            <v>1251</v>
          </cell>
          <cell r="C1124" t="str">
            <v>12</v>
          </cell>
          <cell r="D1124" t="str">
            <v>34</v>
          </cell>
          <cell r="E1124">
            <v>0</v>
          </cell>
          <cell r="G1124">
            <v>150</v>
          </cell>
          <cell r="H1124">
            <v>1511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1511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</row>
        <row r="1125">
          <cell r="A1125" t="str">
            <v>450362</v>
          </cell>
          <cell r="B1125" t="str">
            <v>1251</v>
          </cell>
          <cell r="C1125" t="str">
            <v>12</v>
          </cell>
          <cell r="D1125" t="str">
            <v>34</v>
          </cell>
          <cell r="E1125">
            <v>0</v>
          </cell>
          <cell r="G1125">
            <v>151</v>
          </cell>
          <cell r="H1125">
            <v>119567</v>
          </cell>
          <cell r="I1125">
            <v>0</v>
          </cell>
          <cell r="J1125">
            <v>0</v>
          </cell>
          <cell r="K1125">
            <v>2870</v>
          </cell>
          <cell r="L1125">
            <v>17098</v>
          </cell>
          <cell r="M1125">
            <v>0</v>
          </cell>
          <cell r="N1125">
            <v>9280</v>
          </cell>
          <cell r="O1125">
            <v>139535</v>
          </cell>
          <cell r="P1125">
            <v>12027</v>
          </cell>
          <cell r="Q1125">
            <v>113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</row>
        <row r="1126">
          <cell r="A1126" t="str">
            <v>450362</v>
          </cell>
          <cell r="B1126" t="str">
            <v>1251</v>
          </cell>
          <cell r="C1126" t="str">
            <v>12</v>
          </cell>
          <cell r="D1126" t="str">
            <v>34</v>
          </cell>
          <cell r="E1126">
            <v>0</v>
          </cell>
          <cell r="G1126">
            <v>153</v>
          </cell>
          <cell r="H1126">
            <v>639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639</v>
          </cell>
          <cell r="P1126">
            <v>23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</row>
        <row r="1127">
          <cell r="A1127" t="str">
            <v>450362</v>
          </cell>
          <cell r="B1127" t="str">
            <v>1251</v>
          </cell>
          <cell r="C1127" t="str">
            <v>12</v>
          </cell>
          <cell r="D1127" t="str">
            <v>34</v>
          </cell>
          <cell r="E1127">
            <v>0</v>
          </cell>
          <cell r="G1127">
            <v>157</v>
          </cell>
          <cell r="H1127">
            <v>639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639</v>
          </cell>
          <cell r="P1127">
            <v>23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</row>
        <row r="1128">
          <cell r="A1128" t="str">
            <v>450362</v>
          </cell>
          <cell r="B1128" t="str">
            <v>1251</v>
          </cell>
          <cell r="C1128" t="str">
            <v>12</v>
          </cell>
          <cell r="D1128" t="str">
            <v>34</v>
          </cell>
          <cell r="E1128">
            <v>0</v>
          </cell>
          <cell r="G1128">
            <v>158</v>
          </cell>
          <cell r="H1128">
            <v>120206</v>
          </cell>
          <cell r="I1128">
            <v>0</v>
          </cell>
          <cell r="J1128">
            <v>0</v>
          </cell>
          <cell r="K1128">
            <v>2870</v>
          </cell>
          <cell r="L1128">
            <v>17098</v>
          </cell>
          <cell r="M1128">
            <v>0</v>
          </cell>
          <cell r="N1128">
            <v>9280</v>
          </cell>
          <cell r="O1128">
            <v>140174</v>
          </cell>
          <cell r="P1128">
            <v>12050</v>
          </cell>
          <cell r="Q1128">
            <v>113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</row>
        <row r="1129">
          <cell r="A1129" t="str">
            <v>450362</v>
          </cell>
          <cell r="B1129" t="str">
            <v>1251</v>
          </cell>
          <cell r="C1129" t="str">
            <v>12</v>
          </cell>
          <cell r="D1129" t="str">
            <v>35</v>
          </cell>
          <cell r="E1129">
            <v>1</v>
          </cell>
          <cell r="G1129">
            <v>139535</v>
          </cell>
          <cell r="H1129">
            <v>639</v>
          </cell>
          <cell r="I1129">
            <v>0</v>
          </cell>
          <cell r="J1129">
            <v>0</v>
          </cell>
          <cell r="K1129">
            <v>140174</v>
          </cell>
          <cell r="L1129">
            <v>12027</v>
          </cell>
          <cell r="M1129">
            <v>23</v>
          </cell>
          <cell r="N1129">
            <v>0</v>
          </cell>
          <cell r="O1129">
            <v>0</v>
          </cell>
          <cell r="P1129">
            <v>12050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</row>
        <row r="1130">
          <cell r="A1130" t="str">
            <v>450362</v>
          </cell>
          <cell r="B1130" t="str">
            <v>1251</v>
          </cell>
          <cell r="C1130" t="str">
            <v>12</v>
          </cell>
          <cell r="D1130" t="str">
            <v>35</v>
          </cell>
          <cell r="E1130">
            <v>4</v>
          </cell>
          <cell r="G1130">
            <v>3349</v>
          </cell>
          <cell r="H1130">
            <v>0</v>
          </cell>
          <cell r="I1130">
            <v>0</v>
          </cell>
          <cell r="J1130">
            <v>0</v>
          </cell>
          <cell r="K1130">
            <v>3349</v>
          </cell>
          <cell r="L1130">
            <v>11325</v>
          </cell>
          <cell r="M1130">
            <v>0</v>
          </cell>
          <cell r="N1130">
            <v>0</v>
          </cell>
          <cell r="O1130">
            <v>0</v>
          </cell>
          <cell r="P1130">
            <v>11325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</row>
        <row r="1131">
          <cell r="A1131" t="str">
            <v>450362</v>
          </cell>
          <cell r="B1131" t="str">
            <v>1251</v>
          </cell>
          <cell r="C1131" t="str">
            <v>12</v>
          </cell>
          <cell r="D1131" t="str">
            <v>35</v>
          </cell>
          <cell r="E1131">
            <v>7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26701</v>
          </cell>
          <cell r="M1131">
            <v>23</v>
          </cell>
          <cell r="N1131">
            <v>0</v>
          </cell>
          <cell r="O1131">
            <v>0</v>
          </cell>
          <cell r="P1131">
            <v>26724</v>
          </cell>
          <cell r="Q1131">
            <v>0</v>
          </cell>
          <cell r="R1131">
            <v>0</v>
          </cell>
          <cell r="S1131">
            <v>1211</v>
          </cell>
          <cell r="T1131">
            <v>0</v>
          </cell>
          <cell r="U1131">
            <v>1211</v>
          </cell>
          <cell r="V1131">
            <v>0</v>
          </cell>
          <cell r="W1131">
            <v>0</v>
          </cell>
        </row>
        <row r="1132">
          <cell r="A1132" t="str">
            <v>450362</v>
          </cell>
          <cell r="B1132" t="str">
            <v>1251</v>
          </cell>
          <cell r="C1132" t="str">
            <v>12</v>
          </cell>
          <cell r="D1132" t="str">
            <v>35</v>
          </cell>
          <cell r="E1132">
            <v>10</v>
          </cell>
          <cell r="G1132">
            <v>166236</v>
          </cell>
          <cell r="H1132">
            <v>662</v>
          </cell>
          <cell r="I1132">
            <v>1211</v>
          </cell>
          <cell r="J1132">
            <v>0</v>
          </cell>
          <cell r="K1132">
            <v>168109</v>
          </cell>
          <cell r="L1132">
            <v>113</v>
          </cell>
          <cell r="M1132">
            <v>0</v>
          </cell>
          <cell r="N1132">
            <v>0</v>
          </cell>
          <cell r="O1132">
            <v>0</v>
          </cell>
          <cell r="P1132">
            <v>113</v>
          </cell>
          <cell r="Q1132">
            <v>113</v>
          </cell>
          <cell r="R1132">
            <v>0</v>
          </cell>
          <cell r="S1132">
            <v>0</v>
          </cell>
          <cell r="T1132">
            <v>0</v>
          </cell>
          <cell r="U1132">
            <v>113</v>
          </cell>
          <cell r="V1132">
            <v>0</v>
          </cell>
          <cell r="W1132">
            <v>0</v>
          </cell>
        </row>
        <row r="1133">
          <cell r="A1133" t="str">
            <v>450362</v>
          </cell>
          <cell r="B1133" t="str">
            <v>1251</v>
          </cell>
          <cell r="C1133" t="str">
            <v>12</v>
          </cell>
          <cell r="D1133" t="str">
            <v>35</v>
          </cell>
          <cell r="E1133">
            <v>13</v>
          </cell>
          <cell r="G1133">
            <v>113</v>
          </cell>
          <cell r="H1133">
            <v>0</v>
          </cell>
          <cell r="I1133">
            <v>0</v>
          </cell>
          <cell r="J1133">
            <v>0</v>
          </cell>
          <cell r="K1133">
            <v>113</v>
          </cell>
          <cell r="L1133">
            <v>113</v>
          </cell>
          <cell r="M1133">
            <v>0</v>
          </cell>
          <cell r="N1133">
            <v>0</v>
          </cell>
          <cell r="O1133">
            <v>0</v>
          </cell>
          <cell r="P1133">
            <v>113</v>
          </cell>
          <cell r="Q1133">
            <v>113</v>
          </cell>
          <cell r="R1133">
            <v>0</v>
          </cell>
          <cell r="S1133">
            <v>0</v>
          </cell>
          <cell r="T1133">
            <v>0</v>
          </cell>
          <cell r="U1133">
            <v>113</v>
          </cell>
          <cell r="V1133">
            <v>0</v>
          </cell>
          <cell r="W1133">
            <v>0</v>
          </cell>
        </row>
        <row r="1134">
          <cell r="A1134" t="str">
            <v>450362</v>
          </cell>
          <cell r="B1134" t="str">
            <v>1251</v>
          </cell>
          <cell r="C1134" t="str">
            <v>12</v>
          </cell>
          <cell r="D1134" t="str">
            <v>35</v>
          </cell>
          <cell r="E1134">
            <v>16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113</v>
          </cell>
          <cell r="R1134">
            <v>0</v>
          </cell>
          <cell r="S1134">
            <v>0</v>
          </cell>
          <cell r="T1134">
            <v>0</v>
          </cell>
          <cell r="U1134">
            <v>113</v>
          </cell>
          <cell r="V1134">
            <v>0</v>
          </cell>
          <cell r="W1134">
            <v>0</v>
          </cell>
        </row>
        <row r="1135">
          <cell r="A1135" t="str">
            <v>450362</v>
          </cell>
          <cell r="B1135" t="str">
            <v>1251</v>
          </cell>
          <cell r="C1135" t="str">
            <v>12</v>
          </cell>
          <cell r="D1135" t="str">
            <v>35</v>
          </cell>
          <cell r="E1135">
            <v>19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</row>
        <row r="1136">
          <cell r="A1136" t="str">
            <v>450362</v>
          </cell>
          <cell r="B1136" t="str">
            <v>1251</v>
          </cell>
          <cell r="C1136" t="str">
            <v>12</v>
          </cell>
          <cell r="D1136" t="str">
            <v>37</v>
          </cell>
          <cell r="E1136">
            <v>0</v>
          </cell>
          <cell r="G1136">
            <v>85316901</v>
          </cell>
          <cell r="H1136">
            <v>50</v>
          </cell>
          <cell r="I1136">
            <v>0</v>
          </cell>
          <cell r="J1136">
            <v>50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</row>
        <row r="1137">
          <cell r="A1137" t="str">
            <v>450362</v>
          </cell>
          <cell r="B1137" t="str">
            <v>1251</v>
          </cell>
          <cell r="C1137" t="str">
            <v>12</v>
          </cell>
          <cell r="D1137" t="str">
            <v>37</v>
          </cell>
          <cell r="E1137">
            <v>0</v>
          </cell>
          <cell r="G1137">
            <v>85316902</v>
          </cell>
          <cell r="H1137">
            <v>0</v>
          </cell>
          <cell r="I1137">
            <v>0</v>
          </cell>
          <cell r="J1137">
            <v>50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</row>
        <row r="1138">
          <cell r="A1138" t="str">
            <v>450362</v>
          </cell>
          <cell r="B1138" t="str">
            <v>1251</v>
          </cell>
          <cell r="C1138" t="str">
            <v>12</v>
          </cell>
          <cell r="D1138" t="str">
            <v>37</v>
          </cell>
          <cell r="E1138">
            <v>0</v>
          </cell>
          <cell r="G1138">
            <v>85317001</v>
          </cell>
          <cell r="H1138">
            <v>170</v>
          </cell>
          <cell r="I1138">
            <v>0</v>
          </cell>
          <cell r="J1138">
            <v>170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</row>
        <row r="1139">
          <cell r="A1139" t="str">
            <v>450362</v>
          </cell>
          <cell r="B1139" t="str">
            <v>1251</v>
          </cell>
          <cell r="C1139" t="str">
            <v>12</v>
          </cell>
          <cell r="D1139" t="str">
            <v>37</v>
          </cell>
          <cell r="E1139">
            <v>0</v>
          </cell>
          <cell r="G1139">
            <v>85317002</v>
          </cell>
          <cell r="H1139">
            <v>0</v>
          </cell>
          <cell r="I1139">
            <v>0</v>
          </cell>
          <cell r="J1139">
            <v>170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</row>
        <row r="1140">
          <cell r="A1140" t="str">
            <v>450362</v>
          </cell>
          <cell r="B1140" t="str">
            <v>1251</v>
          </cell>
          <cell r="C1140" t="str">
            <v>12</v>
          </cell>
          <cell r="D1140" t="str">
            <v>37</v>
          </cell>
          <cell r="E1140">
            <v>0</v>
          </cell>
          <cell r="G1140">
            <v>85323301</v>
          </cell>
          <cell r="H1140">
            <v>4</v>
          </cell>
          <cell r="I1140">
            <v>0</v>
          </cell>
          <cell r="J1140">
            <v>4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</row>
        <row r="1141">
          <cell r="A1141" t="str">
            <v>450362</v>
          </cell>
          <cell r="B1141" t="str">
            <v>1251</v>
          </cell>
          <cell r="C1141" t="str">
            <v>12</v>
          </cell>
          <cell r="D1141" t="str">
            <v>37</v>
          </cell>
          <cell r="E1141">
            <v>0</v>
          </cell>
          <cell r="G1141">
            <v>85323302</v>
          </cell>
          <cell r="H1141">
            <v>0</v>
          </cell>
          <cell r="I1141">
            <v>0</v>
          </cell>
          <cell r="J1141">
            <v>17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</row>
        <row r="1142">
          <cell r="A1142" t="str">
            <v>450362</v>
          </cell>
          <cell r="B1142" t="str">
            <v>1251</v>
          </cell>
          <cell r="C1142" t="str">
            <v>12</v>
          </cell>
          <cell r="D1142" t="str">
            <v>37</v>
          </cell>
          <cell r="E1142">
            <v>0</v>
          </cell>
          <cell r="G1142">
            <v>85325502</v>
          </cell>
          <cell r="H1142">
            <v>0</v>
          </cell>
          <cell r="I1142">
            <v>0</v>
          </cell>
          <cell r="J1142">
            <v>60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</row>
        <row r="1143">
          <cell r="A1143" t="str">
            <v>450362</v>
          </cell>
          <cell r="B1143" t="str">
            <v>1251</v>
          </cell>
          <cell r="C1143" t="str">
            <v>12</v>
          </cell>
          <cell r="D1143" t="str">
            <v>37</v>
          </cell>
          <cell r="E1143">
            <v>0</v>
          </cell>
          <cell r="G1143">
            <v>85326601</v>
          </cell>
          <cell r="H1143">
            <v>45</v>
          </cell>
          <cell r="I1143">
            <v>0</v>
          </cell>
          <cell r="J1143">
            <v>45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</row>
        <row r="1144">
          <cell r="A1144" t="str">
            <v>450362</v>
          </cell>
          <cell r="B1144" t="str">
            <v>1251</v>
          </cell>
          <cell r="C1144" t="str">
            <v>12</v>
          </cell>
          <cell r="D1144" t="str">
            <v>37</v>
          </cell>
          <cell r="E1144">
            <v>0</v>
          </cell>
          <cell r="G1144">
            <v>85326602</v>
          </cell>
          <cell r="H1144">
            <v>0</v>
          </cell>
          <cell r="I1144">
            <v>0</v>
          </cell>
          <cell r="J1144">
            <v>45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</row>
        <row r="1145">
          <cell r="A1145" t="str">
            <v>450362</v>
          </cell>
          <cell r="B1145" t="str">
            <v>1251</v>
          </cell>
          <cell r="C1145" t="str">
            <v>12</v>
          </cell>
          <cell r="D1145" t="str">
            <v>37</v>
          </cell>
          <cell r="E1145">
            <v>0</v>
          </cell>
          <cell r="G1145">
            <v>99999901</v>
          </cell>
          <cell r="H1145">
            <v>269</v>
          </cell>
          <cell r="I1145">
            <v>0</v>
          </cell>
          <cell r="J1145">
            <v>269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</row>
        <row r="1146">
          <cell r="A1146" t="str">
            <v>450362</v>
          </cell>
          <cell r="B1146" t="str">
            <v>1251</v>
          </cell>
          <cell r="C1146" t="str">
            <v>12</v>
          </cell>
          <cell r="D1146" t="str">
            <v>37</v>
          </cell>
          <cell r="E1146">
            <v>0</v>
          </cell>
          <cell r="G1146">
            <v>99999902</v>
          </cell>
          <cell r="H1146">
            <v>0</v>
          </cell>
          <cell r="I1146">
            <v>0</v>
          </cell>
          <cell r="J1146">
            <v>342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</row>
        <row r="1147">
          <cell r="A1147" t="str">
            <v>450362</v>
          </cell>
          <cell r="B1147" t="str">
            <v>1251</v>
          </cell>
          <cell r="C1147" t="str">
            <v>12</v>
          </cell>
          <cell r="D1147" t="str">
            <v>38</v>
          </cell>
          <cell r="E1147">
            <v>1</v>
          </cell>
          <cell r="G1147">
            <v>672</v>
          </cell>
          <cell r="H1147">
            <v>116478</v>
          </cell>
          <cell r="I1147">
            <v>8141</v>
          </cell>
          <cell r="J1147">
            <v>8046</v>
          </cell>
          <cell r="K1147">
            <v>0</v>
          </cell>
          <cell r="L1147">
            <v>0</v>
          </cell>
          <cell r="M1147">
            <v>0</v>
          </cell>
          <cell r="N1147">
            <v>133337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</row>
        <row r="1148">
          <cell r="A1148" t="str">
            <v>450362</v>
          </cell>
          <cell r="B1148" t="str">
            <v>1251</v>
          </cell>
          <cell r="C1148" t="str">
            <v>12</v>
          </cell>
          <cell r="D1148" t="str">
            <v>38</v>
          </cell>
          <cell r="E1148">
            <v>2</v>
          </cell>
          <cell r="G1148">
            <v>0</v>
          </cell>
          <cell r="H1148">
            <v>0</v>
          </cell>
          <cell r="I1148">
            <v>0</v>
          </cell>
          <cell r="J1148">
            <v>306</v>
          </cell>
          <cell r="K1148">
            <v>0</v>
          </cell>
          <cell r="L1148">
            <v>0</v>
          </cell>
          <cell r="M1148">
            <v>0</v>
          </cell>
          <cell r="N1148">
            <v>306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</row>
        <row r="1149">
          <cell r="A1149" t="str">
            <v>450362</v>
          </cell>
          <cell r="B1149" t="str">
            <v>1251</v>
          </cell>
          <cell r="C1149" t="str">
            <v>12</v>
          </cell>
          <cell r="D1149" t="str">
            <v>38</v>
          </cell>
          <cell r="E1149">
            <v>3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</row>
        <row r="1150">
          <cell r="A1150" t="str">
            <v>450362</v>
          </cell>
          <cell r="B1150" t="str">
            <v>1251</v>
          </cell>
          <cell r="C1150" t="str">
            <v>12</v>
          </cell>
          <cell r="D1150" t="str">
            <v>38</v>
          </cell>
          <cell r="E1150">
            <v>4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</row>
        <row r="1151">
          <cell r="A1151" t="str">
            <v>450362</v>
          </cell>
          <cell r="B1151" t="str">
            <v>1251</v>
          </cell>
          <cell r="C1151" t="str">
            <v>12</v>
          </cell>
          <cell r="D1151" t="str">
            <v>38</v>
          </cell>
          <cell r="E1151">
            <v>5</v>
          </cell>
          <cell r="G1151">
            <v>0</v>
          </cell>
          <cell r="H1151">
            <v>0</v>
          </cell>
          <cell r="I1151">
            <v>0</v>
          </cell>
          <cell r="J1151">
            <v>306</v>
          </cell>
          <cell r="K1151">
            <v>0</v>
          </cell>
          <cell r="L1151">
            <v>0</v>
          </cell>
          <cell r="M1151">
            <v>0</v>
          </cell>
          <cell r="N1151">
            <v>306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</row>
        <row r="1152">
          <cell r="A1152" t="str">
            <v>450362</v>
          </cell>
          <cell r="B1152" t="str">
            <v>1251</v>
          </cell>
          <cell r="C1152" t="str">
            <v>12</v>
          </cell>
          <cell r="D1152" t="str">
            <v>38</v>
          </cell>
          <cell r="E1152">
            <v>6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</row>
        <row r="1153">
          <cell r="A1153" t="str">
            <v>450362</v>
          </cell>
          <cell r="B1153" t="str">
            <v>1251</v>
          </cell>
          <cell r="C1153" t="str">
            <v>12</v>
          </cell>
          <cell r="D1153" t="str">
            <v>38</v>
          </cell>
          <cell r="E1153">
            <v>7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</row>
        <row r="1154">
          <cell r="A1154" t="str">
            <v>450362</v>
          </cell>
          <cell r="B1154" t="str">
            <v>1251</v>
          </cell>
          <cell r="C1154" t="str">
            <v>12</v>
          </cell>
          <cell r="D1154" t="str">
            <v>38</v>
          </cell>
          <cell r="E1154">
            <v>8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</row>
        <row r="1155">
          <cell r="A1155" t="str">
            <v>450362</v>
          </cell>
          <cell r="B1155" t="str">
            <v>1251</v>
          </cell>
          <cell r="C1155" t="str">
            <v>12</v>
          </cell>
          <cell r="D1155" t="str">
            <v>38</v>
          </cell>
          <cell r="E1155">
            <v>9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</row>
        <row r="1156">
          <cell r="A1156" t="str">
            <v>450362</v>
          </cell>
          <cell r="B1156" t="str">
            <v>1251</v>
          </cell>
          <cell r="C1156" t="str">
            <v>12</v>
          </cell>
          <cell r="D1156" t="str">
            <v>38</v>
          </cell>
          <cell r="E1156">
            <v>10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>
            <v>0</v>
          </cell>
          <cell r="W1156">
            <v>0</v>
          </cell>
        </row>
        <row r="1157">
          <cell r="A1157" t="str">
            <v>450362</v>
          </cell>
          <cell r="B1157" t="str">
            <v>1251</v>
          </cell>
          <cell r="C1157" t="str">
            <v>12</v>
          </cell>
          <cell r="D1157" t="str">
            <v>38</v>
          </cell>
          <cell r="E1157">
            <v>11</v>
          </cell>
          <cell r="G1157">
            <v>0</v>
          </cell>
          <cell r="H1157">
            <v>0</v>
          </cell>
          <cell r="I1157">
            <v>0</v>
          </cell>
          <cell r="J1157">
            <v>306</v>
          </cell>
          <cell r="K1157">
            <v>0</v>
          </cell>
          <cell r="L1157">
            <v>0</v>
          </cell>
          <cell r="M1157">
            <v>0</v>
          </cell>
          <cell r="N1157">
            <v>306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</row>
        <row r="1158">
          <cell r="A1158" t="str">
            <v>450362</v>
          </cell>
          <cell r="B1158" t="str">
            <v>1251</v>
          </cell>
          <cell r="C1158" t="str">
            <v>12</v>
          </cell>
          <cell r="D1158" t="str">
            <v>38</v>
          </cell>
          <cell r="E1158">
            <v>12</v>
          </cell>
          <cell r="G1158">
            <v>0</v>
          </cell>
          <cell r="H1158">
            <v>0</v>
          </cell>
          <cell r="I1158">
            <v>0</v>
          </cell>
          <cell r="J1158">
            <v>957</v>
          </cell>
          <cell r="K1158">
            <v>0</v>
          </cell>
          <cell r="L1158">
            <v>0</v>
          </cell>
          <cell r="M1158">
            <v>0</v>
          </cell>
          <cell r="N1158">
            <v>957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</row>
        <row r="1159">
          <cell r="A1159" t="str">
            <v>450362</v>
          </cell>
          <cell r="B1159" t="str">
            <v>1251</v>
          </cell>
          <cell r="C1159" t="str">
            <v>12</v>
          </cell>
          <cell r="D1159" t="str">
            <v>38</v>
          </cell>
          <cell r="E1159">
            <v>13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</row>
        <row r="1160">
          <cell r="A1160" t="str">
            <v>450362</v>
          </cell>
          <cell r="B1160" t="str">
            <v>1251</v>
          </cell>
          <cell r="C1160" t="str">
            <v>12</v>
          </cell>
          <cell r="D1160" t="str">
            <v>38</v>
          </cell>
          <cell r="E1160">
            <v>14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</row>
        <row r="1161">
          <cell r="A1161" t="str">
            <v>450362</v>
          </cell>
          <cell r="B1161" t="str">
            <v>1251</v>
          </cell>
          <cell r="C1161" t="str">
            <v>12</v>
          </cell>
          <cell r="D1161" t="str">
            <v>38</v>
          </cell>
          <cell r="E1161">
            <v>15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</row>
        <row r="1162">
          <cell r="A1162" t="str">
            <v>450362</v>
          </cell>
          <cell r="B1162" t="str">
            <v>1251</v>
          </cell>
          <cell r="C1162" t="str">
            <v>12</v>
          </cell>
          <cell r="D1162" t="str">
            <v>38</v>
          </cell>
          <cell r="E1162">
            <v>16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</row>
        <row r="1163">
          <cell r="A1163" t="str">
            <v>450362</v>
          </cell>
          <cell r="B1163" t="str">
            <v>1251</v>
          </cell>
          <cell r="C1163" t="str">
            <v>12</v>
          </cell>
          <cell r="D1163" t="str">
            <v>38</v>
          </cell>
          <cell r="E1163">
            <v>17</v>
          </cell>
          <cell r="G1163">
            <v>0</v>
          </cell>
          <cell r="H1163">
            <v>0</v>
          </cell>
          <cell r="I1163">
            <v>0</v>
          </cell>
          <cell r="J1163">
            <v>306</v>
          </cell>
          <cell r="K1163">
            <v>0</v>
          </cell>
          <cell r="L1163">
            <v>0</v>
          </cell>
          <cell r="M1163">
            <v>0</v>
          </cell>
          <cell r="N1163">
            <v>306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</row>
        <row r="1164">
          <cell r="A1164" t="str">
            <v>450362</v>
          </cell>
          <cell r="B1164" t="str">
            <v>1251</v>
          </cell>
          <cell r="C1164" t="str">
            <v>12</v>
          </cell>
          <cell r="D1164" t="str">
            <v>38</v>
          </cell>
          <cell r="E1164">
            <v>18</v>
          </cell>
          <cell r="G1164">
            <v>0</v>
          </cell>
          <cell r="H1164">
            <v>0</v>
          </cell>
          <cell r="I1164">
            <v>0</v>
          </cell>
          <cell r="J1164">
            <v>1263</v>
          </cell>
          <cell r="K1164">
            <v>0</v>
          </cell>
          <cell r="L1164">
            <v>0</v>
          </cell>
          <cell r="M1164">
            <v>0</v>
          </cell>
          <cell r="N1164">
            <v>1263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</row>
        <row r="1165">
          <cell r="A1165" t="str">
            <v>450362</v>
          </cell>
          <cell r="B1165" t="str">
            <v>1251</v>
          </cell>
          <cell r="C1165" t="str">
            <v>12</v>
          </cell>
          <cell r="D1165" t="str">
            <v>38</v>
          </cell>
          <cell r="E1165">
            <v>19</v>
          </cell>
          <cell r="G1165">
            <v>672</v>
          </cell>
          <cell r="H1165">
            <v>116478</v>
          </cell>
          <cell r="I1165">
            <v>8141</v>
          </cell>
          <cell r="J1165">
            <v>7089</v>
          </cell>
          <cell r="K1165">
            <v>0</v>
          </cell>
          <cell r="L1165">
            <v>0</v>
          </cell>
          <cell r="M1165">
            <v>0</v>
          </cell>
          <cell r="N1165">
            <v>132380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</row>
        <row r="1166">
          <cell r="A1166" t="str">
            <v>450362</v>
          </cell>
          <cell r="B1166" t="str">
            <v>1251</v>
          </cell>
          <cell r="C1166" t="str">
            <v>12</v>
          </cell>
          <cell r="D1166" t="str">
            <v>38</v>
          </cell>
          <cell r="E1166">
            <v>20</v>
          </cell>
          <cell r="G1166">
            <v>476</v>
          </cell>
          <cell r="H1166">
            <v>15097</v>
          </cell>
          <cell r="I1166">
            <v>6850</v>
          </cell>
          <cell r="J1166">
            <v>3837</v>
          </cell>
          <cell r="K1166">
            <v>0</v>
          </cell>
          <cell r="L1166">
            <v>0</v>
          </cell>
          <cell r="M1166">
            <v>0</v>
          </cell>
          <cell r="N1166">
            <v>26260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</row>
        <row r="1167">
          <cell r="A1167" t="str">
            <v>450362</v>
          </cell>
          <cell r="B1167" t="str">
            <v>1251</v>
          </cell>
          <cell r="C1167" t="str">
            <v>12</v>
          </cell>
          <cell r="D1167" t="str">
            <v>38</v>
          </cell>
          <cell r="E1167">
            <v>21</v>
          </cell>
          <cell r="G1167">
            <v>100</v>
          </cell>
          <cell r="H1167">
            <v>1153</v>
          </cell>
          <cell r="I1167">
            <v>496</v>
          </cell>
          <cell r="J1167">
            <v>1418</v>
          </cell>
          <cell r="K1167">
            <v>0</v>
          </cell>
          <cell r="L1167">
            <v>0</v>
          </cell>
          <cell r="M1167">
            <v>0</v>
          </cell>
          <cell r="N1167">
            <v>3167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</row>
        <row r="1168">
          <cell r="A1168" t="str">
            <v>450362</v>
          </cell>
          <cell r="B1168" t="str">
            <v>1251</v>
          </cell>
          <cell r="C1168" t="str">
            <v>12</v>
          </cell>
          <cell r="D1168" t="str">
            <v>38</v>
          </cell>
          <cell r="E1168">
            <v>22</v>
          </cell>
          <cell r="G1168">
            <v>0</v>
          </cell>
          <cell r="H1168">
            <v>0</v>
          </cell>
          <cell r="I1168">
            <v>0</v>
          </cell>
          <cell r="J1168">
            <v>957</v>
          </cell>
          <cell r="K1168">
            <v>0</v>
          </cell>
          <cell r="L1168">
            <v>0</v>
          </cell>
          <cell r="M1168">
            <v>0</v>
          </cell>
          <cell r="N1168">
            <v>957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</row>
        <row r="1169">
          <cell r="A1169" t="str">
            <v>450362</v>
          </cell>
          <cell r="B1169" t="str">
            <v>1251</v>
          </cell>
          <cell r="C1169" t="str">
            <v>12</v>
          </cell>
          <cell r="D1169" t="str">
            <v>38</v>
          </cell>
          <cell r="E1169">
            <v>23</v>
          </cell>
          <cell r="G1169">
            <v>576</v>
          </cell>
          <cell r="H1169">
            <v>16250</v>
          </cell>
          <cell r="I1169">
            <v>7346</v>
          </cell>
          <cell r="J1169">
            <v>4298</v>
          </cell>
          <cell r="K1169">
            <v>0</v>
          </cell>
          <cell r="L1169">
            <v>0</v>
          </cell>
          <cell r="M1169">
            <v>0</v>
          </cell>
          <cell r="N1169">
            <v>28470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  <cell r="V1169">
            <v>0</v>
          </cell>
          <cell r="W1169">
            <v>0</v>
          </cell>
        </row>
        <row r="1170">
          <cell r="A1170" t="str">
            <v>450362</v>
          </cell>
          <cell r="B1170" t="str">
            <v>1251</v>
          </cell>
          <cell r="C1170" t="str">
            <v>12</v>
          </cell>
          <cell r="D1170" t="str">
            <v>38</v>
          </cell>
          <cell r="E1170">
            <v>24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0</v>
          </cell>
          <cell r="V1170">
            <v>0</v>
          </cell>
          <cell r="W1170">
            <v>0</v>
          </cell>
        </row>
        <row r="1171">
          <cell r="A1171" t="str">
            <v>450362</v>
          </cell>
          <cell r="B1171" t="str">
            <v>1251</v>
          </cell>
          <cell r="C1171" t="str">
            <v>12</v>
          </cell>
          <cell r="D1171" t="str">
            <v>38</v>
          </cell>
          <cell r="E1171">
            <v>25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</row>
        <row r="1172">
          <cell r="A1172" t="str">
            <v>450362</v>
          </cell>
          <cell r="B1172" t="str">
            <v>1251</v>
          </cell>
          <cell r="C1172" t="str">
            <v>12</v>
          </cell>
          <cell r="D1172" t="str">
            <v>38</v>
          </cell>
          <cell r="E1172">
            <v>26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</row>
        <row r="1173">
          <cell r="A1173" t="str">
            <v>450362</v>
          </cell>
          <cell r="B1173" t="str">
            <v>1251</v>
          </cell>
          <cell r="C1173" t="str">
            <v>12</v>
          </cell>
          <cell r="D1173" t="str">
            <v>38</v>
          </cell>
          <cell r="E1173">
            <v>27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</row>
        <row r="1174">
          <cell r="A1174" t="str">
            <v>450362</v>
          </cell>
          <cell r="B1174" t="str">
            <v>1251</v>
          </cell>
          <cell r="C1174" t="str">
            <v>12</v>
          </cell>
          <cell r="D1174" t="str">
            <v>38</v>
          </cell>
          <cell r="E1174">
            <v>28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</row>
        <row r="1175">
          <cell r="A1175" t="str">
            <v>450362</v>
          </cell>
          <cell r="B1175" t="str">
            <v>1251</v>
          </cell>
          <cell r="C1175" t="str">
            <v>12</v>
          </cell>
          <cell r="D1175" t="str">
            <v>38</v>
          </cell>
          <cell r="E1175">
            <v>29</v>
          </cell>
          <cell r="G1175">
            <v>576</v>
          </cell>
          <cell r="H1175">
            <v>16250</v>
          </cell>
          <cell r="I1175">
            <v>7346</v>
          </cell>
          <cell r="J1175">
            <v>4298</v>
          </cell>
          <cell r="K1175">
            <v>0</v>
          </cell>
          <cell r="L1175">
            <v>0</v>
          </cell>
          <cell r="M1175">
            <v>0</v>
          </cell>
          <cell r="N1175">
            <v>28470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</row>
        <row r="1176">
          <cell r="A1176" t="str">
            <v>450362</v>
          </cell>
          <cell r="B1176" t="str">
            <v>1251</v>
          </cell>
          <cell r="C1176" t="str">
            <v>12</v>
          </cell>
          <cell r="D1176" t="str">
            <v>38</v>
          </cell>
          <cell r="E1176">
            <v>30</v>
          </cell>
          <cell r="G1176">
            <v>96</v>
          </cell>
          <cell r="H1176">
            <v>100228</v>
          </cell>
          <cell r="I1176">
            <v>795</v>
          </cell>
          <cell r="J1176">
            <v>2791</v>
          </cell>
          <cell r="K1176">
            <v>0</v>
          </cell>
          <cell r="L1176">
            <v>0</v>
          </cell>
          <cell r="M1176">
            <v>0</v>
          </cell>
          <cell r="N1176">
            <v>103910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</row>
        <row r="1177">
          <cell r="A1177" t="str">
            <v>450362</v>
          </cell>
          <cell r="B1177" t="str">
            <v>1251</v>
          </cell>
          <cell r="C1177" t="str">
            <v>12</v>
          </cell>
          <cell r="D1177" t="str">
            <v>38</v>
          </cell>
          <cell r="E1177">
            <v>31</v>
          </cell>
          <cell r="G1177">
            <v>172</v>
          </cell>
          <cell r="H1177">
            <v>856</v>
          </cell>
          <cell r="I1177">
            <v>5949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6977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</row>
        <row r="1178">
          <cell r="A1178" t="str">
            <v>450362</v>
          </cell>
          <cell r="B1178" t="str">
            <v>1251</v>
          </cell>
          <cell r="C1178" t="str">
            <v>12</v>
          </cell>
          <cell r="D1178" t="str">
            <v>44</v>
          </cell>
          <cell r="E1178">
            <v>1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</row>
        <row r="1179">
          <cell r="A1179" t="str">
            <v>450362</v>
          </cell>
          <cell r="B1179" t="str">
            <v>1251</v>
          </cell>
          <cell r="C1179" t="str">
            <v>12</v>
          </cell>
          <cell r="D1179" t="str">
            <v>44</v>
          </cell>
          <cell r="E1179">
            <v>2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</row>
        <row r="1180">
          <cell r="A1180" t="str">
            <v>450362</v>
          </cell>
          <cell r="B1180" t="str">
            <v>1251</v>
          </cell>
          <cell r="C1180" t="str">
            <v>12</v>
          </cell>
          <cell r="D1180" t="str">
            <v>44</v>
          </cell>
          <cell r="E1180">
            <v>3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</row>
        <row r="1181">
          <cell r="A1181" t="str">
            <v>450362</v>
          </cell>
          <cell r="B1181" t="str">
            <v>1251</v>
          </cell>
          <cell r="C1181" t="str">
            <v>12</v>
          </cell>
          <cell r="D1181" t="str">
            <v>44</v>
          </cell>
          <cell r="E1181">
            <v>4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V1181">
            <v>0</v>
          </cell>
          <cell r="W1181">
            <v>0</v>
          </cell>
        </row>
        <row r="1182">
          <cell r="A1182" t="str">
            <v>450362</v>
          </cell>
          <cell r="B1182" t="str">
            <v>1251</v>
          </cell>
          <cell r="C1182" t="str">
            <v>12</v>
          </cell>
          <cell r="D1182" t="str">
            <v>44</v>
          </cell>
          <cell r="E1182">
            <v>5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0</v>
          </cell>
          <cell r="W1182">
            <v>0</v>
          </cell>
        </row>
        <row r="1183">
          <cell r="A1183" t="str">
            <v>450362</v>
          </cell>
          <cell r="B1183" t="str">
            <v>1251</v>
          </cell>
          <cell r="C1183" t="str">
            <v>12</v>
          </cell>
          <cell r="D1183" t="str">
            <v>44</v>
          </cell>
          <cell r="E1183">
            <v>6</v>
          </cell>
          <cell r="G1183">
            <v>297</v>
          </cell>
          <cell r="H1183">
            <v>393</v>
          </cell>
          <cell r="I1183">
            <v>313</v>
          </cell>
          <cell r="J1183">
            <v>381</v>
          </cell>
          <cell r="K1183">
            <v>1265</v>
          </cell>
          <cell r="L1183">
            <v>0</v>
          </cell>
          <cell r="M1183">
            <v>2352</v>
          </cell>
          <cell r="N1183">
            <v>2649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</row>
        <row r="1184">
          <cell r="A1184" t="str">
            <v>450362</v>
          </cell>
          <cell r="B1184" t="str">
            <v>1251</v>
          </cell>
          <cell r="C1184" t="str">
            <v>12</v>
          </cell>
          <cell r="D1184" t="str">
            <v>44</v>
          </cell>
          <cell r="E1184">
            <v>7</v>
          </cell>
          <cell r="G1184">
            <v>297</v>
          </cell>
          <cell r="H1184">
            <v>393</v>
          </cell>
          <cell r="I1184">
            <v>313</v>
          </cell>
          <cell r="J1184">
            <v>381</v>
          </cell>
          <cell r="K1184">
            <v>1265</v>
          </cell>
          <cell r="L1184">
            <v>0</v>
          </cell>
          <cell r="M1184">
            <v>2352</v>
          </cell>
          <cell r="N1184">
            <v>2649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</row>
        <row r="1185">
          <cell r="A1185" t="str">
            <v>450362</v>
          </cell>
          <cell r="B1185" t="str">
            <v>1251</v>
          </cell>
          <cell r="C1185" t="str">
            <v>12</v>
          </cell>
          <cell r="D1185" t="str">
            <v>53</v>
          </cell>
          <cell r="E1185">
            <v>1</v>
          </cell>
          <cell r="G1185">
            <v>2523</v>
          </cell>
          <cell r="H1185">
            <v>60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</row>
        <row r="1186">
          <cell r="A1186" t="str">
            <v>450362</v>
          </cell>
          <cell r="B1186" t="str">
            <v>1251</v>
          </cell>
          <cell r="C1186" t="str">
            <v>12</v>
          </cell>
          <cell r="D1186" t="str">
            <v>53</v>
          </cell>
          <cell r="E1186">
            <v>15</v>
          </cell>
          <cell r="G1186">
            <v>0</v>
          </cell>
          <cell r="H1186">
            <v>0</v>
          </cell>
          <cell r="I1186">
            <v>12399</v>
          </cell>
          <cell r="J1186">
            <v>9280</v>
          </cell>
          <cell r="K1186">
            <v>12436</v>
          </cell>
          <cell r="L1186">
            <v>9137</v>
          </cell>
          <cell r="M1186">
            <v>3390</v>
          </cell>
          <cell r="N1186">
            <v>2691</v>
          </cell>
          <cell r="O1186">
            <v>3362</v>
          </cell>
          <cell r="P1186">
            <v>2650</v>
          </cell>
          <cell r="Q1186">
            <v>351</v>
          </cell>
          <cell r="R1186">
            <v>278</v>
          </cell>
          <cell r="S1186">
            <v>348</v>
          </cell>
          <cell r="T1186">
            <v>274</v>
          </cell>
          <cell r="U1186">
            <v>0</v>
          </cell>
          <cell r="V1186">
            <v>0</v>
          </cell>
          <cell r="W1186">
            <v>0</v>
          </cell>
        </row>
        <row r="1187">
          <cell r="A1187" t="str">
            <v>450362</v>
          </cell>
          <cell r="B1187" t="str">
            <v>1251</v>
          </cell>
          <cell r="C1187" t="str">
            <v>12</v>
          </cell>
          <cell r="D1187" t="str">
            <v>53</v>
          </cell>
          <cell r="E1187">
            <v>29</v>
          </cell>
          <cell r="G1187">
            <v>205</v>
          </cell>
          <cell r="H1187">
            <v>202</v>
          </cell>
          <cell r="I1187">
            <v>320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94205</v>
          </cell>
          <cell r="S1187">
            <v>7014</v>
          </cell>
          <cell r="T1187">
            <v>48617</v>
          </cell>
          <cell r="U1187">
            <v>0</v>
          </cell>
          <cell r="V1187">
            <v>0</v>
          </cell>
          <cell r="W1187">
            <v>0</v>
          </cell>
        </row>
        <row r="1188">
          <cell r="A1188" t="str">
            <v>450362</v>
          </cell>
          <cell r="B1188" t="str">
            <v>1251</v>
          </cell>
          <cell r="C1188" t="str">
            <v>12</v>
          </cell>
          <cell r="D1188" t="str">
            <v>53</v>
          </cell>
          <cell r="E1188">
            <v>43</v>
          </cell>
          <cell r="G1188">
            <v>37274</v>
          </cell>
          <cell r="H1188">
            <v>1300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</row>
        <row r="1189">
          <cell r="A1189" t="str">
            <v>450362</v>
          </cell>
          <cell r="B1189" t="str">
            <v>1251</v>
          </cell>
          <cell r="C1189" t="str">
            <v>12</v>
          </cell>
          <cell r="D1189" t="str">
            <v>53</v>
          </cell>
          <cell r="E1189">
            <v>57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</row>
        <row r="1190">
          <cell r="A1190" t="str">
            <v>450362</v>
          </cell>
          <cell r="B1190" t="str">
            <v>1251</v>
          </cell>
          <cell r="C1190" t="str">
            <v>12</v>
          </cell>
          <cell r="D1190" t="str">
            <v>53</v>
          </cell>
          <cell r="E1190">
            <v>71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</row>
        <row r="1191">
          <cell r="A1191" t="str">
            <v>450362</v>
          </cell>
          <cell r="B1191" t="str">
            <v>1251</v>
          </cell>
          <cell r="C1191" t="str">
            <v>12</v>
          </cell>
          <cell r="D1191" t="str">
            <v>56</v>
          </cell>
          <cell r="E1191">
            <v>1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8141</v>
          </cell>
          <cell r="Q1191">
            <v>8046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</row>
        <row r="1192">
          <cell r="A1192" t="str">
            <v>450362</v>
          </cell>
          <cell r="B1192" t="str">
            <v>1251</v>
          </cell>
          <cell r="C1192" t="str">
            <v>12</v>
          </cell>
          <cell r="D1192" t="str">
            <v>56</v>
          </cell>
          <cell r="E1192">
            <v>6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8141</v>
          </cell>
          <cell r="Q1192">
            <v>8046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</row>
        <row r="1193">
          <cell r="A1193" t="str">
            <v>450362</v>
          </cell>
          <cell r="B1193" t="str">
            <v>1251</v>
          </cell>
          <cell r="C1193" t="str">
            <v>12</v>
          </cell>
          <cell r="D1193" t="str">
            <v>57</v>
          </cell>
          <cell r="E1193">
            <v>1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</row>
        <row r="1194">
          <cell r="A1194" t="str">
            <v>450362</v>
          </cell>
          <cell r="B1194" t="str">
            <v>1251</v>
          </cell>
          <cell r="C1194" t="str">
            <v>12</v>
          </cell>
          <cell r="D1194" t="str">
            <v>57</v>
          </cell>
          <cell r="E1194">
            <v>3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</row>
        <row r="1195">
          <cell r="A1195" t="str">
            <v>450362</v>
          </cell>
          <cell r="B1195" t="str">
            <v>1251</v>
          </cell>
          <cell r="C1195" t="str">
            <v>12</v>
          </cell>
          <cell r="D1195" t="str">
            <v>57</v>
          </cell>
          <cell r="E1195">
            <v>5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</row>
        <row r="1196">
          <cell r="A1196" t="str">
            <v>450362</v>
          </cell>
          <cell r="B1196" t="str">
            <v>1251</v>
          </cell>
          <cell r="C1196" t="str">
            <v>12</v>
          </cell>
          <cell r="D1196" t="str">
            <v>57</v>
          </cell>
          <cell r="E1196">
            <v>7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4783</v>
          </cell>
          <cell r="N1196">
            <v>0</v>
          </cell>
          <cell r="O1196">
            <v>0</v>
          </cell>
          <cell r="P1196">
            <v>0</v>
          </cell>
          <cell r="Q1196">
            <v>4943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</row>
        <row r="1197">
          <cell r="A1197" t="str">
            <v>450362</v>
          </cell>
          <cell r="B1197" t="str">
            <v>1251</v>
          </cell>
          <cell r="C1197" t="str">
            <v>12</v>
          </cell>
          <cell r="D1197" t="str">
            <v>57</v>
          </cell>
          <cell r="E1197">
            <v>9</v>
          </cell>
          <cell r="G1197">
            <v>760</v>
          </cell>
          <cell r="H1197">
            <v>0</v>
          </cell>
          <cell r="I1197">
            <v>0</v>
          </cell>
          <cell r="J1197">
            <v>0</v>
          </cell>
          <cell r="K1197">
            <v>937</v>
          </cell>
          <cell r="L1197">
            <v>0</v>
          </cell>
          <cell r="M1197">
            <v>1458</v>
          </cell>
          <cell r="N1197">
            <v>0</v>
          </cell>
          <cell r="O1197">
            <v>0</v>
          </cell>
          <cell r="P1197">
            <v>0</v>
          </cell>
          <cell r="Q1197">
            <v>2343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</row>
        <row r="1198">
          <cell r="A1198" t="str">
            <v>450362</v>
          </cell>
          <cell r="B1198" t="str">
            <v>1251</v>
          </cell>
          <cell r="C1198" t="str">
            <v>12</v>
          </cell>
          <cell r="D1198" t="str">
            <v>57</v>
          </cell>
          <cell r="E1198">
            <v>11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</row>
        <row r="1199">
          <cell r="A1199" t="str">
            <v>450362</v>
          </cell>
          <cell r="B1199" t="str">
            <v>1251</v>
          </cell>
          <cell r="C1199" t="str">
            <v>12</v>
          </cell>
          <cell r="D1199" t="str">
            <v>57</v>
          </cell>
          <cell r="E1199">
            <v>13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</row>
        <row r="1200">
          <cell r="A1200" t="str">
            <v>450362</v>
          </cell>
          <cell r="B1200" t="str">
            <v>1251</v>
          </cell>
          <cell r="C1200" t="str">
            <v>12</v>
          </cell>
          <cell r="D1200" t="str">
            <v>57</v>
          </cell>
          <cell r="E1200">
            <v>15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7001</v>
          </cell>
          <cell r="N1200">
            <v>0</v>
          </cell>
          <cell r="O1200">
            <v>0</v>
          </cell>
          <cell r="P1200">
            <v>0</v>
          </cell>
          <cell r="Q1200">
            <v>8223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</row>
        <row r="1201">
          <cell r="A1201" t="str">
            <v>450362</v>
          </cell>
          <cell r="B1201" t="str">
            <v>1251</v>
          </cell>
          <cell r="C1201" t="str">
            <v>12</v>
          </cell>
          <cell r="D1201" t="str">
            <v>57</v>
          </cell>
          <cell r="E1201">
            <v>17</v>
          </cell>
          <cell r="G1201">
            <v>7001</v>
          </cell>
          <cell r="H1201">
            <v>0</v>
          </cell>
          <cell r="I1201">
            <v>0</v>
          </cell>
          <cell r="J1201">
            <v>0</v>
          </cell>
          <cell r="K1201">
            <v>8223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</row>
        <row r="1202">
          <cell r="A1202" t="str">
            <v>450362</v>
          </cell>
          <cell r="B1202" t="str">
            <v>1251</v>
          </cell>
          <cell r="C1202" t="str">
            <v>12</v>
          </cell>
          <cell r="D1202" t="str">
            <v>58</v>
          </cell>
          <cell r="E1202">
            <v>1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</row>
        <row r="1203">
          <cell r="A1203" t="str">
            <v>450362</v>
          </cell>
          <cell r="B1203" t="str">
            <v>1251</v>
          </cell>
          <cell r="C1203" t="str">
            <v>12</v>
          </cell>
          <cell r="D1203" t="str">
            <v>58</v>
          </cell>
          <cell r="E1203">
            <v>2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</row>
        <row r="1204">
          <cell r="A1204" t="str">
            <v>450362</v>
          </cell>
          <cell r="B1204" t="str">
            <v>1251</v>
          </cell>
          <cell r="C1204" t="str">
            <v>12</v>
          </cell>
          <cell r="D1204" t="str">
            <v>58</v>
          </cell>
          <cell r="E1204">
            <v>3</v>
          </cell>
          <cell r="G1204">
            <v>2218</v>
          </cell>
          <cell r="H1204">
            <v>0</v>
          </cell>
          <cell r="I1204">
            <v>134491</v>
          </cell>
          <cell r="J1204">
            <v>0</v>
          </cell>
          <cell r="K1204">
            <v>136709</v>
          </cell>
          <cell r="L1204">
            <v>0</v>
          </cell>
          <cell r="M1204">
            <v>2218</v>
          </cell>
          <cell r="N1204">
            <v>131211</v>
          </cell>
          <cell r="O1204">
            <v>0</v>
          </cell>
          <cell r="P1204">
            <v>3280</v>
          </cell>
          <cell r="Q1204">
            <v>3280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</row>
        <row r="1205">
          <cell r="A1205" t="str">
            <v>450362</v>
          </cell>
          <cell r="B1205" t="str">
            <v>1251</v>
          </cell>
          <cell r="C1205" t="str">
            <v>12</v>
          </cell>
          <cell r="D1205" t="str">
            <v>58</v>
          </cell>
          <cell r="E1205">
            <v>4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</row>
        <row r="1206">
          <cell r="A1206" t="str">
            <v>450362</v>
          </cell>
          <cell r="B1206" t="str">
            <v>1251</v>
          </cell>
          <cell r="C1206" t="str">
            <v>12</v>
          </cell>
          <cell r="D1206" t="str">
            <v>58</v>
          </cell>
          <cell r="E1206">
            <v>5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</row>
        <row r="1207">
          <cell r="A1207" t="str">
            <v>450362</v>
          </cell>
          <cell r="B1207" t="str">
            <v>1251</v>
          </cell>
          <cell r="C1207" t="str">
            <v>12</v>
          </cell>
          <cell r="D1207" t="str">
            <v>58</v>
          </cell>
          <cell r="E1207">
            <v>6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</row>
        <row r="1208">
          <cell r="A1208" t="str">
            <v>450362</v>
          </cell>
          <cell r="B1208" t="str">
            <v>1251</v>
          </cell>
          <cell r="C1208" t="str">
            <v>12</v>
          </cell>
          <cell r="D1208" t="str">
            <v>58</v>
          </cell>
          <cell r="E1208">
            <v>7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</row>
        <row r="1209">
          <cell r="A1209" t="str">
            <v>450362</v>
          </cell>
          <cell r="B1209" t="str">
            <v>1251</v>
          </cell>
          <cell r="C1209" t="str">
            <v>12</v>
          </cell>
          <cell r="D1209" t="str">
            <v>58</v>
          </cell>
          <cell r="E1209">
            <v>8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</row>
        <row r="1210">
          <cell r="A1210" t="str">
            <v>450362</v>
          </cell>
          <cell r="B1210" t="str">
            <v>1251</v>
          </cell>
          <cell r="C1210" t="str">
            <v>12</v>
          </cell>
          <cell r="D1210" t="str">
            <v>58</v>
          </cell>
          <cell r="E1210">
            <v>9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</row>
        <row r="1211">
          <cell r="A1211" t="str">
            <v>450362</v>
          </cell>
          <cell r="B1211" t="str">
            <v>1251</v>
          </cell>
          <cell r="C1211" t="str">
            <v>12</v>
          </cell>
          <cell r="D1211" t="str">
            <v>58</v>
          </cell>
          <cell r="E1211">
            <v>10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</row>
        <row r="1212">
          <cell r="A1212" t="str">
            <v>450362</v>
          </cell>
          <cell r="B1212" t="str">
            <v>1251</v>
          </cell>
          <cell r="C1212" t="str">
            <v>12</v>
          </cell>
          <cell r="D1212" t="str">
            <v>58</v>
          </cell>
          <cell r="E1212">
            <v>11</v>
          </cell>
          <cell r="G1212">
            <v>2218</v>
          </cell>
          <cell r="H1212">
            <v>0</v>
          </cell>
          <cell r="I1212">
            <v>134491</v>
          </cell>
          <cell r="J1212">
            <v>0</v>
          </cell>
          <cell r="K1212">
            <v>136709</v>
          </cell>
          <cell r="L1212">
            <v>0</v>
          </cell>
          <cell r="M1212">
            <v>2218</v>
          </cell>
          <cell r="N1212">
            <v>131211</v>
          </cell>
          <cell r="O1212">
            <v>0</v>
          </cell>
          <cell r="P1212">
            <v>3280</v>
          </cell>
          <cell r="Q1212">
            <v>3280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</row>
        <row r="1213">
          <cell r="A1213" t="str">
            <v>450362</v>
          </cell>
          <cell r="B1213" t="str">
            <v>1251</v>
          </cell>
          <cell r="C1213" t="str">
            <v>12</v>
          </cell>
          <cell r="D1213" t="str">
            <v>59</v>
          </cell>
          <cell r="E1213">
            <v>1</v>
          </cell>
          <cell r="G1213">
            <v>2352</v>
          </cell>
          <cell r="H1213">
            <v>-36</v>
          </cell>
          <cell r="I1213">
            <v>0</v>
          </cell>
          <cell r="J1213">
            <v>0</v>
          </cell>
          <cell r="K1213">
            <v>2316</v>
          </cell>
          <cell r="L1213">
            <v>0</v>
          </cell>
          <cell r="M1213">
            <v>306</v>
          </cell>
          <cell r="N1213">
            <v>0</v>
          </cell>
          <cell r="O1213">
            <v>2010</v>
          </cell>
          <cell r="P1213">
            <v>0</v>
          </cell>
          <cell r="Q1213">
            <v>2010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</row>
        <row r="1214">
          <cell r="A1214" t="str">
            <v>450362</v>
          </cell>
          <cell r="B1214" t="str">
            <v>1251</v>
          </cell>
          <cell r="C1214" t="str">
            <v>12</v>
          </cell>
          <cell r="D1214" t="str">
            <v>59</v>
          </cell>
          <cell r="E1214">
            <v>2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</row>
        <row r="1215">
          <cell r="A1215" t="str">
            <v>450362</v>
          </cell>
          <cell r="B1215" t="str">
            <v>1251</v>
          </cell>
          <cell r="C1215" t="str">
            <v>12</v>
          </cell>
          <cell r="D1215" t="str">
            <v>59</v>
          </cell>
          <cell r="E1215">
            <v>3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>
            <v>0</v>
          </cell>
          <cell r="W1215">
            <v>0</v>
          </cell>
        </row>
        <row r="1216">
          <cell r="A1216" t="str">
            <v>450362</v>
          </cell>
          <cell r="B1216" t="str">
            <v>1251</v>
          </cell>
          <cell r="C1216" t="str">
            <v>12</v>
          </cell>
          <cell r="D1216" t="str">
            <v>59</v>
          </cell>
          <cell r="E1216">
            <v>4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</row>
        <row r="1217">
          <cell r="A1217" t="str">
            <v>450362</v>
          </cell>
          <cell r="B1217" t="str">
            <v>1251</v>
          </cell>
          <cell r="C1217" t="str">
            <v>12</v>
          </cell>
          <cell r="D1217" t="str">
            <v>59</v>
          </cell>
          <cell r="E1217">
            <v>5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>
            <v>0</v>
          </cell>
          <cell r="W1217">
            <v>0</v>
          </cell>
        </row>
        <row r="1218">
          <cell r="A1218" t="str">
            <v>450362</v>
          </cell>
          <cell r="B1218" t="str">
            <v>1251</v>
          </cell>
          <cell r="C1218" t="str">
            <v>12</v>
          </cell>
          <cell r="D1218" t="str">
            <v>59</v>
          </cell>
          <cell r="E1218">
            <v>6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</row>
        <row r="1219">
          <cell r="A1219" t="str">
            <v>450362</v>
          </cell>
          <cell r="B1219" t="str">
            <v>1251</v>
          </cell>
          <cell r="C1219" t="str">
            <v>12</v>
          </cell>
          <cell r="D1219" t="str">
            <v>59</v>
          </cell>
          <cell r="E1219">
            <v>7</v>
          </cell>
          <cell r="G1219">
            <v>2352</v>
          </cell>
          <cell r="H1219">
            <v>-36</v>
          </cell>
          <cell r="I1219">
            <v>0</v>
          </cell>
          <cell r="J1219">
            <v>0</v>
          </cell>
          <cell r="K1219">
            <v>2316</v>
          </cell>
          <cell r="L1219">
            <v>0</v>
          </cell>
          <cell r="M1219">
            <v>306</v>
          </cell>
          <cell r="N1219">
            <v>0</v>
          </cell>
          <cell r="O1219">
            <v>2010</v>
          </cell>
          <cell r="P1219">
            <v>0</v>
          </cell>
          <cell r="Q1219">
            <v>2010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  <cell r="V1219">
            <v>0</v>
          </cell>
          <cell r="W1219">
            <v>0</v>
          </cell>
        </row>
        <row r="1220">
          <cell r="A1220" t="str">
            <v>450362</v>
          </cell>
          <cell r="B1220" t="str">
            <v>1251</v>
          </cell>
          <cell r="C1220" t="str">
            <v>12</v>
          </cell>
          <cell r="D1220" t="str">
            <v>59</v>
          </cell>
          <cell r="E1220">
            <v>8</v>
          </cell>
          <cell r="G1220">
            <v>6514</v>
          </cell>
          <cell r="H1220">
            <v>0</v>
          </cell>
          <cell r="I1220">
            <v>13869</v>
          </cell>
          <cell r="J1220">
            <v>0</v>
          </cell>
          <cell r="K1220">
            <v>20383</v>
          </cell>
          <cell r="L1220">
            <v>0</v>
          </cell>
          <cell r="M1220">
            <v>6514</v>
          </cell>
          <cell r="N1220">
            <v>0</v>
          </cell>
          <cell r="O1220">
            <v>333</v>
          </cell>
          <cell r="P1220">
            <v>13536</v>
          </cell>
          <cell r="Q1220">
            <v>13869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</row>
        <row r="1221">
          <cell r="A1221" t="str">
            <v>450362</v>
          </cell>
          <cell r="B1221" t="str">
            <v>1251</v>
          </cell>
          <cell r="C1221" t="str">
            <v>12</v>
          </cell>
          <cell r="D1221" t="str">
            <v>59</v>
          </cell>
          <cell r="E1221">
            <v>9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</row>
        <row r="1222">
          <cell r="A1222" t="str">
            <v>450362</v>
          </cell>
          <cell r="B1222" t="str">
            <v>1251</v>
          </cell>
          <cell r="C1222" t="str">
            <v>12</v>
          </cell>
          <cell r="D1222" t="str">
            <v>59</v>
          </cell>
          <cell r="E1222">
            <v>10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</row>
        <row r="1223">
          <cell r="A1223" t="str">
            <v>450362</v>
          </cell>
          <cell r="B1223" t="str">
            <v>1251</v>
          </cell>
          <cell r="C1223" t="str">
            <v>12</v>
          </cell>
          <cell r="D1223" t="str">
            <v>59</v>
          </cell>
          <cell r="E1223">
            <v>11</v>
          </cell>
          <cell r="G1223">
            <v>6123</v>
          </cell>
          <cell r="H1223">
            <v>0</v>
          </cell>
          <cell r="I1223">
            <v>13163</v>
          </cell>
          <cell r="J1223">
            <v>0</v>
          </cell>
          <cell r="K1223">
            <v>19286</v>
          </cell>
          <cell r="L1223">
            <v>0</v>
          </cell>
          <cell r="M1223">
            <v>6123</v>
          </cell>
          <cell r="N1223">
            <v>0</v>
          </cell>
          <cell r="O1223">
            <v>0</v>
          </cell>
          <cell r="P1223">
            <v>13163</v>
          </cell>
          <cell r="Q1223">
            <v>13163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</row>
        <row r="1224">
          <cell r="A1224" t="str">
            <v>450362</v>
          </cell>
          <cell r="B1224" t="str">
            <v>1251</v>
          </cell>
          <cell r="C1224" t="str">
            <v>12</v>
          </cell>
          <cell r="D1224" t="str">
            <v>59</v>
          </cell>
          <cell r="E1224">
            <v>12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</row>
        <row r="1225">
          <cell r="A1225" t="str">
            <v>450362</v>
          </cell>
          <cell r="B1225" t="str">
            <v>1251</v>
          </cell>
          <cell r="C1225" t="str">
            <v>12</v>
          </cell>
          <cell r="D1225" t="str">
            <v>59</v>
          </cell>
          <cell r="E1225">
            <v>13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</row>
        <row r="1226">
          <cell r="A1226" t="str">
            <v>450362</v>
          </cell>
          <cell r="B1226" t="str">
            <v>1251</v>
          </cell>
          <cell r="C1226" t="str">
            <v>12</v>
          </cell>
          <cell r="D1226" t="str">
            <v>59</v>
          </cell>
          <cell r="E1226">
            <v>14</v>
          </cell>
          <cell r="G1226">
            <v>6123</v>
          </cell>
          <cell r="H1226">
            <v>0</v>
          </cell>
          <cell r="I1226">
            <v>13163</v>
          </cell>
          <cell r="J1226">
            <v>0</v>
          </cell>
          <cell r="K1226">
            <v>19286</v>
          </cell>
          <cell r="L1226">
            <v>0</v>
          </cell>
          <cell r="M1226">
            <v>6123</v>
          </cell>
          <cell r="N1226">
            <v>0</v>
          </cell>
          <cell r="O1226">
            <v>0</v>
          </cell>
          <cell r="P1226">
            <v>13163</v>
          </cell>
          <cell r="Q1226">
            <v>13163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</row>
        <row r="1227">
          <cell r="A1227" t="str">
            <v>450362</v>
          </cell>
          <cell r="B1227" t="str">
            <v>1251</v>
          </cell>
          <cell r="C1227" t="str">
            <v>12</v>
          </cell>
          <cell r="D1227" t="str">
            <v>59</v>
          </cell>
          <cell r="E1227">
            <v>15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0</v>
          </cell>
          <cell r="V1227">
            <v>0</v>
          </cell>
          <cell r="W1227">
            <v>0</v>
          </cell>
        </row>
        <row r="1228">
          <cell r="A1228" t="str">
            <v>450362</v>
          </cell>
          <cell r="B1228" t="str">
            <v>1251</v>
          </cell>
          <cell r="C1228" t="str">
            <v>12</v>
          </cell>
          <cell r="D1228" t="str">
            <v>59</v>
          </cell>
          <cell r="E1228">
            <v>16</v>
          </cell>
          <cell r="G1228">
            <v>391</v>
          </cell>
          <cell r="H1228">
            <v>0</v>
          </cell>
          <cell r="I1228">
            <v>706</v>
          </cell>
          <cell r="J1228">
            <v>0</v>
          </cell>
          <cell r="K1228">
            <v>1097</v>
          </cell>
          <cell r="L1228">
            <v>0</v>
          </cell>
          <cell r="M1228">
            <v>391</v>
          </cell>
          <cell r="N1228">
            <v>0</v>
          </cell>
          <cell r="O1228">
            <v>333</v>
          </cell>
          <cell r="P1228">
            <v>373</v>
          </cell>
          <cell r="Q1228">
            <v>706</v>
          </cell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</row>
        <row r="1229">
          <cell r="A1229" t="str">
            <v>450362</v>
          </cell>
          <cell r="B1229" t="str">
            <v>1251</v>
          </cell>
          <cell r="C1229" t="str">
            <v>12</v>
          </cell>
          <cell r="D1229" t="str">
            <v>59</v>
          </cell>
          <cell r="E1229">
            <v>17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</row>
        <row r="1230">
          <cell r="A1230" t="str">
            <v>450362</v>
          </cell>
          <cell r="B1230" t="str">
            <v>1251</v>
          </cell>
          <cell r="C1230" t="str">
            <v>12</v>
          </cell>
          <cell r="D1230" t="str">
            <v>59</v>
          </cell>
          <cell r="E1230">
            <v>18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</row>
        <row r="1231">
          <cell r="A1231" t="str">
            <v>450362</v>
          </cell>
          <cell r="B1231" t="str">
            <v>1251</v>
          </cell>
          <cell r="C1231" t="str">
            <v>12</v>
          </cell>
          <cell r="D1231" t="str">
            <v>59</v>
          </cell>
          <cell r="E1231">
            <v>19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</row>
        <row r="1232">
          <cell r="A1232" t="str">
            <v>450362</v>
          </cell>
          <cell r="B1232" t="str">
            <v>1251</v>
          </cell>
          <cell r="C1232" t="str">
            <v>12</v>
          </cell>
          <cell r="D1232" t="str">
            <v>59</v>
          </cell>
          <cell r="E1232">
            <v>20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</row>
        <row r="1233">
          <cell r="A1233" t="str">
            <v>450362</v>
          </cell>
          <cell r="B1233" t="str">
            <v>1251</v>
          </cell>
          <cell r="C1233" t="str">
            <v>12</v>
          </cell>
          <cell r="D1233" t="str">
            <v>59</v>
          </cell>
          <cell r="E1233">
            <v>21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</row>
        <row r="1234">
          <cell r="A1234" t="str">
            <v>450362</v>
          </cell>
          <cell r="B1234" t="str">
            <v>1251</v>
          </cell>
          <cell r="C1234" t="str">
            <v>12</v>
          </cell>
          <cell r="D1234" t="str">
            <v>59</v>
          </cell>
          <cell r="E1234">
            <v>22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</row>
        <row r="1235">
          <cell r="A1235" t="str">
            <v>450362</v>
          </cell>
          <cell r="B1235" t="str">
            <v>1251</v>
          </cell>
          <cell r="C1235" t="str">
            <v>12</v>
          </cell>
          <cell r="D1235" t="str">
            <v>59</v>
          </cell>
          <cell r="E1235">
            <v>23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</row>
        <row r="1236">
          <cell r="A1236" t="str">
            <v>450362</v>
          </cell>
          <cell r="B1236" t="str">
            <v>1251</v>
          </cell>
          <cell r="C1236" t="str">
            <v>12</v>
          </cell>
          <cell r="D1236" t="str">
            <v>59</v>
          </cell>
          <cell r="E1236">
            <v>24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</row>
        <row r="1237">
          <cell r="A1237" t="str">
            <v>450362</v>
          </cell>
          <cell r="B1237" t="str">
            <v>1251</v>
          </cell>
          <cell r="C1237" t="str">
            <v>12</v>
          </cell>
          <cell r="D1237" t="str">
            <v>59</v>
          </cell>
          <cell r="E1237">
            <v>25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</row>
        <row r="1238">
          <cell r="A1238" t="str">
            <v>450362</v>
          </cell>
          <cell r="B1238" t="str">
            <v>1251</v>
          </cell>
          <cell r="C1238" t="str">
            <v>12</v>
          </cell>
          <cell r="D1238" t="str">
            <v>59</v>
          </cell>
          <cell r="E1238">
            <v>26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</row>
        <row r="1239">
          <cell r="A1239" t="str">
            <v>450362</v>
          </cell>
          <cell r="B1239" t="str">
            <v>1251</v>
          </cell>
          <cell r="C1239" t="str">
            <v>12</v>
          </cell>
          <cell r="D1239" t="str">
            <v>59</v>
          </cell>
          <cell r="E1239">
            <v>27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</row>
        <row r="1240">
          <cell r="A1240" t="str">
            <v>450362</v>
          </cell>
          <cell r="B1240" t="str">
            <v>1251</v>
          </cell>
          <cell r="C1240" t="str">
            <v>12</v>
          </cell>
          <cell r="D1240" t="str">
            <v>59</v>
          </cell>
          <cell r="E1240">
            <v>28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</row>
        <row r="1241">
          <cell r="A1241" t="str">
            <v>450362</v>
          </cell>
          <cell r="B1241" t="str">
            <v>1251</v>
          </cell>
          <cell r="C1241" t="str">
            <v>12</v>
          </cell>
          <cell r="D1241" t="str">
            <v>59</v>
          </cell>
          <cell r="E1241">
            <v>29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</row>
        <row r="1242">
          <cell r="A1242" t="str">
            <v>450362</v>
          </cell>
          <cell r="B1242" t="str">
            <v>1251</v>
          </cell>
          <cell r="C1242" t="str">
            <v>12</v>
          </cell>
          <cell r="D1242" t="str">
            <v>59</v>
          </cell>
          <cell r="E1242">
            <v>30</v>
          </cell>
          <cell r="G1242">
            <v>297</v>
          </cell>
          <cell r="H1242">
            <v>0</v>
          </cell>
          <cell r="I1242">
            <v>333</v>
          </cell>
          <cell r="J1242">
            <v>0</v>
          </cell>
          <cell r="K1242">
            <v>630</v>
          </cell>
          <cell r="L1242">
            <v>0</v>
          </cell>
          <cell r="M1242">
            <v>297</v>
          </cell>
          <cell r="N1242">
            <v>0</v>
          </cell>
          <cell r="O1242">
            <v>333</v>
          </cell>
          <cell r="P1242">
            <v>0</v>
          </cell>
          <cell r="Q1242">
            <v>333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</row>
        <row r="1243">
          <cell r="A1243" t="str">
            <v>450362</v>
          </cell>
          <cell r="B1243" t="str">
            <v>1251</v>
          </cell>
          <cell r="C1243" t="str">
            <v>12</v>
          </cell>
          <cell r="D1243" t="str">
            <v>59</v>
          </cell>
          <cell r="E1243">
            <v>31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</row>
        <row r="1244">
          <cell r="A1244" t="str">
            <v>450362</v>
          </cell>
          <cell r="B1244" t="str">
            <v>1251</v>
          </cell>
          <cell r="C1244" t="str">
            <v>12</v>
          </cell>
          <cell r="D1244" t="str">
            <v>59</v>
          </cell>
          <cell r="E1244">
            <v>32</v>
          </cell>
          <cell r="G1244">
            <v>94</v>
          </cell>
          <cell r="H1244">
            <v>0</v>
          </cell>
          <cell r="I1244">
            <v>373</v>
          </cell>
          <cell r="J1244">
            <v>0</v>
          </cell>
          <cell r="K1244">
            <v>467</v>
          </cell>
          <cell r="L1244">
            <v>0</v>
          </cell>
          <cell r="M1244">
            <v>94</v>
          </cell>
          <cell r="N1244">
            <v>0</v>
          </cell>
          <cell r="O1244">
            <v>0</v>
          </cell>
          <cell r="P1244">
            <v>373</v>
          </cell>
          <cell r="Q1244">
            <v>373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</row>
        <row r="1245">
          <cell r="A1245" t="str">
            <v>450362</v>
          </cell>
          <cell r="B1245" t="str">
            <v>1251</v>
          </cell>
          <cell r="C1245" t="str">
            <v>12</v>
          </cell>
          <cell r="D1245" t="str">
            <v>59</v>
          </cell>
          <cell r="E1245">
            <v>33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</row>
        <row r="1246">
          <cell r="A1246" t="str">
            <v>450362</v>
          </cell>
          <cell r="B1246" t="str">
            <v>1251</v>
          </cell>
          <cell r="C1246" t="str">
            <v>12</v>
          </cell>
          <cell r="D1246" t="str">
            <v>59</v>
          </cell>
          <cell r="E1246">
            <v>34</v>
          </cell>
          <cell r="G1246">
            <v>8866</v>
          </cell>
          <cell r="H1246">
            <v>-36</v>
          </cell>
          <cell r="I1246">
            <v>13869</v>
          </cell>
          <cell r="J1246">
            <v>0</v>
          </cell>
          <cell r="K1246">
            <v>22699</v>
          </cell>
          <cell r="L1246">
            <v>0</v>
          </cell>
          <cell r="M1246">
            <v>6820</v>
          </cell>
          <cell r="N1246">
            <v>0</v>
          </cell>
          <cell r="O1246">
            <v>2343</v>
          </cell>
          <cell r="P1246">
            <v>13536</v>
          </cell>
          <cell r="Q1246">
            <v>15879</v>
          </cell>
          <cell r="R1246">
            <v>0</v>
          </cell>
          <cell r="S1246">
            <v>0</v>
          </cell>
          <cell r="T1246">
            <v>0</v>
          </cell>
          <cell r="U1246">
            <v>0</v>
          </cell>
          <cell r="V1246">
            <v>0</v>
          </cell>
          <cell r="W1246">
            <v>0</v>
          </cell>
        </row>
        <row r="1247">
          <cell r="A1247" t="str">
            <v>450362</v>
          </cell>
          <cell r="B1247" t="str">
            <v>1251</v>
          </cell>
          <cell r="C1247" t="str">
            <v>12</v>
          </cell>
          <cell r="D1247" t="str">
            <v>75</v>
          </cell>
          <cell r="E1247">
            <v>1</v>
          </cell>
          <cell r="G1247">
            <v>581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306</v>
          </cell>
          <cell r="M1247">
            <v>0</v>
          </cell>
          <cell r="N1247">
            <v>0</v>
          </cell>
          <cell r="O1247">
            <v>0</v>
          </cell>
          <cell r="P1247">
            <v>306</v>
          </cell>
          <cell r="Q1247">
            <v>0</v>
          </cell>
          <cell r="R1247">
            <v>306</v>
          </cell>
          <cell r="S1247">
            <v>-306</v>
          </cell>
          <cell r="T1247">
            <v>306</v>
          </cell>
          <cell r="U1247">
            <v>0</v>
          </cell>
          <cell r="V1247">
            <v>275</v>
          </cell>
          <cell r="W1247">
            <v>0</v>
          </cell>
        </row>
        <row r="1248">
          <cell r="A1248" t="str">
            <v>450362</v>
          </cell>
          <cell r="B1248" t="str">
            <v>1251</v>
          </cell>
          <cell r="C1248" t="str">
            <v>12</v>
          </cell>
          <cell r="D1248" t="str">
            <v>75</v>
          </cell>
          <cell r="E1248">
            <v>2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</row>
        <row r="1249">
          <cell r="A1249" t="str">
            <v>450362</v>
          </cell>
          <cell r="B1249" t="str">
            <v>1251</v>
          </cell>
          <cell r="C1249" t="str">
            <v>12</v>
          </cell>
          <cell r="D1249" t="str">
            <v>75</v>
          </cell>
          <cell r="E1249">
            <v>3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</row>
        <row r="1250">
          <cell r="A1250" t="str">
            <v>450362</v>
          </cell>
          <cell r="B1250" t="str">
            <v>1251</v>
          </cell>
          <cell r="C1250" t="str">
            <v>12</v>
          </cell>
          <cell r="D1250" t="str">
            <v>75</v>
          </cell>
          <cell r="E1250">
            <v>4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</row>
        <row r="1251">
          <cell r="A1251" t="str">
            <v>450362</v>
          </cell>
          <cell r="B1251" t="str">
            <v>1251</v>
          </cell>
          <cell r="C1251" t="str">
            <v>12</v>
          </cell>
          <cell r="D1251" t="str">
            <v>75</v>
          </cell>
          <cell r="E1251">
            <v>5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</row>
        <row r="1252">
          <cell r="A1252" t="str">
            <v>450362</v>
          </cell>
          <cell r="B1252" t="str">
            <v>1251</v>
          </cell>
          <cell r="C1252" t="str">
            <v>12</v>
          </cell>
          <cell r="D1252" t="str">
            <v>75</v>
          </cell>
          <cell r="E1252">
            <v>6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</row>
        <row r="1253">
          <cell r="A1253" t="str">
            <v>450362</v>
          </cell>
          <cell r="B1253" t="str">
            <v>1251</v>
          </cell>
          <cell r="C1253" t="str">
            <v>12</v>
          </cell>
          <cell r="D1253" t="str">
            <v>75</v>
          </cell>
          <cell r="E1253">
            <v>7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</row>
        <row r="1254">
          <cell r="A1254" t="str">
            <v>450362</v>
          </cell>
          <cell r="B1254" t="str">
            <v>1251</v>
          </cell>
          <cell r="C1254" t="str">
            <v>12</v>
          </cell>
          <cell r="D1254" t="str">
            <v>75</v>
          </cell>
          <cell r="E1254">
            <v>8</v>
          </cell>
          <cell r="G1254">
            <v>581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306</v>
          </cell>
          <cell r="M1254">
            <v>0</v>
          </cell>
          <cell r="N1254">
            <v>0</v>
          </cell>
          <cell r="O1254">
            <v>0</v>
          </cell>
          <cell r="P1254">
            <v>306</v>
          </cell>
          <cell r="Q1254">
            <v>0</v>
          </cell>
          <cell r="R1254">
            <v>306</v>
          </cell>
          <cell r="S1254">
            <v>-306</v>
          </cell>
          <cell r="T1254">
            <v>306</v>
          </cell>
          <cell r="U1254">
            <v>0</v>
          </cell>
          <cell r="V1254">
            <v>275</v>
          </cell>
          <cell r="W1254">
            <v>0</v>
          </cell>
        </row>
        <row r="1255">
          <cell r="A1255" t="str">
            <v>450362</v>
          </cell>
          <cell r="B1255" t="str">
            <v>1251</v>
          </cell>
          <cell r="C1255" t="str">
            <v>12</v>
          </cell>
          <cell r="D1255" t="str">
            <v>75</v>
          </cell>
          <cell r="E1255">
            <v>9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</row>
        <row r="1256">
          <cell r="A1256" t="str">
            <v>450362</v>
          </cell>
          <cell r="B1256" t="str">
            <v>1251</v>
          </cell>
          <cell r="C1256" t="str">
            <v>12</v>
          </cell>
          <cell r="D1256" t="str">
            <v>75</v>
          </cell>
          <cell r="E1256">
            <v>10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</row>
        <row r="1257">
          <cell r="A1257" t="str">
            <v>450362</v>
          </cell>
          <cell r="B1257" t="str">
            <v>1251</v>
          </cell>
          <cell r="C1257" t="str">
            <v>12</v>
          </cell>
          <cell r="D1257" t="str">
            <v>75</v>
          </cell>
          <cell r="E1257">
            <v>11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</row>
        <row r="1258">
          <cell r="A1258" t="str">
            <v>450362</v>
          </cell>
          <cell r="B1258" t="str">
            <v>1251</v>
          </cell>
          <cell r="C1258" t="str">
            <v>12</v>
          </cell>
          <cell r="D1258" t="str">
            <v>75</v>
          </cell>
          <cell r="E1258">
            <v>12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</row>
        <row r="1259">
          <cell r="A1259" t="str">
            <v>450362</v>
          </cell>
          <cell r="B1259" t="str">
            <v>1251</v>
          </cell>
          <cell r="C1259" t="str">
            <v>12</v>
          </cell>
          <cell r="D1259" t="str">
            <v>75</v>
          </cell>
          <cell r="E1259">
            <v>13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</row>
        <row r="1260">
          <cell r="A1260" t="str">
            <v>450362</v>
          </cell>
          <cell r="B1260" t="str">
            <v>1251</v>
          </cell>
          <cell r="C1260" t="str">
            <v>12</v>
          </cell>
          <cell r="D1260" t="str">
            <v>75</v>
          </cell>
          <cell r="E1260">
            <v>14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>
            <v>0</v>
          </cell>
          <cell r="W1260">
            <v>0</v>
          </cell>
        </row>
        <row r="1261">
          <cell r="A1261" t="str">
            <v>450362</v>
          </cell>
          <cell r="B1261" t="str">
            <v>1251</v>
          </cell>
          <cell r="C1261" t="str">
            <v>12</v>
          </cell>
          <cell r="D1261" t="str">
            <v>75</v>
          </cell>
          <cell r="E1261">
            <v>15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</row>
        <row r="1262">
          <cell r="A1262" t="str">
            <v>450362</v>
          </cell>
          <cell r="B1262" t="str">
            <v>1251</v>
          </cell>
          <cell r="C1262" t="str">
            <v>12</v>
          </cell>
          <cell r="D1262" t="str">
            <v>75</v>
          </cell>
          <cell r="E1262">
            <v>16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</row>
        <row r="1263">
          <cell r="A1263" t="str">
            <v>450362</v>
          </cell>
          <cell r="B1263" t="str">
            <v>1251</v>
          </cell>
          <cell r="C1263" t="str">
            <v>12</v>
          </cell>
          <cell r="D1263" t="str">
            <v>75</v>
          </cell>
          <cell r="E1263">
            <v>17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</row>
        <row r="1264">
          <cell r="A1264" t="str">
            <v>450362</v>
          </cell>
          <cell r="B1264" t="str">
            <v>1251</v>
          </cell>
          <cell r="C1264" t="str">
            <v>12</v>
          </cell>
          <cell r="D1264" t="str">
            <v>75</v>
          </cell>
          <cell r="E1264">
            <v>18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</row>
        <row r="1265">
          <cell r="A1265" t="str">
            <v>450362</v>
          </cell>
          <cell r="B1265" t="str">
            <v>1251</v>
          </cell>
          <cell r="C1265" t="str">
            <v>12</v>
          </cell>
          <cell r="D1265" t="str">
            <v>75</v>
          </cell>
          <cell r="E1265">
            <v>19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</row>
        <row r="1266">
          <cell r="A1266" t="str">
            <v>450362</v>
          </cell>
          <cell r="B1266" t="str">
            <v>1251</v>
          </cell>
          <cell r="C1266" t="str">
            <v>12</v>
          </cell>
          <cell r="D1266" t="str">
            <v>75</v>
          </cell>
          <cell r="E1266">
            <v>20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</row>
        <row r="1267">
          <cell r="A1267" t="str">
            <v>450362</v>
          </cell>
          <cell r="B1267" t="str">
            <v>1251</v>
          </cell>
          <cell r="C1267" t="str">
            <v>12</v>
          </cell>
          <cell r="D1267" t="str">
            <v>75</v>
          </cell>
          <cell r="E1267">
            <v>21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</row>
        <row r="1268">
          <cell r="A1268" t="str">
            <v>450362</v>
          </cell>
          <cell r="B1268" t="str">
            <v>1251</v>
          </cell>
          <cell r="C1268" t="str">
            <v>12</v>
          </cell>
          <cell r="D1268" t="str">
            <v>75</v>
          </cell>
          <cell r="E1268">
            <v>22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</row>
        <row r="1269">
          <cell r="A1269" t="str">
            <v>450362</v>
          </cell>
          <cell r="B1269" t="str">
            <v>1251</v>
          </cell>
          <cell r="C1269" t="str">
            <v>12</v>
          </cell>
          <cell r="D1269" t="str">
            <v>75</v>
          </cell>
          <cell r="E1269">
            <v>23</v>
          </cell>
          <cell r="G1269">
            <v>177911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168109</v>
          </cell>
          <cell r="M1269">
            <v>0</v>
          </cell>
          <cell r="N1269">
            <v>0</v>
          </cell>
          <cell r="O1269">
            <v>0</v>
          </cell>
          <cell r="P1269">
            <v>0</v>
          </cell>
          <cell r="Q1269">
            <v>168109</v>
          </cell>
          <cell r="R1269">
            <v>168109</v>
          </cell>
          <cell r="S1269">
            <v>0</v>
          </cell>
          <cell r="T1269">
            <v>0</v>
          </cell>
          <cell r="U1269">
            <v>0</v>
          </cell>
          <cell r="V1269">
            <v>9802</v>
          </cell>
          <cell r="W1269">
            <v>0</v>
          </cell>
        </row>
        <row r="1270">
          <cell r="A1270" t="str">
            <v>450362</v>
          </cell>
          <cell r="B1270" t="str">
            <v>1251</v>
          </cell>
          <cell r="C1270" t="str">
            <v>12</v>
          </cell>
          <cell r="D1270" t="str">
            <v>75</v>
          </cell>
          <cell r="E1270">
            <v>24</v>
          </cell>
          <cell r="G1270">
            <v>56673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53644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  <cell r="Q1270">
            <v>53644</v>
          </cell>
          <cell r="R1270">
            <v>53644</v>
          </cell>
          <cell r="S1270">
            <v>0</v>
          </cell>
          <cell r="T1270">
            <v>0</v>
          </cell>
          <cell r="U1270">
            <v>0</v>
          </cell>
          <cell r="V1270">
            <v>3029</v>
          </cell>
          <cell r="W1270">
            <v>0</v>
          </cell>
        </row>
        <row r="1271">
          <cell r="A1271" t="str">
            <v>450362</v>
          </cell>
          <cell r="B1271" t="str">
            <v>1251</v>
          </cell>
          <cell r="C1271" t="str">
            <v>12</v>
          </cell>
          <cell r="D1271" t="str">
            <v>75</v>
          </cell>
          <cell r="E1271">
            <v>25</v>
          </cell>
          <cell r="G1271">
            <v>128388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116916</v>
          </cell>
          <cell r="M1271">
            <v>0</v>
          </cell>
          <cell r="N1271">
            <v>0</v>
          </cell>
          <cell r="O1271">
            <v>0</v>
          </cell>
          <cell r="P1271">
            <v>0</v>
          </cell>
          <cell r="Q1271">
            <v>116916</v>
          </cell>
          <cell r="R1271">
            <v>116916</v>
          </cell>
          <cell r="S1271">
            <v>0</v>
          </cell>
          <cell r="T1271">
            <v>0</v>
          </cell>
          <cell r="U1271">
            <v>0</v>
          </cell>
          <cell r="V1271">
            <v>11472</v>
          </cell>
          <cell r="W1271">
            <v>0</v>
          </cell>
        </row>
        <row r="1272">
          <cell r="A1272" t="str">
            <v>450362</v>
          </cell>
          <cell r="B1272" t="str">
            <v>1251</v>
          </cell>
          <cell r="C1272" t="str">
            <v>12</v>
          </cell>
          <cell r="D1272" t="str">
            <v>75</v>
          </cell>
          <cell r="E1272">
            <v>26</v>
          </cell>
          <cell r="G1272">
            <v>362972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338669</v>
          </cell>
          <cell r="M1272">
            <v>0</v>
          </cell>
          <cell r="N1272">
            <v>0</v>
          </cell>
          <cell r="O1272">
            <v>0</v>
          </cell>
          <cell r="P1272">
            <v>0</v>
          </cell>
          <cell r="Q1272">
            <v>338669</v>
          </cell>
          <cell r="R1272">
            <v>338669</v>
          </cell>
          <cell r="S1272">
            <v>0</v>
          </cell>
          <cell r="T1272">
            <v>0</v>
          </cell>
          <cell r="U1272">
            <v>0</v>
          </cell>
          <cell r="V1272">
            <v>24303</v>
          </cell>
          <cell r="W1272">
            <v>0</v>
          </cell>
        </row>
        <row r="1273">
          <cell r="A1273" t="str">
            <v>450362</v>
          </cell>
          <cell r="B1273" t="str">
            <v>1251</v>
          </cell>
          <cell r="C1273" t="str">
            <v>12</v>
          </cell>
          <cell r="D1273" t="str">
            <v>75</v>
          </cell>
          <cell r="E1273">
            <v>27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</row>
        <row r="1274">
          <cell r="A1274" t="str">
            <v>450362</v>
          </cell>
          <cell r="B1274" t="str">
            <v>1251</v>
          </cell>
          <cell r="C1274" t="str">
            <v>12</v>
          </cell>
          <cell r="D1274" t="str">
            <v>75</v>
          </cell>
          <cell r="E1274">
            <v>28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</row>
        <row r="1275">
          <cell r="A1275" t="str">
            <v>450362</v>
          </cell>
          <cell r="B1275" t="str">
            <v>1251</v>
          </cell>
          <cell r="C1275" t="str">
            <v>12</v>
          </cell>
          <cell r="D1275" t="str">
            <v>75</v>
          </cell>
          <cell r="E1275">
            <v>29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</row>
        <row r="1276">
          <cell r="A1276" t="str">
            <v>450362</v>
          </cell>
          <cell r="B1276" t="str">
            <v>1251</v>
          </cell>
          <cell r="C1276" t="str">
            <v>12</v>
          </cell>
          <cell r="D1276" t="str">
            <v>75</v>
          </cell>
          <cell r="E1276">
            <v>30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</row>
        <row r="1277">
          <cell r="A1277" t="str">
            <v>450362</v>
          </cell>
          <cell r="B1277" t="str">
            <v>1251</v>
          </cell>
          <cell r="C1277" t="str">
            <v>12</v>
          </cell>
          <cell r="D1277" t="str">
            <v>75</v>
          </cell>
          <cell r="E1277">
            <v>31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</row>
        <row r="1278">
          <cell r="A1278" t="str">
            <v>450362</v>
          </cell>
          <cell r="B1278" t="str">
            <v>1251</v>
          </cell>
          <cell r="C1278" t="str">
            <v>12</v>
          </cell>
          <cell r="D1278" t="str">
            <v>75</v>
          </cell>
          <cell r="E1278">
            <v>32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</row>
        <row r="1279">
          <cell r="A1279" t="str">
            <v>450362</v>
          </cell>
          <cell r="B1279" t="str">
            <v>1251</v>
          </cell>
          <cell r="C1279" t="str">
            <v>12</v>
          </cell>
          <cell r="D1279" t="str">
            <v>75</v>
          </cell>
          <cell r="E1279">
            <v>33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</row>
        <row r="1280">
          <cell r="A1280" t="str">
            <v>450362</v>
          </cell>
          <cell r="B1280" t="str">
            <v>1251</v>
          </cell>
          <cell r="C1280" t="str">
            <v>12</v>
          </cell>
          <cell r="D1280" t="str">
            <v>75</v>
          </cell>
          <cell r="E1280">
            <v>34</v>
          </cell>
          <cell r="G1280">
            <v>363553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338975</v>
          </cell>
          <cell r="M1280">
            <v>0</v>
          </cell>
          <cell r="N1280">
            <v>0</v>
          </cell>
          <cell r="O1280">
            <v>0</v>
          </cell>
          <cell r="P1280">
            <v>306</v>
          </cell>
          <cell r="Q1280">
            <v>338669</v>
          </cell>
          <cell r="R1280">
            <v>338975</v>
          </cell>
          <cell r="S1280">
            <v>-306</v>
          </cell>
          <cell r="T1280">
            <v>306</v>
          </cell>
          <cell r="U1280">
            <v>0</v>
          </cell>
          <cell r="V1280">
            <v>24578</v>
          </cell>
          <cell r="W1280">
            <v>0</v>
          </cell>
        </row>
        <row r="1281">
          <cell r="A1281" t="str">
            <v>450362</v>
          </cell>
          <cell r="B1281" t="str">
            <v>1251</v>
          </cell>
          <cell r="C1281" t="str">
            <v>12</v>
          </cell>
          <cell r="D1281" t="str">
            <v>80</v>
          </cell>
          <cell r="E1281">
            <v>1</v>
          </cell>
          <cell r="G1281">
            <v>153132</v>
          </cell>
          <cell r="H1281">
            <v>152832</v>
          </cell>
          <cell r="I1281">
            <v>140174</v>
          </cell>
          <cell r="J1281">
            <v>0</v>
          </cell>
          <cell r="K1281">
            <v>23867</v>
          </cell>
          <cell r="L1281">
            <v>23867</v>
          </cell>
          <cell r="M1281">
            <v>26724</v>
          </cell>
          <cell r="N1281">
            <v>0</v>
          </cell>
          <cell r="O1281">
            <v>912</v>
          </cell>
          <cell r="P1281">
            <v>1212</v>
          </cell>
          <cell r="Q1281">
            <v>1211</v>
          </cell>
          <cell r="R1281">
            <v>0</v>
          </cell>
          <cell r="S1281">
            <v>177911</v>
          </cell>
          <cell r="T1281">
            <v>177911</v>
          </cell>
          <cell r="U1281">
            <v>168109</v>
          </cell>
          <cell r="V1281">
            <v>0</v>
          </cell>
          <cell r="W1281">
            <v>0</v>
          </cell>
        </row>
        <row r="1282">
          <cell r="A1282" t="str">
            <v>450362</v>
          </cell>
          <cell r="B1282" t="str">
            <v>1251</v>
          </cell>
          <cell r="C1282" t="str">
            <v>12</v>
          </cell>
          <cell r="D1282" t="str">
            <v>80</v>
          </cell>
          <cell r="E1282">
            <v>5</v>
          </cell>
          <cell r="G1282">
            <v>54469</v>
          </cell>
          <cell r="H1282">
            <v>54469</v>
          </cell>
          <cell r="I1282">
            <v>51244</v>
          </cell>
          <cell r="J1282">
            <v>0</v>
          </cell>
          <cell r="K1282">
            <v>2204</v>
          </cell>
          <cell r="L1282">
            <v>2204</v>
          </cell>
          <cell r="M1282">
            <v>2400</v>
          </cell>
          <cell r="N1282">
            <v>0</v>
          </cell>
          <cell r="O1282">
            <v>98856</v>
          </cell>
          <cell r="P1282">
            <v>110243</v>
          </cell>
          <cell r="Q1282">
            <v>99251</v>
          </cell>
          <cell r="R1282">
            <v>0</v>
          </cell>
          <cell r="S1282">
            <v>14076</v>
          </cell>
          <cell r="T1282">
            <v>17430</v>
          </cell>
          <cell r="U1282">
            <v>17112</v>
          </cell>
          <cell r="V1282">
            <v>0</v>
          </cell>
          <cell r="W1282">
            <v>0</v>
          </cell>
        </row>
        <row r="1283">
          <cell r="A1283" t="str">
            <v>450362</v>
          </cell>
          <cell r="B1283" t="str">
            <v>1251</v>
          </cell>
          <cell r="C1283" t="str">
            <v>12</v>
          </cell>
          <cell r="D1283" t="str">
            <v>80</v>
          </cell>
          <cell r="E1283">
            <v>9</v>
          </cell>
          <cell r="G1283">
            <v>0</v>
          </cell>
          <cell r="H1283">
            <v>233</v>
          </cell>
          <cell r="I1283">
            <v>233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</row>
        <row r="1284">
          <cell r="A1284" t="str">
            <v>450362</v>
          </cell>
          <cell r="B1284" t="str">
            <v>1251</v>
          </cell>
          <cell r="C1284" t="str">
            <v>12</v>
          </cell>
          <cell r="D1284" t="str">
            <v>80</v>
          </cell>
          <cell r="E1284">
            <v>13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</row>
        <row r="1285">
          <cell r="A1285" t="str">
            <v>450362</v>
          </cell>
          <cell r="B1285" t="str">
            <v>1251</v>
          </cell>
          <cell r="C1285" t="str">
            <v>12</v>
          </cell>
          <cell r="D1285" t="str">
            <v>80</v>
          </cell>
          <cell r="E1285">
            <v>17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</row>
        <row r="1286">
          <cell r="A1286" t="str">
            <v>450362</v>
          </cell>
          <cell r="B1286" t="str">
            <v>1251</v>
          </cell>
          <cell r="C1286" t="str">
            <v>12</v>
          </cell>
          <cell r="D1286" t="str">
            <v>80</v>
          </cell>
          <cell r="E1286">
            <v>21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</row>
        <row r="1287">
          <cell r="A1287" t="str">
            <v>450362</v>
          </cell>
          <cell r="B1287" t="str">
            <v>1251</v>
          </cell>
          <cell r="C1287" t="str">
            <v>12</v>
          </cell>
          <cell r="D1287" t="str">
            <v>80</v>
          </cell>
          <cell r="E1287">
            <v>25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0</v>
          </cell>
          <cell r="V1287">
            <v>0</v>
          </cell>
          <cell r="W1287">
            <v>0</v>
          </cell>
        </row>
        <row r="1288">
          <cell r="A1288" t="str">
            <v>450362</v>
          </cell>
          <cell r="B1288" t="str">
            <v>1251</v>
          </cell>
          <cell r="C1288" t="str">
            <v>12</v>
          </cell>
          <cell r="D1288" t="str">
            <v>80</v>
          </cell>
          <cell r="E1288">
            <v>29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</row>
        <row r="1289">
          <cell r="A1289" t="str">
            <v>450362</v>
          </cell>
          <cell r="B1289" t="str">
            <v>1251</v>
          </cell>
          <cell r="C1289" t="str">
            <v>12</v>
          </cell>
          <cell r="D1289" t="str">
            <v>80</v>
          </cell>
          <cell r="E1289">
            <v>33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</row>
        <row r="1290">
          <cell r="A1290" t="str">
            <v>450362</v>
          </cell>
          <cell r="B1290" t="str">
            <v>1251</v>
          </cell>
          <cell r="C1290" t="str">
            <v>12</v>
          </cell>
          <cell r="D1290" t="str">
            <v>80</v>
          </cell>
          <cell r="E1290">
            <v>37</v>
          </cell>
          <cell r="G1290">
            <v>0</v>
          </cell>
          <cell r="H1290">
            <v>482</v>
          </cell>
          <cell r="I1290">
            <v>320</v>
          </cell>
          <cell r="J1290">
            <v>0</v>
          </cell>
          <cell r="K1290">
            <v>347516</v>
          </cell>
          <cell r="L1290">
            <v>362972</v>
          </cell>
          <cell r="M1290">
            <v>338669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581</v>
          </cell>
          <cell r="U1290">
            <v>306</v>
          </cell>
          <cell r="V1290">
            <v>0</v>
          </cell>
          <cell r="W1290">
            <v>0</v>
          </cell>
        </row>
        <row r="1291">
          <cell r="A1291" t="str">
            <v>450362</v>
          </cell>
          <cell r="B1291" t="str">
            <v>1251</v>
          </cell>
          <cell r="C1291" t="str">
            <v>12</v>
          </cell>
          <cell r="D1291" t="str">
            <v>80</v>
          </cell>
          <cell r="E1291">
            <v>41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</row>
        <row r="1292">
          <cell r="A1292" t="str">
            <v>450362</v>
          </cell>
          <cell r="B1292" t="str">
            <v>1251</v>
          </cell>
          <cell r="C1292" t="str">
            <v>12</v>
          </cell>
          <cell r="D1292" t="str">
            <v>80</v>
          </cell>
          <cell r="E1292">
            <v>45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</row>
        <row r="1293">
          <cell r="A1293" t="str">
            <v>450362</v>
          </cell>
          <cell r="B1293" t="str">
            <v>1251</v>
          </cell>
          <cell r="C1293" t="str">
            <v>12</v>
          </cell>
          <cell r="D1293" t="str">
            <v>80</v>
          </cell>
          <cell r="E1293">
            <v>49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</row>
        <row r="1294">
          <cell r="A1294" t="str">
            <v>450362</v>
          </cell>
          <cell r="B1294" t="str">
            <v>1251</v>
          </cell>
          <cell r="C1294" t="str">
            <v>12</v>
          </cell>
          <cell r="D1294" t="str">
            <v>80</v>
          </cell>
          <cell r="E1294">
            <v>53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</row>
        <row r="1295">
          <cell r="A1295" t="str">
            <v>450362</v>
          </cell>
          <cell r="B1295" t="str">
            <v>1251</v>
          </cell>
          <cell r="C1295" t="str">
            <v>12</v>
          </cell>
          <cell r="D1295" t="str">
            <v>80</v>
          </cell>
          <cell r="E1295">
            <v>57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</row>
        <row r="1296">
          <cell r="A1296" t="str">
            <v>450362</v>
          </cell>
          <cell r="B1296" t="str">
            <v>1251</v>
          </cell>
          <cell r="C1296" t="str">
            <v>12</v>
          </cell>
          <cell r="D1296" t="str">
            <v>80</v>
          </cell>
          <cell r="E1296">
            <v>61</v>
          </cell>
          <cell r="G1296">
            <v>0</v>
          </cell>
          <cell r="H1296">
            <v>581</v>
          </cell>
          <cell r="I1296">
            <v>306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</row>
        <row r="1297">
          <cell r="A1297" t="str">
            <v>450362</v>
          </cell>
          <cell r="B1297" t="str">
            <v>1251</v>
          </cell>
          <cell r="C1297" t="str">
            <v>12</v>
          </cell>
          <cell r="D1297" t="str">
            <v>80</v>
          </cell>
          <cell r="E1297">
            <v>65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347516</v>
          </cell>
          <cell r="P1297">
            <v>363553</v>
          </cell>
          <cell r="Q1297">
            <v>338975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</row>
        <row r="1298">
          <cell r="A1298" t="str">
            <v>450362</v>
          </cell>
          <cell r="B1298" t="str">
            <v>1251</v>
          </cell>
          <cell r="C1298" t="str">
            <v>12</v>
          </cell>
          <cell r="D1298" t="str">
            <v>80</v>
          </cell>
          <cell r="E1298">
            <v>69</v>
          </cell>
          <cell r="G1298">
            <v>123808</v>
          </cell>
          <cell r="H1298">
            <v>133553</v>
          </cell>
          <cell r="I1298">
            <v>133411</v>
          </cell>
          <cell r="J1298">
            <v>0</v>
          </cell>
          <cell r="K1298">
            <v>2673</v>
          </cell>
          <cell r="L1298">
            <v>3319</v>
          </cell>
          <cell r="M1298">
            <v>3298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</row>
        <row r="1299">
          <cell r="A1299" t="str">
            <v>450362</v>
          </cell>
          <cell r="B1299" t="str">
            <v>1251</v>
          </cell>
          <cell r="C1299" t="str">
            <v>12</v>
          </cell>
          <cell r="D1299" t="str">
            <v>80</v>
          </cell>
          <cell r="E1299">
            <v>73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</row>
        <row r="1300">
          <cell r="A1300" t="str">
            <v>450362</v>
          </cell>
          <cell r="B1300" t="str">
            <v>1251</v>
          </cell>
          <cell r="C1300" t="str">
            <v>12</v>
          </cell>
          <cell r="D1300" t="str">
            <v>80</v>
          </cell>
          <cell r="E1300">
            <v>77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</row>
        <row r="1301">
          <cell r="A1301" t="str">
            <v>450362</v>
          </cell>
          <cell r="B1301" t="str">
            <v>1251</v>
          </cell>
          <cell r="C1301" t="str">
            <v>12</v>
          </cell>
          <cell r="D1301" t="str">
            <v>80</v>
          </cell>
          <cell r="E1301">
            <v>81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</row>
        <row r="1302">
          <cell r="A1302" t="str">
            <v>450362</v>
          </cell>
          <cell r="B1302" t="str">
            <v>1251</v>
          </cell>
          <cell r="C1302" t="str">
            <v>12</v>
          </cell>
          <cell r="D1302" t="str">
            <v>80</v>
          </cell>
          <cell r="E1302">
            <v>85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</row>
        <row r="1303">
          <cell r="A1303" t="str">
            <v>450362</v>
          </cell>
          <cell r="B1303" t="str">
            <v>1251</v>
          </cell>
          <cell r="C1303" t="str">
            <v>12</v>
          </cell>
          <cell r="D1303" t="str">
            <v>80</v>
          </cell>
          <cell r="E1303">
            <v>89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</row>
        <row r="1304">
          <cell r="A1304" t="str">
            <v>450362</v>
          </cell>
          <cell r="B1304" t="str">
            <v>1251</v>
          </cell>
          <cell r="C1304" t="str">
            <v>12</v>
          </cell>
          <cell r="D1304" t="str">
            <v>80</v>
          </cell>
          <cell r="E1304">
            <v>93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1763</v>
          </cell>
          <cell r="M1304">
            <v>1763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</row>
        <row r="1305">
          <cell r="A1305" t="str">
            <v>450362</v>
          </cell>
          <cell r="B1305" t="str">
            <v>1251</v>
          </cell>
          <cell r="C1305" t="str">
            <v>12</v>
          </cell>
          <cell r="D1305" t="str">
            <v>80</v>
          </cell>
          <cell r="E1305">
            <v>97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1763</v>
          </cell>
          <cell r="M1305">
            <v>1763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</row>
        <row r="1306">
          <cell r="A1306" t="str">
            <v>450362</v>
          </cell>
          <cell r="B1306" t="str">
            <v>1251</v>
          </cell>
          <cell r="C1306" t="str">
            <v>12</v>
          </cell>
          <cell r="D1306" t="str">
            <v>80</v>
          </cell>
          <cell r="E1306">
            <v>101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</row>
        <row r="1307">
          <cell r="A1307" t="str">
            <v>450362</v>
          </cell>
          <cell r="B1307" t="str">
            <v>1251</v>
          </cell>
          <cell r="C1307" t="str">
            <v>12</v>
          </cell>
          <cell r="D1307" t="str">
            <v>80</v>
          </cell>
          <cell r="E1307">
            <v>105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</row>
        <row r="1308">
          <cell r="A1308" t="str">
            <v>450362</v>
          </cell>
          <cell r="B1308" t="str">
            <v>1251</v>
          </cell>
          <cell r="C1308" t="str">
            <v>12</v>
          </cell>
          <cell r="D1308" t="str">
            <v>80</v>
          </cell>
          <cell r="E1308">
            <v>109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</row>
        <row r="1309">
          <cell r="A1309" t="str">
            <v>450362</v>
          </cell>
          <cell r="B1309" t="str">
            <v>1251</v>
          </cell>
          <cell r="C1309" t="str">
            <v>12</v>
          </cell>
          <cell r="D1309" t="str">
            <v>80</v>
          </cell>
          <cell r="E1309">
            <v>113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</row>
        <row r="1310">
          <cell r="A1310" t="str">
            <v>450362</v>
          </cell>
          <cell r="B1310" t="str">
            <v>1251</v>
          </cell>
          <cell r="C1310" t="str">
            <v>12</v>
          </cell>
          <cell r="D1310" t="str">
            <v>80</v>
          </cell>
          <cell r="E1310">
            <v>117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</row>
        <row r="1311">
          <cell r="A1311" t="str">
            <v>450362</v>
          </cell>
          <cell r="B1311" t="str">
            <v>1251</v>
          </cell>
          <cell r="C1311" t="str">
            <v>12</v>
          </cell>
          <cell r="D1311" t="str">
            <v>80</v>
          </cell>
          <cell r="E1311">
            <v>121</v>
          </cell>
          <cell r="G1311">
            <v>126481</v>
          </cell>
          <cell r="H1311">
            <v>138635</v>
          </cell>
          <cell r="I1311">
            <v>138472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221035</v>
          </cell>
          <cell r="P1311">
            <v>221035</v>
          </cell>
          <cell r="Q1311">
            <v>202937</v>
          </cell>
          <cell r="R1311">
            <v>0</v>
          </cell>
          <cell r="S1311">
            <v>0</v>
          </cell>
          <cell r="T1311">
            <v>3883</v>
          </cell>
          <cell r="U1311">
            <v>-2434</v>
          </cell>
          <cell r="V1311">
            <v>0</v>
          </cell>
          <cell r="W1311">
            <v>0</v>
          </cell>
        </row>
        <row r="1312">
          <cell r="A1312" t="str">
            <v>450362</v>
          </cell>
          <cell r="B1312" t="str">
            <v>1251</v>
          </cell>
          <cell r="C1312" t="str">
            <v>12</v>
          </cell>
          <cell r="D1312" t="str">
            <v>80</v>
          </cell>
          <cell r="E1312">
            <v>125</v>
          </cell>
          <cell r="G1312">
            <v>0</v>
          </cell>
          <cell r="H1312">
            <v>3883</v>
          </cell>
          <cell r="I1312">
            <v>3883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</row>
        <row r="1313">
          <cell r="A1313" t="str">
            <v>450362</v>
          </cell>
          <cell r="B1313" t="str">
            <v>1251</v>
          </cell>
          <cell r="C1313" t="str">
            <v>12</v>
          </cell>
          <cell r="D1313" t="str">
            <v>80</v>
          </cell>
          <cell r="E1313">
            <v>129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</row>
        <row r="1314">
          <cell r="A1314" t="str">
            <v>450362</v>
          </cell>
          <cell r="B1314" t="str">
            <v>1251</v>
          </cell>
          <cell r="C1314" t="str">
            <v>12</v>
          </cell>
          <cell r="D1314" t="str">
            <v>80</v>
          </cell>
          <cell r="E1314">
            <v>133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-3883</v>
          </cell>
          <cell r="R1314">
            <v>0</v>
          </cell>
          <cell r="S1314">
            <v>0</v>
          </cell>
          <cell r="T1314">
            <v>0</v>
          </cell>
          <cell r="U1314">
            <v>-3883</v>
          </cell>
          <cell r="V1314">
            <v>0</v>
          </cell>
          <cell r="W1314">
            <v>0</v>
          </cell>
        </row>
        <row r="1315">
          <cell r="A1315" t="str">
            <v>450362</v>
          </cell>
          <cell r="B1315" t="str">
            <v>1251</v>
          </cell>
          <cell r="C1315" t="str">
            <v>12</v>
          </cell>
          <cell r="D1315" t="str">
            <v>80</v>
          </cell>
          <cell r="E1315">
            <v>137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</row>
        <row r="1316">
          <cell r="A1316" t="str">
            <v>450362</v>
          </cell>
          <cell r="B1316" t="str">
            <v>1251</v>
          </cell>
          <cell r="C1316" t="str">
            <v>12</v>
          </cell>
          <cell r="D1316" t="str">
            <v>80</v>
          </cell>
          <cell r="E1316">
            <v>141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</row>
        <row r="1317">
          <cell r="A1317" t="str">
            <v>450362</v>
          </cell>
          <cell r="B1317" t="str">
            <v>1251</v>
          </cell>
          <cell r="C1317" t="str">
            <v>12</v>
          </cell>
          <cell r="D1317" t="str">
            <v>80</v>
          </cell>
          <cell r="E1317">
            <v>145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3883</v>
          </cell>
          <cell r="U1317">
            <v>7766</v>
          </cell>
          <cell r="V1317">
            <v>0</v>
          </cell>
          <cell r="W1317">
            <v>0</v>
          </cell>
        </row>
        <row r="1318">
          <cell r="A1318" t="str">
            <v>450362</v>
          </cell>
          <cell r="B1318" t="str">
            <v>1251</v>
          </cell>
          <cell r="C1318" t="str">
            <v>12</v>
          </cell>
          <cell r="D1318" t="str">
            <v>80</v>
          </cell>
          <cell r="E1318">
            <v>149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</row>
        <row r="1319">
          <cell r="A1319" t="str">
            <v>450362</v>
          </cell>
          <cell r="B1319" t="str">
            <v>1251</v>
          </cell>
          <cell r="C1319" t="str">
            <v>12</v>
          </cell>
          <cell r="D1319" t="str">
            <v>80</v>
          </cell>
          <cell r="E1319">
            <v>153</v>
          </cell>
          <cell r="G1319">
            <v>0</v>
          </cell>
          <cell r="H1319">
            <v>0</v>
          </cell>
          <cell r="I1319">
            <v>6317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6317</v>
          </cell>
          <cell r="R1319">
            <v>0</v>
          </cell>
          <cell r="S1319">
            <v>113</v>
          </cell>
          <cell r="T1319">
            <v>113</v>
          </cell>
          <cell r="U1319">
            <v>113</v>
          </cell>
          <cell r="V1319">
            <v>0</v>
          </cell>
          <cell r="W1319">
            <v>0</v>
          </cell>
        </row>
        <row r="1320">
          <cell r="A1320" t="str">
            <v>450362</v>
          </cell>
          <cell r="B1320" t="str">
            <v>1251</v>
          </cell>
          <cell r="C1320" t="str">
            <v>12</v>
          </cell>
          <cell r="D1320" t="str">
            <v>80</v>
          </cell>
          <cell r="E1320">
            <v>157</v>
          </cell>
          <cell r="G1320">
            <v>0</v>
          </cell>
          <cell r="H1320">
            <v>0</v>
          </cell>
          <cell r="I1320">
            <v>113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</row>
        <row r="1321">
          <cell r="A1321" t="str">
            <v>453484</v>
          </cell>
          <cell r="B1321" t="str">
            <v>1251</v>
          </cell>
          <cell r="C1321" t="str">
            <v>12</v>
          </cell>
          <cell r="D1321" t="str">
            <v>01</v>
          </cell>
          <cell r="E1321">
            <v>1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301</v>
          </cell>
          <cell r="N1321">
            <v>76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301</v>
          </cell>
          <cell r="T1321">
            <v>76</v>
          </cell>
          <cell r="U1321">
            <v>0</v>
          </cell>
          <cell r="V1321">
            <v>0</v>
          </cell>
          <cell r="W1321">
            <v>0</v>
          </cell>
        </row>
        <row r="1322">
          <cell r="A1322" t="str">
            <v>453484</v>
          </cell>
          <cell r="B1322" t="str">
            <v>1251</v>
          </cell>
          <cell r="C1322" t="str">
            <v>12</v>
          </cell>
          <cell r="D1322" t="str">
            <v>01</v>
          </cell>
          <cell r="E1322">
            <v>8</v>
          </cell>
          <cell r="G1322">
            <v>41387</v>
          </cell>
          <cell r="H1322">
            <v>39998</v>
          </cell>
          <cell r="I1322">
            <v>4626</v>
          </cell>
          <cell r="J1322">
            <v>4026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</row>
        <row r="1323">
          <cell r="A1323" t="str">
            <v>453484</v>
          </cell>
          <cell r="B1323" t="str">
            <v>1251</v>
          </cell>
          <cell r="C1323" t="str">
            <v>12</v>
          </cell>
          <cell r="D1323" t="str">
            <v>01</v>
          </cell>
          <cell r="E1323">
            <v>15</v>
          </cell>
          <cell r="G1323">
            <v>0</v>
          </cell>
          <cell r="H1323">
            <v>0</v>
          </cell>
          <cell r="I1323">
            <v>46013</v>
          </cell>
          <cell r="J1323">
            <v>44024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</row>
        <row r="1324">
          <cell r="A1324" t="str">
            <v>453484</v>
          </cell>
          <cell r="B1324" t="str">
            <v>1251</v>
          </cell>
          <cell r="C1324" t="str">
            <v>12</v>
          </cell>
          <cell r="D1324" t="str">
            <v>01</v>
          </cell>
          <cell r="E1324">
            <v>22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</row>
        <row r="1325">
          <cell r="A1325" t="str">
            <v>453484</v>
          </cell>
          <cell r="B1325" t="str">
            <v>1251</v>
          </cell>
          <cell r="C1325" t="str">
            <v>12</v>
          </cell>
          <cell r="D1325" t="str">
            <v>01</v>
          </cell>
          <cell r="E1325">
            <v>29</v>
          </cell>
          <cell r="G1325">
            <v>0</v>
          </cell>
          <cell r="H1325">
            <v>0</v>
          </cell>
          <cell r="I1325">
            <v>46314</v>
          </cell>
          <cell r="J1325">
            <v>44100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</row>
        <row r="1326">
          <cell r="A1326" t="str">
            <v>453484</v>
          </cell>
          <cell r="B1326" t="str">
            <v>1251</v>
          </cell>
          <cell r="C1326" t="str">
            <v>12</v>
          </cell>
          <cell r="D1326" t="str">
            <v>01</v>
          </cell>
          <cell r="E1326">
            <v>36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18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</row>
        <row r="1327">
          <cell r="A1327" t="str">
            <v>453484</v>
          </cell>
          <cell r="B1327" t="str">
            <v>1251</v>
          </cell>
          <cell r="C1327" t="str">
            <v>12</v>
          </cell>
          <cell r="D1327" t="str">
            <v>01</v>
          </cell>
          <cell r="E1327">
            <v>43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18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</row>
        <row r="1328">
          <cell r="A1328" t="str">
            <v>453484</v>
          </cell>
          <cell r="B1328" t="str">
            <v>1251</v>
          </cell>
          <cell r="C1328" t="str">
            <v>12</v>
          </cell>
          <cell r="D1328" t="str">
            <v>01</v>
          </cell>
          <cell r="E1328">
            <v>50</v>
          </cell>
          <cell r="G1328">
            <v>0</v>
          </cell>
          <cell r="H1328">
            <v>0</v>
          </cell>
          <cell r="I1328">
            <v>125</v>
          </cell>
          <cell r="J1328">
            <v>138</v>
          </cell>
          <cell r="K1328">
            <v>1</v>
          </cell>
          <cell r="L1328">
            <v>320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126</v>
          </cell>
          <cell r="R1328">
            <v>458</v>
          </cell>
          <cell r="S1328">
            <v>2601</v>
          </cell>
          <cell r="T1328">
            <v>538</v>
          </cell>
          <cell r="U1328">
            <v>0</v>
          </cell>
          <cell r="V1328">
            <v>0</v>
          </cell>
          <cell r="W1328">
            <v>0</v>
          </cell>
        </row>
        <row r="1329">
          <cell r="A1329" t="str">
            <v>453484</v>
          </cell>
          <cell r="B1329" t="str">
            <v>1251</v>
          </cell>
          <cell r="C1329" t="str">
            <v>12</v>
          </cell>
          <cell r="D1329" t="str">
            <v>01</v>
          </cell>
          <cell r="E1329">
            <v>57</v>
          </cell>
          <cell r="G1329">
            <v>1863</v>
          </cell>
          <cell r="H1329">
            <v>1962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4464</v>
          </cell>
          <cell r="N1329">
            <v>2500</v>
          </cell>
          <cell r="O1329">
            <v>4590</v>
          </cell>
          <cell r="P1329">
            <v>2976</v>
          </cell>
          <cell r="Q1329">
            <v>50904</v>
          </cell>
          <cell r="R1329">
            <v>47076</v>
          </cell>
          <cell r="S1329">
            <v>38974</v>
          </cell>
          <cell r="T1329">
            <v>38974</v>
          </cell>
          <cell r="U1329">
            <v>0</v>
          </cell>
          <cell r="V1329">
            <v>0</v>
          </cell>
          <cell r="W1329">
            <v>0</v>
          </cell>
        </row>
        <row r="1330">
          <cell r="A1330" t="str">
            <v>453484</v>
          </cell>
          <cell r="B1330" t="str">
            <v>1251</v>
          </cell>
          <cell r="C1330" t="str">
            <v>12</v>
          </cell>
          <cell r="D1330" t="str">
            <v>01</v>
          </cell>
          <cell r="E1330">
            <v>64</v>
          </cell>
          <cell r="G1330">
            <v>3290</v>
          </cell>
          <cell r="H1330">
            <v>3268</v>
          </cell>
          <cell r="I1330">
            <v>0</v>
          </cell>
          <cell r="J1330">
            <v>0</v>
          </cell>
          <cell r="K1330">
            <v>42264</v>
          </cell>
          <cell r="L1330">
            <v>42242</v>
          </cell>
          <cell r="M1330">
            <v>4490</v>
          </cell>
          <cell r="N1330">
            <v>2883</v>
          </cell>
          <cell r="O1330">
            <v>4490</v>
          </cell>
          <cell r="P1330">
            <v>2883</v>
          </cell>
          <cell r="Q1330">
            <v>0</v>
          </cell>
          <cell r="R1330">
            <v>0</v>
          </cell>
          <cell r="S1330">
            <v>0</v>
          </cell>
          <cell r="T1330">
            <v>1</v>
          </cell>
          <cell r="U1330">
            <v>0</v>
          </cell>
          <cell r="V1330">
            <v>0</v>
          </cell>
          <cell r="W1330">
            <v>0</v>
          </cell>
        </row>
        <row r="1331">
          <cell r="A1331" t="str">
            <v>453484</v>
          </cell>
          <cell r="B1331" t="str">
            <v>1251</v>
          </cell>
          <cell r="C1331" t="str">
            <v>12</v>
          </cell>
          <cell r="D1331" t="str">
            <v>01</v>
          </cell>
          <cell r="E1331">
            <v>71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4490</v>
          </cell>
          <cell r="N1331">
            <v>2884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</row>
        <row r="1332">
          <cell r="A1332" t="str">
            <v>453484</v>
          </cell>
          <cell r="B1332" t="str">
            <v>1251</v>
          </cell>
          <cell r="C1332" t="str">
            <v>12</v>
          </cell>
          <cell r="D1332" t="str">
            <v>01</v>
          </cell>
          <cell r="E1332">
            <v>78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4490</v>
          </cell>
          <cell r="P1332">
            <v>2884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</row>
        <row r="1333">
          <cell r="A1333" t="str">
            <v>453484</v>
          </cell>
          <cell r="B1333" t="str">
            <v>1251</v>
          </cell>
          <cell r="C1333" t="str">
            <v>12</v>
          </cell>
          <cell r="D1333" t="str">
            <v>01</v>
          </cell>
          <cell r="E1333">
            <v>85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</row>
        <row r="1334">
          <cell r="A1334" t="str">
            <v>453484</v>
          </cell>
          <cell r="B1334" t="str">
            <v>1251</v>
          </cell>
          <cell r="C1334" t="str">
            <v>12</v>
          </cell>
          <cell r="D1334" t="str">
            <v>01</v>
          </cell>
          <cell r="E1334">
            <v>92</v>
          </cell>
          <cell r="G1334">
            <v>3720</v>
          </cell>
          <cell r="H1334">
            <v>1546</v>
          </cell>
          <cell r="I1334">
            <v>2976</v>
          </cell>
          <cell r="J1334">
            <v>1529</v>
          </cell>
          <cell r="K1334">
            <v>744</v>
          </cell>
          <cell r="L1334">
            <v>17</v>
          </cell>
          <cell r="M1334">
            <v>330</v>
          </cell>
          <cell r="N1334">
            <v>330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0</v>
          </cell>
          <cell r="W1334">
            <v>0</v>
          </cell>
        </row>
        <row r="1335">
          <cell r="A1335" t="str">
            <v>453484</v>
          </cell>
          <cell r="B1335" t="str">
            <v>1251</v>
          </cell>
          <cell r="C1335" t="str">
            <v>12</v>
          </cell>
          <cell r="D1335" t="str">
            <v>01</v>
          </cell>
          <cell r="E1335">
            <v>99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</row>
        <row r="1336">
          <cell r="A1336" t="str">
            <v>453484</v>
          </cell>
          <cell r="B1336" t="str">
            <v>1251</v>
          </cell>
          <cell r="C1336" t="str">
            <v>12</v>
          </cell>
          <cell r="D1336" t="str">
            <v>01</v>
          </cell>
          <cell r="E1336">
            <v>106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330</v>
          </cell>
          <cell r="P1336">
            <v>330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0</v>
          </cell>
          <cell r="W1336">
            <v>0</v>
          </cell>
        </row>
        <row r="1337">
          <cell r="A1337" t="str">
            <v>453484</v>
          </cell>
          <cell r="B1337" t="str">
            <v>1251</v>
          </cell>
          <cell r="C1337" t="str">
            <v>12</v>
          </cell>
          <cell r="D1337" t="str">
            <v>01</v>
          </cell>
          <cell r="E1337">
            <v>113</v>
          </cell>
          <cell r="G1337">
            <v>4050</v>
          </cell>
          <cell r="H1337">
            <v>1876</v>
          </cell>
          <cell r="I1337">
            <v>100</v>
          </cell>
          <cell r="J1337">
            <v>74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</row>
        <row r="1338">
          <cell r="A1338" t="str">
            <v>453484</v>
          </cell>
          <cell r="B1338" t="str">
            <v>1251</v>
          </cell>
          <cell r="C1338" t="str">
            <v>12</v>
          </cell>
          <cell r="D1338" t="str">
            <v>01</v>
          </cell>
          <cell r="E1338">
            <v>120</v>
          </cell>
          <cell r="G1338">
            <v>100</v>
          </cell>
          <cell r="H1338">
            <v>74</v>
          </cell>
          <cell r="I1338">
            <v>4150</v>
          </cell>
          <cell r="J1338">
            <v>1950</v>
          </cell>
          <cell r="K1338">
            <v>50904</v>
          </cell>
          <cell r="L1338">
            <v>47076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</row>
        <row r="1339">
          <cell r="A1339" t="str">
            <v>453484</v>
          </cell>
          <cell r="B1339" t="str">
            <v>1251</v>
          </cell>
          <cell r="C1339" t="str">
            <v>12</v>
          </cell>
          <cell r="D1339" t="str">
            <v>02</v>
          </cell>
          <cell r="E1339">
            <v>1</v>
          </cell>
          <cell r="G1339">
            <v>119539</v>
          </cell>
          <cell r="H1339">
            <v>123989</v>
          </cell>
          <cell r="I1339">
            <v>122432</v>
          </cell>
          <cell r="J1339">
            <v>3672</v>
          </cell>
          <cell r="K1339">
            <v>0</v>
          </cell>
          <cell r="L1339">
            <v>0</v>
          </cell>
          <cell r="M1339">
            <v>466</v>
          </cell>
          <cell r="N1339">
            <v>466</v>
          </cell>
          <cell r="O1339">
            <v>407</v>
          </cell>
          <cell r="P1339">
            <v>5464</v>
          </cell>
          <cell r="Q1339">
            <v>5464</v>
          </cell>
          <cell r="R1339">
            <v>5814</v>
          </cell>
          <cell r="S1339">
            <v>3915</v>
          </cell>
          <cell r="T1339">
            <v>3699</v>
          </cell>
          <cell r="U1339">
            <v>3698</v>
          </cell>
          <cell r="V1339">
            <v>0</v>
          </cell>
          <cell r="W1339">
            <v>0</v>
          </cell>
        </row>
        <row r="1340">
          <cell r="A1340" t="str">
            <v>453484</v>
          </cell>
          <cell r="B1340" t="str">
            <v>1251</v>
          </cell>
          <cell r="C1340" t="str">
            <v>12</v>
          </cell>
          <cell r="D1340" t="str">
            <v>02</v>
          </cell>
          <cell r="E1340">
            <v>6</v>
          </cell>
          <cell r="G1340">
            <v>0</v>
          </cell>
          <cell r="H1340">
            <v>0</v>
          </cell>
          <cell r="I1340">
            <v>0</v>
          </cell>
          <cell r="J1340">
            <v>133056</v>
          </cell>
          <cell r="K1340">
            <v>133618</v>
          </cell>
          <cell r="L1340">
            <v>132351</v>
          </cell>
          <cell r="M1340">
            <v>7866</v>
          </cell>
          <cell r="N1340">
            <v>7866</v>
          </cell>
          <cell r="O1340">
            <v>8050</v>
          </cell>
          <cell r="P1340">
            <v>140922</v>
          </cell>
          <cell r="Q1340">
            <v>141484</v>
          </cell>
          <cell r="R1340">
            <v>140401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</row>
        <row r="1341">
          <cell r="A1341" t="str">
            <v>453484</v>
          </cell>
          <cell r="B1341" t="str">
            <v>1251</v>
          </cell>
          <cell r="C1341" t="str">
            <v>12</v>
          </cell>
          <cell r="D1341" t="str">
            <v>02</v>
          </cell>
          <cell r="E1341">
            <v>11</v>
          </cell>
          <cell r="G1341">
            <v>0</v>
          </cell>
          <cell r="H1341">
            <v>0</v>
          </cell>
          <cell r="I1341">
            <v>0</v>
          </cell>
          <cell r="J1341">
            <v>18385</v>
          </cell>
          <cell r="K1341">
            <v>14542</v>
          </cell>
          <cell r="L1341">
            <v>15958</v>
          </cell>
          <cell r="M1341">
            <v>13767</v>
          </cell>
          <cell r="N1341">
            <v>7812</v>
          </cell>
          <cell r="O1341">
            <v>6609</v>
          </cell>
          <cell r="P1341">
            <v>32152</v>
          </cell>
          <cell r="Q1341">
            <v>22354</v>
          </cell>
          <cell r="R1341">
            <v>22567</v>
          </cell>
          <cell r="S1341">
            <v>0</v>
          </cell>
          <cell r="T1341">
            <v>192</v>
          </cell>
          <cell r="U1341">
            <v>219</v>
          </cell>
          <cell r="V1341">
            <v>0</v>
          </cell>
          <cell r="W1341">
            <v>0</v>
          </cell>
        </row>
        <row r="1342">
          <cell r="A1342" t="str">
            <v>453484</v>
          </cell>
          <cell r="B1342" t="str">
            <v>1251</v>
          </cell>
          <cell r="C1342" t="str">
            <v>12</v>
          </cell>
          <cell r="D1342" t="str">
            <v>02</v>
          </cell>
          <cell r="E1342">
            <v>16</v>
          </cell>
          <cell r="G1342">
            <v>32152</v>
          </cell>
          <cell r="H1342">
            <v>22546</v>
          </cell>
          <cell r="I1342">
            <v>22786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1665</v>
          </cell>
          <cell r="Q1342">
            <v>2730</v>
          </cell>
          <cell r="R1342">
            <v>2730</v>
          </cell>
          <cell r="S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</row>
        <row r="1343">
          <cell r="A1343" t="str">
            <v>453484</v>
          </cell>
          <cell r="B1343" t="str">
            <v>1251</v>
          </cell>
          <cell r="C1343" t="str">
            <v>12</v>
          </cell>
          <cell r="D1343" t="str">
            <v>02</v>
          </cell>
          <cell r="E1343">
            <v>21</v>
          </cell>
          <cell r="G1343">
            <v>0</v>
          </cell>
          <cell r="H1343">
            <v>0</v>
          </cell>
          <cell r="I1343">
            <v>0</v>
          </cell>
          <cell r="J1343">
            <v>2576</v>
          </cell>
          <cell r="K1343">
            <v>3470</v>
          </cell>
          <cell r="L1343">
            <v>2039</v>
          </cell>
          <cell r="M1343">
            <v>4241</v>
          </cell>
          <cell r="N1343">
            <v>6200</v>
          </cell>
          <cell r="O1343">
            <v>4769</v>
          </cell>
          <cell r="P1343">
            <v>0</v>
          </cell>
          <cell r="Q1343">
            <v>0</v>
          </cell>
          <cell r="R1343">
            <v>0</v>
          </cell>
          <cell r="S1343">
            <v>4241</v>
          </cell>
          <cell r="T1343">
            <v>6200</v>
          </cell>
          <cell r="U1343">
            <v>4769</v>
          </cell>
          <cell r="V1343">
            <v>0</v>
          </cell>
          <cell r="W1343">
            <v>0</v>
          </cell>
        </row>
        <row r="1344">
          <cell r="A1344" t="str">
            <v>453484</v>
          </cell>
          <cell r="B1344" t="str">
            <v>1251</v>
          </cell>
          <cell r="C1344" t="str">
            <v>12</v>
          </cell>
          <cell r="D1344" t="str">
            <v>02</v>
          </cell>
          <cell r="E1344">
            <v>26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790</v>
          </cell>
          <cell r="N1344">
            <v>790</v>
          </cell>
          <cell r="O1344">
            <v>739</v>
          </cell>
          <cell r="P1344">
            <v>1860</v>
          </cell>
          <cell r="Q1344">
            <v>1860</v>
          </cell>
          <cell r="R1344">
            <v>2029</v>
          </cell>
          <cell r="S1344">
            <v>894</v>
          </cell>
          <cell r="T1344">
            <v>0</v>
          </cell>
          <cell r="U1344">
            <v>922</v>
          </cell>
          <cell r="V1344">
            <v>0</v>
          </cell>
          <cell r="W1344">
            <v>0</v>
          </cell>
        </row>
        <row r="1345">
          <cell r="A1345" t="str">
            <v>453484</v>
          </cell>
          <cell r="B1345" t="str">
            <v>1251</v>
          </cell>
          <cell r="C1345" t="str">
            <v>12</v>
          </cell>
          <cell r="D1345" t="str">
            <v>02</v>
          </cell>
          <cell r="E1345">
            <v>31</v>
          </cell>
          <cell r="G1345">
            <v>3544</v>
          </cell>
          <cell r="H1345">
            <v>2650</v>
          </cell>
          <cell r="I1345">
            <v>3690</v>
          </cell>
          <cell r="J1345">
            <v>192</v>
          </cell>
          <cell r="K1345">
            <v>0</v>
          </cell>
          <cell r="L1345">
            <v>80</v>
          </cell>
          <cell r="M1345">
            <v>3736</v>
          </cell>
          <cell r="N1345">
            <v>2650</v>
          </cell>
          <cell r="O1345">
            <v>3770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</row>
        <row r="1346">
          <cell r="A1346" t="str">
            <v>453484</v>
          </cell>
          <cell r="B1346" t="str">
            <v>1251</v>
          </cell>
          <cell r="C1346" t="str">
            <v>12</v>
          </cell>
          <cell r="D1346" t="str">
            <v>02</v>
          </cell>
          <cell r="E1346">
            <v>36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11947</v>
          </cell>
          <cell r="L1346">
            <v>11610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11947</v>
          </cell>
          <cell r="R1346">
            <v>11610</v>
          </cell>
          <cell r="S1346">
            <v>39937</v>
          </cell>
          <cell r="T1346">
            <v>43151</v>
          </cell>
          <cell r="U1346">
            <v>42636</v>
          </cell>
          <cell r="V1346">
            <v>0</v>
          </cell>
          <cell r="W1346">
            <v>0</v>
          </cell>
        </row>
        <row r="1347">
          <cell r="A1347" t="str">
            <v>453484</v>
          </cell>
          <cell r="B1347" t="str">
            <v>1251</v>
          </cell>
          <cell r="C1347" t="str">
            <v>12</v>
          </cell>
          <cell r="D1347" t="str">
            <v>02</v>
          </cell>
          <cell r="E1347">
            <v>41</v>
          </cell>
          <cell r="G1347">
            <v>192</v>
          </cell>
          <cell r="H1347">
            <v>192</v>
          </cell>
          <cell r="I1347">
            <v>299</v>
          </cell>
          <cell r="J1347">
            <v>40129</v>
          </cell>
          <cell r="K1347">
            <v>43343</v>
          </cell>
          <cell r="L1347">
            <v>42935</v>
          </cell>
          <cell r="M1347">
            <v>2821</v>
          </cell>
          <cell r="N1347">
            <v>2821</v>
          </cell>
          <cell r="O1347">
            <v>2763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0</v>
          </cell>
        </row>
        <row r="1348">
          <cell r="A1348" t="str">
            <v>453484</v>
          </cell>
          <cell r="B1348" t="str">
            <v>1251</v>
          </cell>
          <cell r="C1348" t="str">
            <v>12</v>
          </cell>
          <cell r="D1348" t="str">
            <v>02</v>
          </cell>
          <cell r="E1348">
            <v>46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2821</v>
          </cell>
          <cell r="Q1348">
            <v>2821</v>
          </cell>
          <cell r="R1348">
            <v>2763</v>
          </cell>
          <cell r="S1348">
            <v>183872</v>
          </cell>
          <cell r="T1348">
            <v>187648</v>
          </cell>
          <cell r="U1348">
            <v>186099</v>
          </cell>
          <cell r="V1348">
            <v>0</v>
          </cell>
          <cell r="W1348">
            <v>0</v>
          </cell>
        </row>
        <row r="1349">
          <cell r="A1349" t="str">
            <v>453484</v>
          </cell>
          <cell r="B1349" t="str">
            <v>1251</v>
          </cell>
          <cell r="C1349" t="str">
            <v>12</v>
          </cell>
          <cell r="D1349" t="str">
            <v>02</v>
          </cell>
          <cell r="E1349">
            <v>51</v>
          </cell>
          <cell r="G1349">
            <v>52279</v>
          </cell>
          <cell r="H1349">
            <v>53442</v>
          </cell>
          <cell r="I1349">
            <v>52380</v>
          </cell>
          <cell r="J1349">
            <v>5381</v>
          </cell>
          <cell r="K1349">
            <v>5426</v>
          </cell>
          <cell r="L1349">
            <v>5425</v>
          </cell>
          <cell r="M1349">
            <v>1459</v>
          </cell>
          <cell r="N1349">
            <v>1459</v>
          </cell>
          <cell r="O1349">
            <v>1598</v>
          </cell>
          <cell r="P1349">
            <v>0</v>
          </cell>
          <cell r="Q1349">
            <v>0</v>
          </cell>
          <cell r="R1349">
            <v>25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</row>
        <row r="1350">
          <cell r="A1350" t="str">
            <v>453484</v>
          </cell>
          <cell r="B1350" t="str">
            <v>1251</v>
          </cell>
          <cell r="C1350" t="str">
            <v>12</v>
          </cell>
          <cell r="D1350" t="str">
            <v>02</v>
          </cell>
          <cell r="E1350">
            <v>56</v>
          </cell>
          <cell r="G1350">
            <v>0</v>
          </cell>
          <cell r="H1350">
            <v>0</v>
          </cell>
          <cell r="I1350">
            <v>254</v>
          </cell>
          <cell r="J1350">
            <v>59119</v>
          </cell>
          <cell r="K1350">
            <v>60327</v>
          </cell>
          <cell r="L1350">
            <v>59682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0</v>
          </cell>
          <cell r="W1350">
            <v>0</v>
          </cell>
        </row>
        <row r="1351">
          <cell r="A1351" t="str">
            <v>453484</v>
          </cell>
          <cell r="B1351" t="str">
            <v>1251</v>
          </cell>
          <cell r="C1351" t="str">
            <v>12</v>
          </cell>
          <cell r="D1351" t="str">
            <v>03</v>
          </cell>
          <cell r="E1351">
            <v>1</v>
          </cell>
          <cell r="G1351">
            <v>0</v>
          </cell>
          <cell r="H1351">
            <v>0</v>
          </cell>
          <cell r="I1351">
            <v>0</v>
          </cell>
          <cell r="J1351">
            <v>60</v>
          </cell>
          <cell r="K1351">
            <v>60</v>
          </cell>
          <cell r="L1351">
            <v>42</v>
          </cell>
          <cell r="M1351">
            <v>0</v>
          </cell>
          <cell r="N1351">
            <v>0</v>
          </cell>
          <cell r="O1351">
            <v>0</v>
          </cell>
          <cell r="P1351">
            <v>1300</v>
          </cell>
          <cell r="Q1351">
            <v>1300</v>
          </cell>
          <cell r="R1351">
            <v>1248</v>
          </cell>
          <cell r="S1351">
            <v>1000</v>
          </cell>
          <cell r="T1351">
            <v>8014</v>
          </cell>
          <cell r="U1351">
            <v>8004</v>
          </cell>
          <cell r="V1351">
            <v>0</v>
          </cell>
          <cell r="W1351">
            <v>0</v>
          </cell>
        </row>
        <row r="1352">
          <cell r="A1352" t="str">
            <v>453484</v>
          </cell>
          <cell r="B1352" t="str">
            <v>1251</v>
          </cell>
          <cell r="C1352" t="str">
            <v>12</v>
          </cell>
          <cell r="D1352" t="str">
            <v>03</v>
          </cell>
          <cell r="E1352">
            <v>6</v>
          </cell>
          <cell r="G1352">
            <v>500</v>
          </cell>
          <cell r="H1352">
            <v>650</v>
          </cell>
          <cell r="I1352">
            <v>672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1000</v>
          </cell>
          <cell r="T1352">
            <v>1078</v>
          </cell>
          <cell r="U1352">
            <v>1123</v>
          </cell>
          <cell r="V1352">
            <v>0</v>
          </cell>
          <cell r="W1352">
            <v>0</v>
          </cell>
        </row>
        <row r="1353">
          <cell r="A1353" t="str">
            <v>453484</v>
          </cell>
          <cell r="B1353" t="str">
            <v>1251</v>
          </cell>
          <cell r="C1353" t="str">
            <v>12</v>
          </cell>
          <cell r="D1353" t="str">
            <v>03</v>
          </cell>
          <cell r="E1353">
            <v>11</v>
          </cell>
          <cell r="G1353">
            <v>3791</v>
          </cell>
          <cell r="H1353">
            <v>1200</v>
          </cell>
          <cell r="I1353">
            <v>733</v>
          </cell>
          <cell r="J1353">
            <v>0</v>
          </cell>
          <cell r="K1353">
            <v>0</v>
          </cell>
          <cell r="L1353">
            <v>0</v>
          </cell>
          <cell r="M1353">
            <v>1000</v>
          </cell>
          <cell r="N1353">
            <v>2871</v>
          </cell>
          <cell r="O1353">
            <v>1542</v>
          </cell>
          <cell r="P1353">
            <v>8651</v>
          </cell>
          <cell r="Q1353">
            <v>15173</v>
          </cell>
          <cell r="R1353">
            <v>13364</v>
          </cell>
          <cell r="S1353">
            <v>900</v>
          </cell>
          <cell r="T1353">
            <v>900</v>
          </cell>
          <cell r="U1353">
            <v>794</v>
          </cell>
          <cell r="V1353">
            <v>0</v>
          </cell>
          <cell r="W1353">
            <v>0</v>
          </cell>
        </row>
        <row r="1354">
          <cell r="A1354" t="str">
            <v>453484</v>
          </cell>
          <cell r="B1354" t="str">
            <v>1251</v>
          </cell>
          <cell r="C1354" t="str">
            <v>12</v>
          </cell>
          <cell r="D1354" t="str">
            <v>03</v>
          </cell>
          <cell r="E1354">
            <v>16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181</v>
          </cell>
          <cell r="M1354">
            <v>900</v>
          </cell>
          <cell r="N1354">
            <v>900</v>
          </cell>
          <cell r="O1354">
            <v>975</v>
          </cell>
          <cell r="P1354">
            <v>0</v>
          </cell>
          <cell r="Q1354">
            <v>0</v>
          </cell>
          <cell r="R1354">
            <v>0</v>
          </cell>
          <cell r="S1354">
            <v>1000</v>
          </cell>
          <cell r="T1354">
            <v>1311</v>
          </cell>
          <cell r="U1354">
            <v>1311</v>
          </cell>
          <cell r="V1354">
            <v>0</v>
          </cell>
          <cell r="W1354">
            <v>0</v>
          </cell>
        </row>
        <row r="1355">
          <cell r="A1355" t="str">
            <v>453484</v>
          </cell>
          <cell r="B1355" t="str">
            <v>1251</v>
          </cell>
          <cell r="C1355" t="str">
            <v>12</v>
          </cell>
          <cell r="D1355" t="str">
            <v>03</v>
          </cell>
          <cell r="E1355">
            <v>21</v>
          </cell>
          <cell r="G1355">
            <v>0</v>
          </cell>
          <cell r="H1355">
            <v>0</v>
          </cell>
          <cell r="I1355">
            <v>0</v>
          </cell>
          <cell r="J1355">
            <v>200</v>
          </cell>
          <cell r="K1355">
            <v>746</v>
          </cell>
          <cell r="L1355">
            <v>746</v>
          </cell>
          <cell r="M1355">
            <v>6022</v>
          </cell>
          <cell r="N1355">
            <v>7855</v>
          </cell>
          <cell r="O1355">
            <v>7855</v>
          </cell>
          <cell r="P1355">
            <v>3629</v>
          </cell>
          <cell r="Q1355">
            <v>3629</v>
          </cell>
          <cell r="R1355">
            <v>3164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</row>
        <row r="1356">
          <cell r="A1356" t="str">
            <v>453484</v>
          </cell>
          <cell r="B1356" t="str">
            <v>1251</v>
          </cell>
          <cell r="C1356" t="str">
            <v>12</v>
          </cell>
          <cell r="D1356" t="str">
            <v>03</v>
          </cell>
          <cell r="E1356">
            <v>26</v>
          </cell>
          <cell r="G1356">
            <v>549</v>
          </cell>
          <cell r="H1356">
            <v>549</v>
          </cell>
          <cell r="I1356">
            <v>555</v>
          </cell>
          <cell r="J1356">
            <v>2500</v>
          </cell>
          <cell r="K1356">
            <v>11173</v>
          </cell>
          <cell r="L1356">
            <v>11172</v>
          </cell>
          <cell r="M1356">
            <v>6712</v>
          </cell>
          <cell r="N1356">
            <v>10748</v>
          </cell>
          <cell r="O1356">
            <v>12269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</row>
        <row r="1357">
          <cell r="A1357" t="str">
            <v>453484</v>
          </cell>
          <cell r="B1357" t="str">
            <v>1251</v>
          </cell>
          <cell r="C1357" t="str">
            <v>12</v>
          </cell>
          <cell r="D1357" t="str">
            <v>03</v>
          </cell>
          <cell r="E1357">
            <v>31</v>
          </cell>
          <cell r="G1357">
            <v>20612</v>
          </cell>
          <cell r="H1357">
            <v>36011</v>
          </cell>
          <cell r="I1357">
            <v>37072</v>
          </cell>
          <cell r="J1357">
            <v>0</v>
          </cell>
          <cell r="K1357">
            <v>0</v>
          </cell>
          <cell r="L1357">
            <v>0</v>
          </cell>
          <cell r="M1357">
            <v>5008</v>
          </cell>
          <cell r="N1357">
            <v>7133</v>
          </cell>
          <cell r="O1357">
            <v>7019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</row>
        <row r="1358">
          <cell r="A1358" t="str">
            <v>453484</v>
          </cell>
          <cell r="B1358" t="str">
            <v>1251</v>
          </cell>
          <cell r="C1358" t="str">
            <v>12</v>
          </cell>
          <cell r="D1358" t="str">
            <v>03</v>
          </cell>
          <cell r="E1358">
            <v>36</v>
          </cell>
          <cell r="G1358">
            <v>5008</v>
          </cell>
          <cell r="H1358">
            <v>7133</v>
          </cell>
          <cell r="I1358">
            <v>7019</v>
          </cell>
          <cell r="J1358">
            <v>400</v>
          </cell>
          <cell r="K1358">
            <v>430</v>
          </cell>
          <cell r="L1358">
            <v>361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101</v>
          </cell>
          <cell r="V1358">
            <v>0</v>
          </cell>
          <cell r="W1358">
            <v>0</v>
          </cell>
        </row>
        <row r="1359">
          <cell r="A1359" t="str">
            <v>453484</v>
          </cell>
          <cell r="B1359" t="str">
            <v>1251</v>
          </cell>
          <cell r="C1359" t="str">
            <v>12</v>
          </cell>
          <cell r="D1359" t="str">
            <v>03</v>
          </cell>
          <cell r="E1359">
            <v>41</v>
          </cell>
          <cell r="G1359">
            <v>400</v>
          </cell>
          <cell r="H1359">
            <v>430</v>
          </cell>
          <cell r="I1359">
            <v>462</v>
          </cell>
          <cell r="J1359">
            <v>0</v>
          </cell>
          <cell r="K1359">
            <v>0</v>
          </cell>
          <cell r="L1359">
            <v>0</v>
          </cell>
          <cell r="M1359">
            <v>9533</v>
          </cell>
          <cell r="N1359">
            <v>8534</v>
          </cell>
          <cell r="O1359">
            <v>8974</v>
          </cell>
          <cell r="P1359">
            <v>45104</v>
          </cell>
          <cell r="Q1359">
            <v>68181</v>
          </cell>
          <cell r="R1359">
            <v>67866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</row>
        <row r="1360">
          <cell r="A1360" t="str">
            <v>453484</v>
          </cell>
          <cell r="B1360" t="str">
            <v>1251</v>
          </cell>
          <cell r="C1360" t="str">
            <v>12</v>
          </cell>
          <cell r="D1360" t="str">
            <v>03</v>
          </cell>
          <cell r="E1360">
            <v>46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</row>
        <row r="1361">
          <cell r="A1361" t="str">
            <v>453484</v>
          </cell>
          <cell r="B1361" t="str">
            <v>1251</v>
          </cell>
          <cell r="C1361" t="str">
            <v>12</v>
          </cell>
          <cell r="D1361" t="str">
            <v>03</v>
          </cell>
          <cell r="E1361">
            <v>51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346</v>
          </cell>
          <cell r="U1361">
            <v>346</v>
          </cell>
          <cell r="V1361">
            <v>0</v>
          </cell>
          <cell r="W1361">
            <v>0</v>
          </cell>
        </row>
        <row r="1362">
          <cell r="A1362" t="str">
            <v>453484</v>
          </cell>
          <cell r="B1362" t="str">
            <v>1251</v>
          </cell>
          <cell r="C1362" t="str">
            <v>12</v>
          </cell>
          <cell r="D1362" t="str">
            <v>03</v>
          </cell>
          <cell r="E1362">
            <v>56</v>
          </cell>
          <cell r="G1362">
            <v>0</v>
          </cell>
          <cell r="H1362">
            <v>346</v>
          </cell>
          <cell r="I1362">
            <v>346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</row>
        <row r="1363">
          <cell r="A1363" t="str">
            <v>453484</v>
          </cell>
          <cell r="B1363" t="str">
            <v>1251</v>
          </cell>
          <cell r="C1363" t="str">
            <v>12</v>
          </cell>
          <cell r="D1363" t="str">
            <v>03</v>
          </cell>
          <cell r="E1363">
            <v>61</v>
          </cell>
          <cell r="G1363">
            <v>0</v>
          </cell>
          <cell r="H1363">
            <v>346</v>
          </cell>
          <cell r="I1363">
            <v>346</v>
          </cell>
          <cell r="J1363">
            <v>45104</v>
          </cell>
          <cell r="K1363">
            <v>68527</v>
          </cell>
          <cell r="L1363">
            <v>68212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</row>
        <row r="1364">
          <cell r="A1364" t="str">
            <v>453484</v>
          </cell>
          <cell r="B1364" t="str">
            <v>1251</v>
          </cell>
          <cell r="C1364" t="str">
            <v>12</v>
          </cell>
          <cell r="D1364" t="str">
            <v>04</v>
          </cell>
          <cell r="E1364">
            <v>1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</row>
        <row r="1365">
          <cell r="A1365" t="str">
            <v>453484</v>
          </cell>
          <cell r="B1365" t="str">
            <v>1251</v>
          </cell>
          <cell r="C1365" t="str">
            <v>12</v>
          </cell>
          <cell r="D1365" t="str">
            <v>04</v>
          </cell>
          <cell r="E1365">
            <v>6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</row>
        <row r="1366">
          <cell r="A1366" t="str">
            <v>453484</v>
          </cell>
          <cell r="B1366" t="str">
            <v>1251</v>
          </cell>
          <cell r="C1366" t="str">
            <v>12</v>
          </cell>
          <cell r="D1366" t="str">
            <v>04</v>
          </cell>
          <cell r="E1366">
            <v>11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</row>
        <row r="1367">
          <cell r="A1367" t="str">
            <v>453484</v>
          </cell>
          <cell r="B1367" t="str">
            <v>1251</v>
          </cell>
          <cell r="C1367" t="str">
            <v>12</v>
          </cell>
          <cell r="D1367" t="str">
            <v>04</v>
          </cell>
          <cell r="E1367">
            <v>16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</row>
        <row r="1368">
          <cell r="A1368" t="str">
            <v>453484</v>
          </cell>
          <cell r="B1368" t="str">
            <v>1251</v>
          </cell>
          <cell r="C1368" t="str">
            <v>12</v>
          </cell>
          <cell r="D1368" t="str">
            <v>04</v>
          </cell>
          <cell r="E1368">
            <v>21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</row>
        <row r="1369">
          <cell r="A1369" t="str">
            <v>453484</v>
          </cell>
          <cell r="B1369" t="str">
            <v>1251</v>
          </cell>
          <cell r="C1369" t="str">
            <v>12</v>
          </cell>
          <cell r="D1369" t="str">
            <v>04</v>
          </cell>
          <cell r="E1369">
            <v>26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</row>
        <row r="1370">
          <cell r="A1370" t="str">
            <v>453484</v>
          </cell>
          <cell r="B1370" t="str">
            <v>1251</v>
          </cell>
          <cell r="C1370" t="str">
            <v>12</v>
          </cell>
          <cell r="D1370" t="str">
            <v>04</v>
          </cell>
          <cell r="E1370">
            <v>31</v>
          </cell>
          <cell r="G1370">
            <v>0</v>
          </cell>
          <cell r="H1370">
            <v>0</v>
          </cell>
          <cell r="I1370">
            <v>0</v>
          </cell>
          <cell r="J1370">
            <v>1000</v>
          </cell>
          <cell r="K1370">
            <v>1000</v>
          </cell>
          <cell r="L1370">
            <v>536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</row>
        <row r="1371">
          <cell r="A1371" t="str">
            <v>453484</v>
          </cell>
          <cell r="B1371" t="str">
            <v>1251</v>
          </cell>
          <cell r="C1371" t="str">
            <v>12</v>
          </cell>
          <cell r="D1371" t="str">
            <v>04</v>
          </cell>
          <cell r="E1371">
            <v>36</v>
          </cell>
          <cell r="G1371">
            <v>1000</v>
          </cell>
          <cell r="H1371">
            <v>1000</v>
          </cell>
          <cell r="I1371">
            <v>536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</row>
        <row r="1372">
          <cell r="A1372" t="str">
            <v>453484</v>
          </cell>
          <cell r="B1372" t="str">
            <v>1251</v>
          </cell>
          <cell r="C1372" t="str">
            <v>12</v>
          </cell>
          <cell r="D1372" t="str">
            <v>05</v>
          </cell>
          <cell r="E1372">
            <v>1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</row>
        <row r="1373">
          <cell r="A1373" t="str">
            <v>453484</v>
          </cell>
          <cell r="B1373" t="str">
            <v>1251</v>
          </cell>
          <cell r="C1373" t="str">
            <v>12</v>
          </cell>
          <cell r="D1373" t="str">
            <v>05</v>
          </cell>
          <cell r="E1373">
            <v>6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1193</v>
          </cell>
          <cell r="U1373">
            <v>1193</v>
          </cell>
          <cell r="V1373">
            <v>0</v>
          </cell>
          <cell r="W1373">
            <v>0</v>
          </cell>
        </row>
        <row r="1374">
          <cell r="A1374" t="str">
            <v>453484</v>
          </cell>
          <cell r="B1374" t="str">
            <v>1251</v>
          </cell>
          <cell r="C1374" t="str">
            <v>12</v>
          </cell>
          <cell r="D1374" t="str">
            <v>05</v>
          </cell>
          <cell r="E1374">
            <v>11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1193</v>
          </cell>
          <cell r="O1374">
            <v>1193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</row>
        <row r="1375">
          <cell r="A1375" t="str">
            <v>453484</v>
          </cell>
          <cell r="B1375" t="str">
            <v>1251</v>
          </cell>
          <cell r="C1375" t="str">
            <v>12</v>
          </cell>
          <cell r="D1375" t="str">
            <v>05</v>
          </cell>
          <cell r="E1375">
            <v>16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</row>
        <row r="1376">
          <cell r="A1376" t="str">
            <v>453484</v>
          </cell>
          <cell r="B1376" t="str">
            <v>1251</v>
          </cell>
          <cell r="C1376" t="str">
            <v>12</v>
          </cell>
          <cell r="D1376" t="str">
            <v>05</v>
          </cell>
          <cell r="E1376">
            <v>21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</row>
        <row r="1377">
          <cell r="A1377" t="str">
            <v>453484</v>
          </cell>
          <cell r="B1377" t="str">
            <v>1251</v>
          </cell>
          <cell r="C1377" t="str">
            <v>12</v>
          </cell>
          <cell r="D1377" t="str">
            <v>05</v>
          </cell>
          <cell r="E1377">
            <v>26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239</v>
          </cell>
          <cell r="L1377">
            <v>239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</row>
        <row r="1378">
          <cell r="A1378" t="str">
            <v>453484</v>
          </cell>
          <cell r="B1378" t="str">
            <v>1251</v>
          </cell>
          <cell r="C1378" t="str">
            <v>12</v>
          </cell>
          <cell r="D1378" t="str">
            <v>05</v>
          </cell>
          <cell r="E1378">
            <v>31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239</v>
          </cell>
          <cell r="L1378">
            <v>239</v>
          </cell>
          <cell r="M1378">
            <v>0</v>
          </cell>
          <cell r="N1378">
            <v>1432</v>
          </cell>
          <cell r="O1378">
            <v>1432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</row>
        <row r="1379">
          <cell r="A1379" t="str">
            <v>453484</v>
          </cell>
          <cell r="B1379" t="str">
            <v>1251</v>
          </cell>
          <cell r="C1379" t="str">
            <v>12</v>
          </cell>
          <cell r="D1379" t="str">
            <v>05</v>
          </cell>
          <cell r="E1379">
            <v>36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1432</v>
          </cell>
          <cell r="R1379">
            <v>1432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</row>
        <row r="1380">
          <cell r="A1380" t="str">
            <v>453484</v>
          </cell>
          <cell r="B1380" t="str">
            <v>1251</v>
          </cell>
          <cell r="C1380" t="str">
            <v>12</v>
          </cell>
          <cell r="D1380" t="str">
            <v>06</v>
          </cell>
          <cell r="E1380">
            <v>1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</row>
        <row r="1381">
          <cell r="A1381" t="str">
            <v>453484</v>
          </cell>
          <cell r="B1381" t="str">
            <v>1251</v>
          </cell>
          <cell r="C1381" t="str">
            <v>12</v>
          </cell>
          <cell r="D1381" t="str">
            <v>06</v>
          </cell>
          <cell r="E1381">
            <v>6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</row>
        <row r="1382">
          <cell r="A1382" t="str">
            <v>453484</v>
          </cell>
          <cell r="B1382" t="str">
            <v>1251</v>
          </cell>
          <cell r="C1382" t="str">
            <v>12</v>
          </cell>
          <cell r="D1382" t="str">
            <v>06</v>
          </cell>
          <cell r="E1382">
            <v>11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</row>
        <row r="1383">
          <cell r="A1383" t="str">
            <v>453484</v>
          </cell>
          <cell r="B1383" t="str">
            <v>1251</v>
          </cell>
          <cell r="C1383" t="str">
            <v>12</v>
          </cell>
          <cell r="D1383" t="str">
            <v>06</v>
          </cell>
          <cell r="E1383">
            <v>16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</row>
        <row r="1384">
          <cell r="A1384" t="str">
            <v>453484</v>
          </cell>
          <cell r="B1384" t="str">
            <v>1251</v>
          </cell>
          <cell r="C1384" t="str">
            <v>12</v>
          </cell>
          <cell r="D1384" t="str">
            <v>06</v>
          </cell>
          <cell r="E1384">
            <v>21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</row>
        <row r="1385">
          <cell r="A1385" t="str">
            <v>453484</v>
          </cell>
          <cell r="B1385" t="str">
            <v>1251</v>
          </cell>
          <cell r="C1385" t="str">
            <v>12</v>
          </cell>
          <cell r="D1385" t="str">
            <v>06</v>
          </cell>
          <cell r="E1385">
            <v>26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</row>
        <row r="1386">
          <cell r="A1386" t="str">
            <v>453484</v>
          </cell>
          <cell r="B1386" t="str">
            <v>1251</v>
          </cell>
          <cell r="C1386" t="str">
            <v>12</v>
          </cell>
          <cell r="D1386" t="str">
            <v>06</v>
          </cell>
          <cell r="E1386">
            <v>31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</row>
        <row r="1387">
          <cell r="A1387" t="str">
            <v>453484</v>
          </cell>
          <cell r="B1387" t="str">
            <v>1251</v>
          </cell>
          <cell r="C1387" t="str">
            <v>12</v>
          </cell>
          <cell r="D1387" t="str">
            <v>06</v>
          </cell>
          <cell r="E1387">
            <v>36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</row>
        <row r="1388">
          <cell r="A1388" t="str">
            <v>453484</v>
          </cell>
          <cell r="B1388" t="str">
            <v>1251</v>
          </cell>
          <cell r="C1388" t="str">
            <v>12</v>
          </cell>
          <cell r="D1388" t="str">
            <v>06</v>
          </cell>
          <cell r="E1388">
            <v>41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</row>
        <row r="1389">
          <cell r="A1389" t="str">
            <v>453484</v>
          </cell>
          <cell r="B1389" t="str">
            <v>1251</v>
          </cell>
          <cell r="C1389" t="str">
            <v>12</v>
          </cell>
          <cell r="D1389" t="str">
            <v>06</v>
          </cell>
          <cell r="E1389">
            <v>46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</row>
        <row r="1390">
          <cell r="A1390" t="str">
            <v>453484</v>
          </cell>
          <cell r="B1390" t="str">
            <v>1251</v>
          </cell>
          <cell r="C1390" t="str">
            <v>12</v>
          </cell>
          <cell r="D1390" t="str">
            <v>06</v>
          </cell>
          <cell r="E1390">
            <v>51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</row>
        <row r="1391">
          <cell r="A1391" t="str">
            <v>453484</v>
          </cell>
          <cell r="B1391" t="str">
            <v>1251</v>
          </cell>
          <cell r="C1391" t="str">
            <v>12</v>
          </cell>
          <cell r="D1391" t="str">
            <v>06</v>
          </cell>
          <cell r="E1391">
            <v>56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</row>
        <row r="1392">
          <cell r="A1392" t="str">
            <v>453484</v>
          </cell>
          <cell r="B1392" t="str">
            <v>1251</v>
          </cell>
          <cell r="C1392" t="str">
            <v>12</v>
          </cell>
          <cell r="D1392" t="str">
            <v>06</v>
          </cell>
          <cell r="E1392">
            <v>61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</row>
        <row r="1393">
          <cell r="A1393" t="str">
            <v>453484</v>
          </cell>
          <cell r="B1393" t="str">
            <v>1251</v>
          </cell>
          <cell r="C1393" t="str">
            <v>12</v>
          </cell>
          <cell r="D1393" t="str">
            <v>06</v>
          </cell>
          <cell r="E1393">
            <v>66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</row>
        <row r="1394">
          <cell r="A1394" t="str">
            <v>453484</v>
          </cell>
          <cell r="B1394" t="str">
            <v>1251</v>
          </cell>
          <cell r="C1394" t="str">
            <v>12</v>
          </cell>
          <cell r="D1394" t="str">
            <v>06</v>
          </cell>
          <cell r="E1394">
            <v>71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</row>
        <row r="1395">
          <cell r="A1395" t="str">
            <v>453484</v>
          </cell>
          <cell r="B1395" t="str">
            <v>1251</v>
          </cell>
          <cell r="C1395" t="str">
            <v>12</v>
          </cell>
          <cell r="D1395" t="str">
            <v>06</v>
          </cell>
          <cell r="E1395">
            <v>76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</row>
        <row r="1396">
          <cell r="A1396" t="str">
            <v>453484</v>
          </cell>
          <cell r="B1396" t="str">
            <v>1251</v>
          </cell>
          <cell r="C1396" t="str">
            <v>12</v>
          </cell>
          <cell r="D1396" t="str">
            <v>06</v>
          </cell>
          <cell r="E1396">
            <v>81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</row>
        <row r="1397">
          <cell r="A1397" t="str">
            <v>453484</v>
          </cell>
          <cell r="B1397" t="str">
            <v>1251</v>
          </cell>
          <cell r="C1397" t="str">
            <v>12</v>
          </cell>
          <cell r="D1397" t="str">
            <v>06</v>
          </cell>
          <cell r="E1397">
            <v>86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</row>
        <row r="1398">
          <cell r="A1398" t="str">
            <v>453484</v>
          </cell>
          <cell r="B1398" t="str">
            <v>1251</v>
          </cell>
          <cell r="C1398" t="str">
            <v>12</v>
          </cell>
          <cell r="D1398" t="str">
            <v>06</v>
          </cell>
          <cell r="E1398">
            <v>91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</row>
        <row r="1399">
          <cell r="A1399" t="str">
            <v>453484</v>
          </cell>
          <cell r="B1399" t="str">
            <v>1251</v>
          </cell>
          <cell r="C1399" t="str">
            <v>12</v>
          </cell>
          <cell r="D1399" t="str">
            <v>06</v>
          </cell>
          <cell r="E1399">
            <v>96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0</v>
          </cell>
          <cell r="V1399">
            <v>0</v>
          </cell>
          <cell r="W1399">
            <v>0</v>
          </cell>
        </row>
        <row r="1400">
          <cell r="A1400" t="str">
            <v>453484</v>
          </cell>
          <cell r="B1400" t="str">
            <v>1251</v>
          </cell>
          <cell r="C1400" t="str">
            <v>12</v>
          </cell>
          <cell r="D1400" t="str">
            <v>06</v>
          </cell>
          <cell r="E1400">
            <v>101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0</v>
          </cell>
          <cell r="V1400">
            <v>0</v>
          </cell>
          <cell r="W1400">
            <v>0</v>
          </cell>
        </row>
        <row r="1401">
          <cell r="A1401" t="str">
            <v>453484</v>
          </cell>
          <cell r="B1401" t="str">
            <v>1251</v>
          </cell>
          <cell r="C1401" t="str">
            <v>12</v>
          </cell>
          <cell r="D1401" t="str">
            <v>06</v>
          </cell>
          <cell r="E1401">
            <v>106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  <cell r="L1401">
            <v>-2063</v>
          </cell>
          <cell r="M1401">
            <v>0</v>
          </cell>
          <cell r="N1401">
            <v>0</v>
          </cell>
          <cell r="O1401">
            <v>99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-1964</v>
          </cell>
          <cell r="V1401">
            <v>0</v>
          </cell>
          <cell r="W1401">
            <v>0</v>
          </cell>
        </row>
        <row r="1402">
          <cell r="A1402" t="str">
            <v>453484</v>
          </cell>
          <cell r="B1402" t="str">
            <v>1251</v>
          </cell>
          <cell r="C1402" t="str">
            <v>12</v>
          </cell>
          <cell r="D1402" t="str">
            <v>07</v>
          </cell>
          <cell r="E1402">
            <v>1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</row>
        <row r="1403">
          <cell r="A1403" t="str">
            <v>453484</v>
          </cell>
          <cell r="B1403" t="str">
            <v>1251</v>
          </cell>
          <cell r="C1403" t="str">
            <v>12</v>
          </cell>
          <cell r="D1403" t="str">
            <v>07</v>
          </cell>
          <cell r="E1403">
            <v>5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333</v>
          </cell>
          <cell r="L1403">
            <v>0</v>
          </cell>
          <cell r="M1403">
            <v>0</v>
          </cell>
          <cell r="N1403">
            <v>0</v>
          </cell>
          <cell r="O1403">
            <v>4863</v>
          </cell>
          <cell r="P1403">
            <v>6640</v>
          </cell>
          <cell r="Q1403">
            <v>6937</v>
          </cell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</row>
        <row r="1404">
          <cell r="A1404" t="str">
            <v>453484</v>
          </cell>
          <cell r="B1404" t="str">
            <v>1251</v>
          </cell>
          <cell r="C1404" t="str">
            <v>12</v>
          </cell>
          <cell r="D1404" t="str">
            <v>07</v>
          </cell>
          <cell r="E1404">
            <v>9</v>
          </cell>
          <cell r="G1404">
            <v>800</v>
          </cell>
          <cell r="H1404">
            <v>1318</v>
          </cell>
          <cell r="I1404">
            <v>1318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118</v>
          </cell>
          <cell r="P1404">
            <v>161</v>
          </cell>
          <cell r="Q1404">
            <v>146</v>
          </cell>
          <cell r="R1404">
            <v>0</v>
          </cell>
          <cell r="S1404">
            <v>0</v>
          </cell>
          <cell r="T1404">
            <v>0</v>
          </cell>
          <cell r="U1404">
            <v>16</v>
          </cell>
          <cell r="V1404">
            <v>0</v>
          </cell>
          <cell r="W1404">
            <v>0</v>
          </cell>
        </row>
        <row r="1405">
          <cell r="A1405" t="str">
            <v>453484</v>
          </cell>
          <cell r="B1405" t="str">
            <v>1251</v>
          </cell>
          <cell r="C1405" t="str">
            <v>12</v>
          </cell>
          <cell r="D1405" t="str">
            <v>07</v>
          </cell>
          <cell r="E1405">
            <v>13</v>
          </cell>
          <cell r="G1405">
            <v>0</v>
          </cell>
          <cell r="H1405">
            <v>575</v>
          </cell>
          <cell r="I1405">
            <v>576</v>
          </cell>
          <cell r="J1405">
            <v>0</v>
          </cell>
          <cell r="K1405">
            <v>6114</v>
          </cell>
          <cell r="L1405">
            <v>8694</v>
          </cell>
          <cell r="M1405">
            <v>8993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</row>
        <row r="1406">
          <cell r="A1406" t="str">
            <v>453484</v>
          </cell>
          <cell r="B1406" t="str">
            <v>1251</v>
          </cell>
          <cell r="C1406" t="str">
            <v>12</v>
          </cell>
          <cell r="D1406" t="str">
            <v>07</v>
          </cell>
          <cell r="E1406">
            <v>17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</row>
        <row r="1407">
          <cell r="A1407" t="str">
            <v>453484</v>
          </cell>
          <cell r="B1407" t="str">
            <v>1251</v>
          </cell>
          <cell r="C1407" t="str">
            <v>12</v>
          </cell>
          <cell r="D1407" t="str">
            <v>07</v>
          </cell>
          <cell r="E1407">
            <v>21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</row>
        <row r="1408">
          <cell r="A1408" t="str">
            <v>453484</v>
          </cell>
          <cell r="B1408" t="str">
            <v>1251</v>
          </cell>
          <cell r="C1408" t="str">
            <v>12</v>
          </cell>
          <cell r="D1408" t="str">
            <v>07</v>
          </cell>
          <cell r="E1408">
            <v>25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200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</row>
        <row r="1409">
          <cell r="A1409" t="str">
            <v>453484</v>
          </cell>
          <cell r="B1409" t="str">
            <v>1251</v>
          </cell>
          <cell r="C1409" t="str">
            <v>12</v>
          </cell>
          <cell r="D1409" t="str">
            <v>07</v>
          </cell>
          <cell r="E1409">
            <v>29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200</v>
          </cell>
          <cell r="N1409">
            <v>0</v>
          </cell>
          <cell r="O1409">
            <v>6114</v>
          </cell>
          <cell r="P1409">
            <v>8694</v>
          </cell>
          <cell r="Q1409">
            <v>9193</v>
          </cell>
          <cell r="R1409">
            <v>0</v>
          </cell>
          <cell r="S1409">
            <v>0</v>
          </cell>
          <cell r="T1409">
            <v>0</v>
          </cell>
          <cell r="U1409">
            <v>0</v>
          </cell>
          <cell r="V1409">
            <v>0</v>
          </cell>
          <cell r="W1409">
            <v>0</v>
          </cell>
        </row>
        <row r="1410">
          <cell r="A1410" t="str">
            <v>453484</v>
          </cell>
          <cell r="B1410" t="str">
            <v>1251</v>
          </cell>
          <cell r="C1410" t="str">
            <v>12</v>
          </cell>
          <cell r="D1410" t="str">
            <v>09</v>
          </cell>
          <cell r="E1410">
            <v>1</v>
          </cell>
          <cell r="G1410">
            <v>282981</v>
          </cell>
          <cell r="H1410">
            <v>305550</v>
          </cell>
          <cell r="I1410">
            <v>305162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  <cell r="R1410">
            <v>0</v>
          </cell>
          <cell r="S1410">
            <v>282981</v>
          </cell>
          <cell r="T1410">
            <v>305550</v>
          </cell>
          <cell r="U1410">
            <v>305162</v>
          </cell>
          <cell r="V1410">
            <v>0</v>
          </cell>
          <cell r="W1410">
            <v>0</v>
          </cell>
        </row>
        <row r="1411">
          <cell r="A1411" t="str">
            <v>453484</v>
          </cell>
          <cell r="B1411" t="str">
            <v>1251</v>
          </cell>
          <cell r="C1411" t="str">
            <v>12</v>
          </cell>
          <cell r="D1411" t="str">
            <v>09</v>
          </cell>
          <cell r="E1411">
            <v>6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</row>
        <row r="1412">
          <cell r="A1412" t="str">
            <v>453484</v>
          </cell>
          <cell r="B1412" t="str">
            <v>1251</v>
          </cell>
          <cell r="C1412" t="str">
            <v>12</v>
          </cell>
          <cell r="D1412" t="str">
            <v>09</v>
          </cell>
          <cell r="E1412">
            <v>11</v>
          </cell>
          <cell r="G1412">
            <v>0</v>
          </cell>
          <cell r="H1412">
            <v>200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200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</row>
        <row r="1413">
          <cell r="A1413" t="str">
            <v>453484</v>
          </cell>
          <cell r="B1413" t="str">
            <v>1251</v>
          </cell>
          <cell r="C1413" t="str">
            <v>12</v>
          </cell>
          <cell r="D1413" t="str">
            <v>09</v>
          </cell>
          <cell r="E1413">
            <v>16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</row>
        <row r="1414">
          <cell r="A1414" t="str">
            <v>453484</v>
          </cell>
          <cell r="B1414" t="str">
            <v>1251</v>
          </cell>
          <cell r="C1414" t="str">
            <v>12</v>
          </cell>
          <cell r="D1414" t="str">
            <v>09</v>
          </cell>
          <cell r="E1414">
            <v>21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200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</row>
        <row r="1415">
          <cell r="A1415" t="str">
            <v>453484</v>
          </cell>
          <cell r="B1415" t="str">
            <v>1251</v>
          </cell>
          <cell r="C1415" t="str">
            <v>12</v>
          </cell>
          <cell r="D1415" t="str">
            <v>09</v>
          </cell>
          <cell r="E1415">
            <v>26</v>
          </cell>
          <cell r="G1415">
            <v>0</v>
          </cell>
          <cell r="H1415">
            <v>0</v>
          </cell>
          <cell r="I1415">
            <v>0</v>
          </cell>
          <cell r="J1415">
            <v>282981</v>
          </cell>
          <cell r="K1415">
            <v>305750</v>
          </cell>
          <cell r="L1415">
            <v>305162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</row>
        <row r="1416">
          <cell r="A1416" t="str">
            <v>453484</v>
          </cell>
          <cell r="B1416" t="str">
            <v>1251</v>
          </cell>
          <cell r="C1416" t="str">
            <v>12</v>
          </cell>
          <cell r="D1416" t="str">
            <v>10</v>
          </cell>
          <cell r="E1416">
            <v>1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</row>
        <row r="1417">
          <cell r="A1417" t="str">
            <v>453484</v>
          </cell>
          <cell r="B1417" t="str">
            <v>1251</v>
          </cell>
          <cell r="C1417" t="str">
            <v>12</v>
          </cell>
          <cell r="D1417" t="str">
            <v>10</v>
          </cell>
          <cell r="E1417">
            <v>6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</row>
        <row r="1418">
          <cell r="A1418" t="str">
            <v>453484</v>
          </cell>
          <cell r="B1418" t="str">
            <v>1251</v>
          </cell>
          <cell r="C1418" t="str">
            <v>12</v>
          </cell>
          <cell r="D1418" t="str">
            <v>10</v>
          </cell>
          <cell r="E1418">
            <v>11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</row>
        <row r="1419">
          <cell r="A1419" t="str">
            <v>453484</v>
          </cell>
          <cell r="B1419" t="str">
            <v>1251</v>
          </cell>
          <cell r="C1419" t="str">
            <v>12</v>
          </cell>
          <cell r="D1419" t="str">
            <v>10</v>
          </cell>
          <cell r="E1419">
            <v>16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>
            <v>0</v>
          </cell>
          <cell r="W1419">
            <v>0</v>
          </cell>
        </row>
        <row r="1420">
          <cell r="A1420" t="str">
            <v>453484</v>
          </cell>
          <cell r="B1420" t="str">
            <v>1251</v>
          </cell>
          <cell r="C1420" t="str">
            <v>12</v>
          </cell>
          <cell r="D1420" t="str">
            <v>10</v>
          </cell>
          <cell r="E1420">
            <v>21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</row>
        <row r="1421">
          <cell r="A1421" t="str">
            <v>453484</v>
          </cell>
          <cell r="B1421" t="str">
            <v>1251</v>
          </cell>
          <cell r="C1421" t="str">
            <v>12</v>
          </cell>
          <cell r="D1421" t="str">
            <v>10</v>
          </cell>
          <cell r="E1421">
            <v>26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0</v>
          </cell>
          <cell r="W1421">
            <v>0</v>
          </cell>
        </row>
        <row r="1422">
          <cell r="A1422" t="str">
            <v>453484</v>
          </cell>
          <cell r="B1422" t="str">
            <v>1251</v>
          </cell>
          <cell r="C1422" t="str">
            <v>12</v>
          </cell>
          <cell r="D1422" t="str">
            <v>10</v>
          </cell>
          <cell r="E1422">
            <v>31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>
            <v>0</v>
          </cell>
          <cell r="W1422">
            <v>0</v>
          </cell>
        </row>
        <row r="1423">
          <cell r="A1423" t="str">
            <v>453484</v>
          </cell>
          <cell r="B1423" t="str">
            <v>1251</v>
          </cell>
          <cell r="C1423" t="str">
            <v>12</v>
          </cell>
          <cell r="D1423" t="str">
            <v>10</v>
          </cell>
          <cell r="E1423">
            <v>36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</row>
        <row r="1424">
          <cell r="A1424" t="str">
            <v>453484</v>
          </cell>
          <cell r="B1424" t="str">
            <v>1251</v>
          </cell>
          <cell r="C1424" t="str">
            <v>12</v>
          </cell>
          <cell r="D1424" t="str">
            <v>10</v>
          </cell>
          <cell r="E1424">
            <v>41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</row>
        <row r="1425">
          <cell r="A1425" t="str">
            <v>453484</v>
          </cell>
          <cell r="B1425" t="str">
            <v>1251</v>
          </cell>
          <cell r="C1425" t="str">
            <v>12</v>
          </cell>
          <cell r="D1425" t="str">
            <v>10</v>
          </cell>
          <cell r="E1425">
            <v>46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</row>
        <row r="1426">
          <cell r="A1426" t="str">
            <v>453484</v>
          </cell>
          <cell r="B1426" t="str">
            <v>1251</v>
          </cell>
          <cell r="C1426" t="str">
            <v>12</v>
          </cell>
          <cell r="D1426" t="str">
            <v>10</v>
          </cell>
          <cell r="E1426">
            <v>51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</row>
        <row r="1427">
          <cell r="A1427" t="str">
            <v>453484</v>
          </cell>
          <cell r="B1427" t="str">
            <v>1251</v>
          </cell>
          <cell r="C1427" t="str">
            <v>12</v>
          </cell>
          <cell r="D1427" t="str">
            <v>10</v>
          </cell>
          <cell r="E1427">
            <v>56</v>
          </cell>
          <cell r="G1427">
            <v>0</v>
          </cell>
          <cell r="H1427">
            <v>4490</v>
          </cell>
          <cell r="I1427">
            <v>4490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4490</v>
          </cell>
          <cell r="R1427">
            <v>4490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</row>
        <row r="1428">
          <cell r="A1428" t="str">
            <v>453484</v>
          </cell>
          <cell r="B1428" t="str">
            <v>1251</v>
          </cell>
          <cell r="C1428" t="str">
            <v>12</v>
          </cell>
          <cell r="D1428" t="str">
            <v>10</v>
          </cell>
          <cell r="E1428">
            <v>61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</row>
        <row r="1429">
          <cell r="A1429" t="str">
            <v>453484</v>
          </cell>
          <cell r="B1429" t="str">
            <v>1251</v>
          </cell>
          <cell r="C1429" t="str">
            <v>12</v>
          </cell>
          <cell r="D1429" t="str">
            <v>10</v>
          </cell>
          <cell r="E1429">
            <v>66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</row>
        <row r="1430">
          <cell r="A1430" t="str">
            <v>453484</v>
          </cell>
          <cell r="B1430" t="str">
            <v>1251</v>
          </cell>
          <cell r="C1430" t="str">
            <v>12</v>
          </cell>
          <cell r="D1430" t="str">
            <v>10</v>
          </cell>
          <cell r="E1430">
            <v>71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</row>
        <row r="1431">
          <cell r="A1431" t="str">
            <v>453484</v>
          </cell>
          <cell r="B1431" t="str">
            <v>1251</v>
          </cell>
          <cell r="C1431" t="str">
            <v>12</v>
          </cell>
          <cell r="D1431" t="str">
            <v>10</v>
          </cell>
          <cell r="E1431">
            <v>76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</row>
        <row r="1432">
          <cell r="A1432" t="str">
            <v>453484</v>
          </cell>
          <cell r="B1432" t="str">
            <v>1251</v>
          </cell>
          <cell r="C1432" t="str">
            <v>12</v>
          </cell>
          <cell r="D1432" t="str">
            <v>10</v>
          </cell>
          <cell r="E1432">
            <v>81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</row>
        <row r="1433">
          <cell r="A1433" t="str">
            <v>453484</v>
          </cell>
          <cell r="B1433" t="str">
            <v>1251</v>
          </cell>
          <cell r="C1433" t="str">
            <v>12</v>
          </cell>
          <cell r="D1433" t="str">
            <v>10</v>
          </cell>
          <cell r="E1433">
            <v>86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</row>
        <row r="1434">
          <cell r="A1434" t="str">
            <v>453484</v>
          </cell>
          <cell r="B1434" t="str">
            <v>1251</v>
          </cell>
          <cell r="C1434" t="str">
            <v>12</v>
          </cell>
          <cell r="D1434" t="str">
            <v>10</v>
          </cell>
          <cell r="E1434">
            <v>91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</row>
        <row r="1435">
          <cell r="A1435" t="str">
            <v>453484</v>
          </cell>
          <cell r="B1435" t="str">
            <v>1251</v>
          </cell>
          <cell r="C1435" t="str">
            <v>12</v>
          </cell>
          <cell r="D1435" t="str">
            <v>10</v>
          </cell>
          <cell r="E1435">
            <v>96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</row>
        <row r="1436">
          <cell r="A1436" t="str">
            <v>453484</v>
          </cell>
          <cell r="B1436" t="str">
            <v>1251</v>
          </cell>
          <cell r="C1436" t="str">
            <v>12</v>
          </cell>
          <cell r="D1436" t="str">
            <v>10</v>
          </cell>
          <cell r="E1436">
            <v>101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</row>
        <row r="1437">
          <cell r="A1437" t="str">
            <v>453484</v>
          </cell>
          <cell r="B1437" t="str">
            <v>1251</v>
          </cell>
          <cell r="C1437" t="str">
            <v>12</v>
          </cell>
          <cell r="D1437" t="str">
            <v>10</v>
          </cell>
          <cell r="E1437">
            <v>106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-26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</row>
        <row r="1438">
          <cell r="A1438" t="str">
            <v>453484</v>
          </cell>
          <cell r="B1438" t="str">
            <v>1251</v>
          </cell>
          <cell r="C1438" t="str">
            <v>12</v>
          </cell>
          <cell r="D1438" t="str">
            <v>10</v>
          </cell>
          <cell r="E1438">
            <v>111</v>
          </cell>
          <cell r="G1438">
            <v>0</v>
          </cell>
          <cell r="H1438">
            <v>0</v>
          </cell>
          <cell r="I1438">
            <v>-26</v>
          </cell>
          <cell r="J1438">
            <v>0</v>
          </cell>
          <cell r="K1438">
            <v>4490</v>
          </cell>
          <cell r="L1438">
            <v>4464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</row>
        <row r="1439">
          <cell r="A1439" t="str">
            <v>453484</v>
          </cell>
          <cell r="B1439" t="str">
            <v>1251</v>
          </cell>
          <cell r="C1439" t="str">
            <v>12</v>
          </cell>
          <cell r="D1439" t="str">
            <v>21</v>
          </cell>
          <cell r="E1439">
            <v>1</v>
          </cell>
          <cell r="G1439">
            <v>801214</v>
          </cell>
          <cell r="H1439">
            <v>140401</v>
          </cell>
          <cell r="I1439">
            <v>42935</v>
          </cell>
          <cell r="J1439">
            <v>2763</v>
          </cell>
          <cell r="K1439">
            <v>186099</v>
          </cell>
          <cell r="L1439">
            <v>59682</v>
          </cell>
          <cell r="M1439">
            <v>67866</v>
          </cell>
          <cell r="N1439">
            <v>346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</row>
        <row r="1440">
          <cell r="A1440" t="str">
            <v>453484</v>
          </cell>
          <cell r="B1440" t="str">
            <v>1251</v>
          </cell>
          <cell r="C1440" t="str">
            <v>12</v>
          </cell>
          <cell r="D1440" t="str">
            <v>21</v>
          </cell>
          <cell r="E1440">
            <v>1</v>
          </cell>
          <cell r="G1440">
            <v>999999</v>
          </cell>
          <cell r="H1440">
            <v>140401</v>
          </cell>
          <cell r="I1440">
            <v>42935</v>
          </cell>
          <cell r="J1440">
            <v>2763</v>
          </cell>
          <cell r="K1440">
            <v>186099</v>
          </cell>
          <cell r="L1440">
            <v>59682</v>
          </cell>
          <cell r="M1440">
            <v>67866</v>
          </cell>
          <cell r="N1440">
            <v>346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</row>
        <row r="1441">
          <cell r="A1441" t="str">
            <v>453484</v>
          </cell>
          <cell r="B1441" t="str">
            <v>1251</v>
          </cell>
          <cell r="C1441" t="str">
            <v>12</v>
          </cell>
          <cell r="D1441" t="str">
            <v>21</v>
          </cell>
          <cell r="E1441">
            <v>17</v>
          </cell>
          <cell r="G1441">
            <v>801214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</row>
        <row r="1442">
          <cell r="A1442" t="str">
            <v>453484</v>
          </cell>
          <cell r="B1442" t="str">
            <v>1251</v>
          </cell>
          <cell r="C1442" t="str">
            <v>12</v>
          </cell>
          <cell r="D1442" t="str">
            <v>21</v>
          </cell>
          <cell r="E1442">
            <v>17</v>
          </cell>
          <cell r="G1442">
            <v>999999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</row>
        <row r="1443">
          <cell r="A1443" t="str">
            <v>453484</v>
          </cell>
          <cell r="B1443" t="str">
            <v>1251</v>
          </cell>
          <cell r="C1443" t="str">
            <v>12</v>
          </cell>
          <cell r="D1443" t="str">
            <v>21</v>
          </cell>
          <cell r="E1443">
            <v>33</v>
          </cell>
          <cell r="G1443">
            <v>801214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</row>
        <row r="1444">
          <cell r="A1444" t="str">
            <v>453484</v>
          </cell>
          <cell r="B1444" t="str">
            <v>1251</v>
          </cell>
          <cell r="C1444" t="str">
            <v>12</v>
          </cell>
          <cell r="D1444" t="str">
            <v>21</v>
          </cell>
          <cell r="E1444">
            <v>33</v>
          </cell>
          <cell r="G1444">
            <v>999999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</row>
        <row r="1445">
          <cell r="A1445" t="str">
            <v>453484</v>
          </cell>
          <cell r="B1445" t="str">
            <v>1251</v>
          </cell>
          <cell r="C1445" t="str">
            <v>12</v>
          </cell>
          <cell r="D1445" t="str">
            <v>21</v>
          </cell>
          <cell r="E1445">
            <v>49</v>
          </cell>
          <cell r="G1445">
            <v>801214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536</v>
          </cell>
          <cell r="V1445">
            <v>0</v>
          </cell>
          <cell r="W1445">
            <v>1193</v>
          </cell>
        </row>
        <row r="1446">
          <cell r="A1446" t="str">
            <v>453484</v>
          </cell>
          <cell r="B1446" t="str">
            <v>1251</v>
          </cell>
          <cell r="C1446" t="str">
            <v>12</v>
          </cell>
          <cell r="D1446" t="str">
            <v>21</v>
          </cell>
          <cell r="E1446">
            <v>49</v>
          </cell>
          <cell r="G1446">
            <v>999999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536</v>
          </cell>
          <cell r="V1446">
            <v>0</v>
          </cell>
          <cell r="W1446">
            <v>1193</v>
          </cell>
        </row>
        <row r="1447">
          <cell r="A1447" t="str">
            <v>453484</v>
          </cell>
          <cell r="B1447" t="str">
            <v>1251</v>
          </cell>
          <cell r="C1447" t="str">
            <v>12</v>
          </cell>
          <cell r="D1447" t="str">
            <v>21</v>
          </cell>
          <cell r="E1447">
            <v>65</v>
          </cell>
          <cell r="G1447">
            <v>801214</v>
          </cell>
          <cell r="H1447">
            <v>0</v>
          </cell>
          <cell r="I1447">
            <v>239</v>
          </cell>
          <cell r="J1447">
            <v>0</v>
          </cell>
          <cell r="K1447">
            <v>0</v>
          </cell>
          <cell r="L1447">
            <v>315961</v>
          </cell>
          <cell r="M1447">
            <v>0</v>
          </cell>
          <cell r="N1447">
            <v>315961</v>
          </cell>
          <cell r="O1447">
            <v>0</v>
          </cell>
          <cell r="P1447">
            <v>315961</v>
          </cell>
          <cell r="Q1447">
            <v>17</v>
          </cell>
          <cell r="R1447">
            <v>17</v>
          </cell>
          <cell r="S1447">
            <v>59</v>
          </cell>
          <cell r="T1447">
            <v>59</v>
          </cell>
          <cell r="U1447">
            <v>0</v>
          </cell>
          <cell r="V1447">
            <v>0</v>
          </cell>
          <cell r="W1447">
            <v>0</v>
          </cell>
        </row>
        <row r="1448">
          <cell r="A1448" t="str">
            <v>453484</v>
          </cell>
          <cell r="B1448" t="str">
            <v>1251</v>
          </cell>
          <cell r="C1448" t="str">
            <v>12</v>
          </cell>
          <cell r="D1448" t="str">
            <v>21</v>
          </cell>
          <cell r="E1448">
            <v>65</v>
          </cell>
          <cell r="G1448">
            <v>999999</v>
          </cell>
          <cell r="H1448">
            <v>0</v>
          </cell>
          <cell r="I1448">
            <v>239</v>
          </cell>
          <cell r="J1448">
            <v>0</v>
          </cell>
          <cell r="K1448">
            <v>0</v>
          </cell>
          <cell r="L1448">
            <v>315961</v>
          </cell>
          <cell r="M1448">
            <v>0</v>
          </cell>
          <cell r="N1448">
            <v>315961</v>
          </cell>
          <cell r="O1448">
            <v>0</v>
          </cell>
          <cell r="P1448">
            <v>315961</v>
          </cell>
          <cell r="Q1448">
            <v>17</v>
          </cell>
          <cell r="R1448">
            <v>17</v>
          </cell>
          <cell r="S1448">
            <v>59</v>
          </cell>
          <cell r="T1448">
            <v>59</v>
          </cell>
          <cell r="U1448">
            <v>0</v>
          </cell>
          <cell r="V1448">
            <v>0</v>
          </cell>
          <cell r="W1448">
            <v>0</v>
          </cell>
        </row>
        <row r="1449">
          <cell r="A1449" t="str">
            <v>453484</v>
          </cell>
          <cell r="B1449" t="str">
            <v>1251</v>
          </cell>
          <cell r="C1449" t="str">
            <v>12</v>
          </cell>
          <cell r="D1449" t="str">
            <v>22</v>
          </cell>
          <cell r="E1449">
            <v>1</v>
          </cell>
          <cell r="G1449">
            <v>751922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</row>
        <row r="1450">
          <cell r="A1450" t="str">
            <v>453484</v>
          </cell>
          <cell r="B1450" t="str">
            <v>1251</v>
          </cell>
          <cell r="C1450" t="str">
            <v>12</v>
          </cell>
          <cell r="D1450" t="str">
            <v>22</v>
          </cell>
          <cell r="E1450">
            <v>1</v>
          </cell>
          <cell r="G1450">
            <v>801214</v>
          </cell>
          <cell r="H1450">
            <v>0</v>
          </cell>
          <cell r="I1450">
            <v>8993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200</v>
          </cell>
          <cell r="W1450">
            <v>0</v>
          </cell>
        </row>
        <row r="1451">
          <cell r="A1451" t="str">
            <v>453484</v>
          </cell>
          <cell r="B1451" t="str">
            <v>1251</v>
          </cell>
          <cell r="C1451" t="str">
            <v>12</v>
          </cell>
          <cell r="D1451" t="str">
            <v>22</v>
          </cell>
          <cell r="E1451">
            <v>1</v>
          </cell>
          <cell r="G1451">
            <v>999999</v>
          </cell>
          <cell r="H1451">
            <v>0</v>
          </cell>
          <cell r="I1451">
            <v>8993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200</v>
          </cell>
          <cell r="W1451">
            <v>0</v>
          </cell>
        </row>
        <row r="1452">
          <cell r="A1452" t="str">
            <v>453484</v>
          </cell>
          <cell r="B1452" t="str">
            <v>1251</v>
          </cell>
          <cell r="C1452" t="str">
            <v>12</v>
          </cell>
          <cell r="D1452" t="str">
            <v>22</v>
          </cell>
          <cell r="E1452">
            <v>17</v>
          </cell>
          <cell r="G1452">
            <v>751922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</row>
        <row r="1453">
          <cell r="A1453" t="str">
            <v>453484</v>
          </cell>
          <cell r="B1453" t="str">
            <v>1251</v>
          </cell>
          <cell r="C1453" t="str">
            <v>12</v>
          </cell>
          <cell r="D1453" t="str">
            <v>22</v>
          </cell>
          <cell r="E1453">
            <v>17</v>
          </cell>
          <cell r="G1453">
            <v>801214</v>
          </cell>
          <cell r="H1453">
            <v>200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200</v>
          </cell>
          <cell r="O1453">
            <v>0</v>
          </cell>
          <cell r="P1453">
            <v>0</v>
          </cell>
          <cell r="Q1453">
            <v>9193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</row>
        <row r="1454">
          <cell r="A1454" t="str">
            <v>453484</v>
          </cell>
          <cell r="B1454" t="str">
            <v>1251</v>
          </cell>
          <cell r="C1454" t="str">
            <v>12</v>
          </cell>
          <cell r="D1454" t="str">
            <v>22</v>
          </cell>
          <cell r="E1454">
            <v>17</v>
          </cell>
          <cell r="G1454">
            <v>999999</v>
          </cell>
          <cell r="H1454">
            <v>200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200</v>
          </cell>
          <cell r="O1454">
            <v>0</v>
          </cell>
          <cell r="P1454">
            <v>0</v>
          </cell>
          <cell r="Q1454">
            <v>9193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</row>
        <row r="1455">
          <cell r="A1455" t="str">
            <v>453484</v>
          </cell>
          <cell r="B1455" t="str">
            <v>1251</v>
          </cell>
          <cell r="C1455" t="str">
            <v>12</v>
          </cell>
          <cell r="D1455" t="str">
            <v>22</v>
          </cell>
          <cell r="E1455">
            <v>33</v>
          </cell>
          <cell r="G1455">
            <v>751922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</row>
        <row r="1456">
          <cell r="A1456" t="str">
            <v>453484</v>
          </cell>
          <cell r="B1456" t="str">
            <v>1251</v>
          </cell>
          <cell r="C1456" t="str">
            <v>12</v>
          </cell>
          <cell r="D1456" t="str">
            <v>22</v>
          </cell>
          <cell r="E1456">
            <v>33</v>
          </cell>
          <cell r="G1456">
            <v>801214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</row>
        <row r="1457">
          <cell r="A1457" t="str">
            <v>453484</v>
          </cell>
          <cell r="B1457" t="str">
            <v>1251</v>
          </cell>
          <cell r="C1457" t="str">
            <v>12</v>
          </cell>
          <cell r="D1457" t="str">
            <v>22</v>
          </cell>
          <cell r="E1457">
            <v>33</v>
          </cell>
          <cell r="G1457">
            <v>999999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</row>
        <row r="1458">
          <cell r="A1458" t="str">
            <v>453484</v>
          </cell>
          <cell r="B1458" t="str">
            <v>1251</v>
          </cell>
          <cell r="C1458" t="str">
            <v>12</v>
          </cell>
          <cell r="D1458" t="str">
            <v>22</v>
          </cell>
          <cell r="E1458">
            <v>49</v>
          </cell>
          <cell r="G1458">
            <v>751922</v>
          </cell>
          <cell r="H1458">
            <v>305162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305162</v>
          </cell>
          <cell r="P1458">
            <v>0</v>
          </cell>
          <cell r="Q1458">
            <v>305162</v>
          </cell>
          <cell r="R1458">
            <v>0</v>
          </cell>
          <cell r="S1458">
            <v>305162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</row>
        <row r="1459">
          <cell r="A1459" t="str">
            <v>453484</v>
          </cell>
          <cell r="B1459" t="str">
            <v>1251</v>
          </cell>
          <cell r="C1459" t="str">
            <v>12</v>
          </cell>
          <cell r="D1459" t="str">
            <v>22</v>
          </cell>
          <cell r="E1459">
            <v>49</v>
          </cell>
          <cell r="G1459">
            <v>801214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9193</v>
          </cell>
          <cell r="P1459">
            <v>4490</v>
          </cell>
          <cell r="Q1459">
            <v>13683</v>
          </cell>
          <cell r="R1459">
            <v>0</v>
          </cell>
          <cell r="S1459">
            <v>13683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</row>
        <row r="1460">
          <cell r="A1460" t="str">
            <v>453484</v>
          </cell>
          <cell r="B1460" t="str">
            <v>1251</v>
          </cell>
          <cell r="C1460" t="str">
            <v>12</v>
          </cell>
          <cell r="D1460" t="str">
            <v>22</v>
          </cell>
          <cell r="E1460">
            <v>49</v>
          </cell>
          <cell r="G1460">
            <v>999999</v>
          </cell>
          <cell r="H1460">
            <v>305162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314355</v>
          </cell>
          <cell r="P1460">
            <v>4490</v>
          </cell>
          <cell r="Q1460">
            <v>318845</v>
          </cell>
          <cell r="R1460">
            <v>0</v>
          </cell>
          <cell r="S1460">
            <v>318845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</row>
        <row r="1461">
          <cell r="A1461" t="str">
            <v>453484</v>
          </cell>
          <cell r="B1461" t="str">
            <v>1251</v>
          </cell>
          <cell r="C1461" t="str">
            <v>12</v>
          </cell>
          <cell r="D1461" t="str">
            <v>23</v>
          </cell>
          <cell r="E1461">
            <v>1</v>
          </cell>
          <cell r="G1461">
            <v>183872</v>
          </cell>
          <cell r="H1461">
            <v>0</v>
          </cell>
          <cell r="I1461">
            <v>0</v>
          </cell>
          <cell r="J1461">
            <v>3776</v>
          </cell>
          <cell r="K1461">
            <v>0</v>
          </cell>
          <cell r="L1461">
            <v>3776</v>
          </cell>
          <cell r="M1461">
            <v>187648</v>
          </cell>
          <cell r="N1461">
            <v>186099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</row>
        <row r="1462">
          <cell r="A1462" t="str">
            <v>453484</v>
          </cell>
          <cell r="B1462" t="str">
            <v>1251</v>
          </cell>
          <cell r="C1462" t="str">
            <v>12</v>
          </cell>
          <cell r="D1462" t="str">
            <v>23</v>
          </cell>
          <cell r="E1462">
            <v>2</v>
          </cell>
          <cell r="G1462">
            <v>59119</v>
          </cell>
          <cell r="H1462">
            <v>0</v>
          </cell>
          <cell r="I1462">
            <v>0</v>
          </cell>
          <cell r="J1462">
            <v>1208</v>
          </cell>
          <cell r="K1462">
            <v>0</v>
          </cell>
          <cell r="L1462">
            <v>1208</v>
          </cell>
          <cell r="M1462">
            <v>60327</v>
          </cell>
          <cell r="N1462">
            <v>59682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</row>
        <row r="1463">
          <cell r="A1463" t="str">
            <v>453484</v>
          </cell>
          <cell r="B1463" t="str">
            <v>1251</v>
          </cell>
          <cell r="C1463" t="str">
            <v>12</v>
          </cell>
          <cell r="D1463" t="str">
            <v>23</v>
          </cell>
          <cell r="E1463">
            <v>3</v>
          </cell>
          <cell r="G1463">
            <v>45104</v>
          </cell>
          <cell r="H1463">
            <v>0</v>
          </cell>
          <cell r="I1463">
            <v>0</v>
          </cell>
          <cell r="J1463">
            <v>23423</v>
          </cell>
          <cell r="K1463">
            <v>0</v>
          </cell>
          <cell r="L1463">
            <v>23423</v>
          </cell>
          <cell r="M1463">
            <v>68527</v>
          </cell>
          <cell r="N1463">
            <v>68212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</row>
        <row r="1464">
          <cell r="A1464" t="str">
            <v>453484</v>
          </cell>
          <cell r="B1464" t="str">
            <v>1251</v>
          </cell>
          <cell r="C1464" t="str">
            <v>12</v>
          </cell>
          <cell r="D1464" t="str">
            <v>23</v>
          </cell>
          <cell r="E1464">
            <v>4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</row>
        <row r="1465">
          <cell r="A1465" t="str">
            <v>453484</v>
          </cell>
          <cell r="B1465" t="str">
            <v>1251</v>
          </cell>
          <cell r="C1465" t="str">
            <v>12</v>
          </cell>
          <cell r="D1465" t="str">
            <v>23</v>
          </cell>
          <cell r="E1465">
            <v>5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</row>
        <row r="1466">
          <cell r="A1466" t="str">
            <v>453484</v>
          </cell>
          <cell r="B1466" t="str">
            <v>1251</v>
          </cell>
          <cell r="C1466" t="str">
            <v>12</v>
          </cell>
          <cell r="D1466" t="str">
            <v>23</v>
          </cell>
          <cell r="E1466">
            <v>6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</row>
        <row r="1467">
          <cell r="A1467" t="str">
            <v>453484</v>
          </cell>
          <cell r="B1467" t="str">
            <v>1251</v>
          </cell>
          <cell r="C1467" t="str">
            <v>12</v>
          </cell>
          <cell r="D1467" t="str">
            <v>23</v>
          </cell>
          <cell r="E1467">
            <v>7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</row>
        <row r="1468">
          <cell r="A1468" t="str">
            <v>453484</v>
          </cell>
          <cell r="B1468" t="str">
            <v>1251</v>
          </cell>
          <cell r="C1468" t="str">
            <v>12</v>
          </cell>
          <cell r="D1468" t="str">
            <v>23</v>
          </cell>
          <cell r="E1468">
            <v>8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</row>
        <row r="1469">
          <cell r="A1469" t="str">
            <v>453484</v>
          </cell>
          <cell r="B1469" t="str">
            <v>1251</v>
          </cell>
          <cell r="C1469" t="str">
            <v>12</v>
          </cell>
          <cell r="D1469" t="str">
            <v>23</v>
          </cell>
          <cell r="E1469">
            <v>9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0</v>
          </cell>
          <cell r="W1469">
            <v>0</v>
          </cell>
        </row>
        <row r="1470">
          <cell r="A1470" t="str">
            <v>453484</v>
          </cell>
          <cell r="B1470" t="str">
            <v>1251</v>
          </cell>
          <cell r="C1470" t="str">
            <v>12</v>
          </cell>
          <cell r="D1470" t="str">
            <v>23</v>
          </cell>
          <cell r="E1470">
            <v>10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</row>
        <row r="1471">
          <cell r="A1471" t="str">
            <v>453484</v>
          </cell>
          <cell r="B1471" t="str">
            <v>1251</v>
          </cell>
          <cell r="C1471" t="str">
            <v>12</v>
          </cell>
          <cell r="D1471" t="str">
            <v>23</v>
          </cell>
          <cell r="E1471">
            <v>11</v>
          </cell>
          <cell r="G1471">
            <v>1000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1000</v>
          </cell>
          <cell r="N1471">
            <v>536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</row>
        <row r="1472">
          <cell r="A1472" t="str">
            <v>453484</v>
          </cell>
          <cell r="B1472" t="str">
            <v>1251</v>
          </cell>
          <cell r="C1472" t="str">
            <v>12</v>
          </cell>
          <cell r="D1472" t="str">
            <v>23</v>
          </cell>
          <cell r="E1472">
            <v>12</v>
          </cell>
          <cell r="G1472">
            <v>289095</v>
          </cell>
          <cell r="H1472">
            <v>0</v>
          </cell>
          <cell r="I1472">
            <v>0</v>
          </cell>
          <cell r="J1472">
            <v>28407</v>
          </cell>
          <cell r="K1472">
            <v>0</v>
          </cell>
          <cell r="L1472">
            <v>28407</v>
          </cell>
          <cell r="M1472">
            <v>317502</v>
          </cell>
          <cell r="N1472">
            <v>314529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</row>
        <row r="1473">
          <cell r="A1473" t="str">
            <v>453484</v>
          </cell>
          <cell r="B1473" t="str">
            <v>1251</v>
          </cell>
          <cell r="C1473" t="str">
            <v>12</v>
          </cell>
          <cell r="D1473" t="str">
            <v>23</v>
          </cell>
          <cell r="E1473">
            <v>13</v>
          </cell>
          <cell r="G1473">
            <v>0</v>
          </cell>
          <cell r="H1473">
            <v>0</v>
          </cell>
          <cell r="I1473">
            <v>0</v>
          </cell>
          <cell r="J1473">
            <v>1432</v>
          </cell>
          <cell r="K1473">
            <v>0</v>
          </cell>
          <cell r="L1473">
            <v>1432</v>
          </cell>
          <cell r="M1473">
            <v>1432</v>
          </cell>
          <cell r="N1473">
            <v>1432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</row>
        <row r="1474">
          <cell r="A1474" t="str">
            <v>453484</v>
          </cell>
          <cell r="B1474" t="str">
            <v>1251</v>
          </cell>
          <cell r="C1474" t="str">
            <v>12</v>
          </cell>
          <cell r="D1474" t="str">
            <v>23</v>
          </cell>
          <cell r="E1474">
            <v>14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</row>
        <row r="1475">
          <cell r="A1475" t="str">
            <v>453484</v>
          </cell>
          <cell r="B1475" t="str">
            <v>1251</v>
          </cell>
          <cell r="C1475" t="str">
            <v>12</v>
          </cell>
          <cell r="D1475" t="str">
            <v>23</v>
          </cell>
          <cell r="E1475">
            <v>15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</row>
        <row r="1476">
          <cell r="A1476" t="str">
            <v>453484</v>
          </cell>
          <cell r="B1476" t="str">
            <v>1251</v>
          </cell>
          <cell r="C1476" t="str">
            <v>12</v>
          </cell>
          <cell r="D1476" t="str">
            <v>23</v>
          </cell>
          <cell r="E1476">
            <v>16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</row>
        <row r="1477">
          <cell r="A1477" t="str">
            <v>453484</v>
          </cell>
          <cell r="B1477" t="str">
            <v>1251</v>
          </cell>
          <cell r="C1477" t="str">
            <v>12</v>
          </cell>
          <cell r="D1477" t="str">
            <v>23</v>
          </cell>
          <cell r="E1477">
            <v>17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</row>
        <row r="1478">
          <cell r="A1478" t="str">
            <v>453484</v>
          </cell>
          <cell r="B1478" t="str">
            <v>1251</v>
          </cell>
          <cell r="C1478" t="str">
            <v>12</v>
          </cell>
          <cell r="D1478" t="str">
            <v>23</v>
          </cell>
          <cell r="E1478">
            <v>18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</row>
        <row r="1479">
          <cell r="A1479" t="str">
            <v>453484</v>
          </cell>
          <cell r="B1479" t="str">
            <v>1251</v>
          </cell>
          <cell r="C1479" t="str">
            <v>12</v>
          </cell>
          <cell r="D1479" t="str">
            <v>23</v>
          </cell>
          <cell r="E1479">
            <v>19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</row>
        <row r="1480">
          <cell r="A1480" t="str">
            <v>453484</v>
          </cell>
          <cell r="B1480" t="str">
            <v>1251</v>
          </cell>
          <cell r="C1480" t="str">
            <v>12</v>
          </cell>
          <cell r="D1480" t="str">
            <v>23</v>
          </cell>
          <cell r="E1480">
            <v>20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</row>
        <row r="1481">
          <cell r="A1481" t="str">
            <v>453484</v>
          </cell>
          <cell r="B1481" t="str">
            <v>1251</v>
          </cell>
          <cell r="C1481" t="str">
            <v>12</v>
          </cell>
          <cell r="D1481" t="str">
            <v>23</v>
          </cell>
          <cell r="E1481">
            <v>21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</row>
        <row r="1482">
          <cell r="A1482" t="str">
            <v>453484</v>
          </cell>
          <cell r="B1482" t="str">
            <v>1251</v>
          </cell>
          <cell r="C1482" t="str">
            <v>12</v>
          </cell>
          <cell r="D1482" t="str">
            <v>23</v>
          </cell>
          <cell r="E1482">
            <v>22</v>
          </cell>
          <cell r="G1482">
            <v>0</v>
          </cell>
          <cell r="H1482">
            <v>0</v>
          </cell>
          <cell r="I1482">
            <v>0</v>
          </cell>
          <cell r="J1482">
            <v>1432</v>
          </cell>
          <cell r="K1482">
            <v>0</v>
          </cell>
          <cell r="L1482">
            <v>1432</v>
          </cell>
          <cell r="M1482">
            <v>1432</v>
          </cell>
          <cell r="N1482">
            <v>1432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</row>
        <row r="1483">
          <cell r="A1483" t="str">
            <v>453484</v>
          </cell>
          <cell r="B1483" t="str">
            <v>1251</v>
          </cell>
          <cell r="C1483" t="str">
            <v>12</v>
          </cell>
          <cell r="D1483" t="str">
            <v>23</v>
          </cell>
          <cell r="E1483">
            <v>23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</row>
        <row r="1484">
          <cell r="A1484" t="str">
            <v>453484</v>
          </cell>
          <cell r="B1484" t="str">
            <v>1251</v>
          </cell>
          <cell r="C1484" t="str">
            <v>12</v>
          </cell>
          <cell r="D1484" t="str">
            <v>23</v>
          </cell>
          <cell r="E1484">
            <v>24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</row>
        <row r="1485">
          <cell r="A1485" t="str">
            <v>453484</v>
          </cell>
          <cell r="B1485" t="str">
            <v>1251</v>
          </cell>
          <cell r="C1485" t="str">
            <v>12</v>
          </cell>
          <cell r="D1485" t="str">
            <v>23</v>
          </cell>
          <cell r="E1485">
            <v>25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</row>
        <row r="1486">
          <cell r="A1486" t="str">
            <v>453484</v>
          </cell>
          <cell r="B1486" t="str">
            <v>1251</v>
          </cell>
          <cell r="C1486" t="str">
            <v>12</v>
          </cell>
          <cell r="D1486" t="str">
            <v>23</v>
          </cell>
          <cell r="E1486">
            <v>26</v>
          </cell>
          <cell r="G1486">
            <v>289095</v>
          </cell>
          <cell r="H1486">
            <v>0</v>
          </cell>
          <cell r="I1486">
            <v>0</v>
          </cell>
          <cell r="J1486">
            <v>29839</v>
          </cell>
          <cell r="K1486">
            <v>0</v>
          </cell>
          <cell r="L1486">
            <v>29839</v>
          </cell>
          <cell r="M1486">
            <v>318934</v>
          </cell>
          <cell r="N1486">
            <v>315961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</row>
        <row r="1487">
          <cell r="A1487" t="str">
            <v>453484</v>
          </cell>
          <cell r="B1487" t="str">
            <v>1251</v>
          </cell>
          <cell r="C1487" t="str">
            <v>12</v>
          </cell>
          <cell r="D1487" t="str">
            <v>23</v>
          </cell>
          <cell r="E1487">
            <v>27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</row>
        <row r="1488">
          <cell r="A1488" t="str">
            <v>453484</v>
          </cell>
          <cell r="B1488" t="str">
            <v>1251</v>
          </cell>
          <cell r="C1488" t="str">
            <v>12</v>
          </cell>
          <cell r="D1488" t="str">
            <v>23</v>
          </cell>
          <cell r="E1488">
            <v>28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-1964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</row>
        <row r="1489">
          <cell r="A1489" t="str">
            <v>453484</v>
          </cell>
          <cell r="B1489" t="str">
            <v>1251</v>
          </cell>
          <cell r="C1489" t="str">
            <v>12</v>
          </cell>
          <cell r="D1489" t="str">
            <v>23</v>
          </cell>
          <cell r="E1489">
            <v>29</v>
          </cell>
          <cell r="G1489">
            <v>289095</v>
          </cell>
          <cell r="H1489">
            <v>0</v>
          </cell>
          <cell r="I1489">
            <v>0</v>
          </cell>
          <cell r="J1489">
            <v>29839</v>
          </cell>
          <cell r="K1489">
            <v>0</v>
          </cell>
          <cell r="L1489">
            <v>29839</v>
          </cell>
          <cell r="M1489">
            <v>318934</v>
          </cell>
          <cell r="N1489">
            <v>313997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</row>
        <row r="1490">
          <cell r="A1490" t="str">
            <v>453484</v>
          </cell>
          <cell r="B1490" t="str">
            <v>1251</v>
          </cell>
          <cell r="C1490" t="str">
            <v>12</v>
          </cell>
          <cell r="D1490" t="str">
            <v>23</v>
          </cell>
          <cell r="E1490">
            <v>30</v>
          </cell>
          <cell r="G1490">
            <v>6114</v>
          </cell>
          <cell r="H1490">
            <v>0</v>
          </cell>
          <cell r="I1490">
            <v>0</v>
          </cell>
          <cell r="J1490">
            <v>2780</v>
          </cell>
          <cell r="K1490">
            <v>0</v>
          </cell>
          <cell r="L1490">
            <v>2780</v>
          </cell>
          <cell r="M1490">
            <v>8894</v>
          </cell>
          <cell r="N1490">
            <v>9193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</row>
        <row r="1491">
          <cell r="A1491" t="str">
            <v>453484</v>
          </cell>
          <cell r="B1491" t="str">
            <v>1251</v>
          </cell>
          <cell r="C1491" t="str">
            <v>12</v>
          </cell>
          <cell r="D1491" t="str">
            <v>23</v>
          </cell>
          <cell r="E1491">
            <v>31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</row>
        <row r="1492">
          <cell r="A1492" t="str">
            <v>453484</v>
          </cell>
          <cell r="B1492" t="str">
            <v>1251</v>
          </cell>
          <cell r="C1492" t="str">
            <v>12</v>
          </cell>
          <cell r="D1492" t="str">
            <v>23</v>
          </cell>
          <cell r="E1492">
            <v>32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</row>
        <row r="1493">
          <cell r="A1493" t="str">
            <v>453484</v>
          </cell>
          <cell r="B1493" t="str">
            <v>1251</v>
          </cell>
          <cell r="C1493" t="str">
            <v>12</v>
          </cell>
          <cell r="D1493" t="str">
            <v>23</v>
          </cell>
          <cell r="E1493">
            <v>33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</row>
        <row r="1494">
          <cell r="A1494" t="str">
            <v>453484</v>
          </cell>
          <cell r="B1494" t="str">
            <v>1251</v>
          </cell>
          <cell r="C1494" t="str">
            <v>12</v>
          </cell>
          <cell r="D1494" t="str">
            <v>23</v>
          </cell>
          <cell r="E1494">
            <v>34</v>
          </cell>
          <cell r="G1494">
            <v>282981</v>
          </cell>
          <cell r="H1494">
            <v>0</v>
          </cell>
          <cell r="I1494">
            <v>0</v>
          </cell>
          <cell r="J1494">
            <v>22569</v>
          </cell>
          <cell r="K1494">
            <v>0</v>
          </cell>
          <cell r="L1494">
            <v>22569</v>
          </cell>
          <cell r="M1494">
            <v>305550</v>
          </cell>
          <cell r="N1494">
            <v>305162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</row>
        <row r="1495">
          <cell r="A1495" t="str">
            <v>453484</v>
          </cell>
          <cell r="B1495" t="str">
            <v>1251</v>
          </cell>
          <cell r="C1495" t="str">
            <v>12</v>
          </cell>
          <cell r="D1495" t="str">
            <v>23</v>
          </cell>
          <cell r="E1495">
            <v>35</v>
          </cell>
          <cell r="G1495">
            <v>0</v>
          </cell>
          <cell r="H1495">
            <v>0</v>
          </cell>
          <cell r="I1495">
            <v>0</v>
          </cell>
          <cell r="J1495">
            <v>4490</v>
          </cell>
          <cell r="K1495">
            <v>0</v>
          </cell>
          <cell r="L1495">
            <v>4490</v>
          </cell>
          <cell r="M1495">
            <v>4490</v>
          </cell>
          <cell r="N1495">
            <v>4490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</row>
        <row r="1496">
          <cell r="A1496" t="str">
            <v>453484</v>
          </cell>
          <cell r="B1496" t="str">
            <v>1251</v>
          </cell>
          <cell r="C1496" t="str">
            <v>12</v>
          </cell>
          <cell r="D1496" t="str">
            <v>23</v>
          </cell>
          <cell r="E1496">
            <v>36</v>
          </cell>
          <cell r="G1496">
            <v>289095</v>
          </cell>
          <cell r="H1496">
            <v>0</v>
          </cell>
          <cell r="I1496">
            <v>0</v>
          </cell>
          <cell r="J1496">
            <v>29839</v>
          </cell>
          <cell r="K1496">
            <v>0</v>
          </cell>
          <cell r="L1496">
            <v>29839</v>
          </cell>
          <cell r="M1496">
            <v>318934</v>
          </cell>
          <cell r="N1496">
            <v>318845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</row>
        <row r="1497">
          <cell r="A1497" t="str">
            <v>453484</v>
          </cell>
          <cell r="B1497" t="str">
            <v>1251</v>
          </cell>
          <cell r="C1497" t="str">
            <v>12</v>
          </cell>
          <cell r="D1497" t="str">
            <v>23</v>
          </cell>
          <cell r="E1497">
            <v>37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</row>
        <row r="1498">
          <cell r="A1498" t="str">
            <v>453484</v>
          </cell>
          <cell r="B1498" t="str">
            <v>1251</v>
          </cell>
          <cell r="C1498" t="str">
            <v>12</v>
          </cell>
          <cell r="D1498" t="str">
            <v>23</v>
          </cell>
          <cell r="E1498">
            <v>38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-26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</row>
        <row r="1499">
          <cell r="A1499" t="str">
            <v>453484</v>
          </cell>
          <cell r="B1499" t="str">
            <v>1251</v>
          </cell>
          <cell r="C1499" t="str">
            <v>12</v>
          </cell>
          <cell r="D1499" t="str">
            <v>23</v>
          </cell>
          <cell r="E1499">
            <v>39</v>
          </cell>
          <cell r="G1499">
            <v>289095</v>
          </cell>
          <cell r="H1499">
            <v>0</v>
          </cell>
          <cell r="I1499">
            <v>0</v>
          </cell>
          <cell r="J1499">
            <v>29839</v>
          </cell>
          <cell r="K1499">
            <v>0</v>
          </cell>
          <cell r="L1499">
            <v>29839</v>
          </cell>
          <cell r="M1499">
            <v>318934</v>
          </cell>
          <cell r="N1499">
            <v>318819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</row>
        <row r="1500">
          <cell r="A1500" t="str">
            <v>453484</v>
          </cell>
          <cell r="B1500" t="str">
            <v>1251</v>
          </cell>
          <cell r="C1500" t="str">
            <v>12</v>
          </cell>
          <cell r="D1500" t="str">
            <v>24</v>
          </cell>
          <cell r="E1500">
            <v>1</v>
          </cell>
          <cell r="G1500">
            <v>1</v>
          </cell>
          <cell r="H1500">
            <v>0</v>
          </cell>
          <cell r="I1500">
            <v>125</v>
          </cell>
          <cell r="J1500">
            <v>0</v>
          </cell>
          <cell r="K1500">
            <v>126</v>
          </cell>
          <cell r="L1500">
            <v>314329</v>
          </cell>
          <cell r="M1500">
            <v>313997</v>
          </cell>
          <cell r="N1500">
            <v>320</v>
          </cell>
          <cell r="O1500">
            <v>0</v>
          </cell>
          <cell r="P1500">
            <v>138</v>
          </cell>
          <cell r="Q1500">
            <v>0</v>
          </cell>
          <cell r="R1500">
            <v>458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</row>
        <row r="1501">
          <cell r="A1501" t="str">
            <v>453484</v>
          </cell>
          <cell r="B1501" t="str">
            <v>1251</v>
          </cell>
          <cell r="C1501" t="str">
            <v>12</v>
          </cell>
          <cell r="D1501" t="str">
            <v>29</v>
          </cell>
          <cell r="E1501">
            <v>1</v>
          </cell>
          <cell r="G1501">
            <v>1</v>
          </cell>
          <cell r="H1501">
            <v>320</v>
          </cell>
          <cell r="I1501">
            <v>125</v>
          </cell>
          <cell r="J1501">
            <v>138</v>
          </cell>
          <cell r="K1501">
            <v>126</v>
          </cell>
          <cell r="L1501">
            <v>458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1863</v>
          </cell>
          <cell r="R1501">
            <v>1962</v>
          </cell>
          <cell r="S1501">
            <v>0</v>
          </cell>
          <cell r="T1501">
            <v>0</v>
          </cell>
          <cell r="U1501">
            <v>2601</v>
          </cell>
          <cell r="V1501">
            <v>538</v>
          </cell>
          <cell r="W1501">
            <v>0</v>
          </cell>
        </row>
        <row r="1502">
          <cell r="A1502" t="str">
            <v>453484</v>
          </cell>
          <cell r="B1502" t="str">
            <v>1251</v>
          </cell>
          <cell r="C1502" t="str">
            <v>12</v>
          </cell>
          <cell r="D1502" t="str">
            <v>29</v>
          </cell>
          <cell r="E1502">
            <v>9</v>
          </cell>
          <cell r="G1502">
            <v>100</v>
          </cell>
          <cell r="H1502">
            <v>74</v>
          </cell>
          <cell r="I1502">
            <v>4364</v>
          </cell>
          <cell r="J1502">
            <v>2426</v>
          </cell>
          <cell r="K1502">
            <v>0</v>
          </cell>
          <cell r="L1502">
            <v>1</v>
          </cell>
          <cell r="M1502">
            <v>0</v>
          </cell>
          <cell r="N1502">
            <v>0</v>
          </cell>
          <cell r="O1502">
            <v>4490</v>
          </cell>
          <cell r="P1502">
            <v>2883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8965</v>
          </cell>
          <cell r="V1502">
            <v>388</v>
          </cell>
          <cell r="W1502">
            <v>0</v>
          </cell>
        </row>
        <row r="1503">
          <cell r="A1503" t="str">
            <v>453484</v>
          </cell>
          <cell r="B1503" t="str">
            <v>1251</v>
          </cell>
          <cell r="C1503" t="str">
            <v>12</v>
          </cell>
          <cell r="D1503" t="str">
            <v>29</v>
          </cell>
          <cell r="E1503">
            <v>17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13455</v>
          </cell>
          <cell r="L1503">
            <v>3271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13455</v>
          </cell>
          <cell r="R1503">
            <v>3271</v>
          </cell>
          <cell r="S1503">
            <v>0</v>
          </cell>
          <cell r="T1503">
            <v>0</v>
          </cell>
          <cell r="U1503">
            <v>13455</v>
          </cell>
          <cell r="V1503">
            <v>3271</v>
          </cell>
          <cell r="W1503">
            <v>0</v>
          </cell>
        </row>
        <row r="1504">
          <cell r="A1504" t="str">
            <v>453484</v>
          </cell>
          <cell r="B1504" t="str">
            <v>1251</v>
          </cell>
          <cell r="C1504" t="str">
            <v>12</v>
          </cell>
          <cell r="D1504" t="str">
            <v>29</v>
          </cell>
          <cell r="E1504">
            <v>25</v>
          </cell>
          <cell r="G1504">
            <v>0</v>
          </cell>
          <cell r="H1504">
            <v>0</v>
          </cell>
          <cell r="I1504">
            <v>26910</v>
          </cell>
          <cell r="J1504">
            <v>6542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</row>
        <row r="1505">
          <cell r="A1505" t="str">
            <v>453484</v>
          </cell>
          <cell r="B1505" t="str">
            <v>1251</v>
          </cell>
          <cell r="C1505" t="str">
            <v>12</v>
          </cell>
          <cell r="D1505" t="str">
            <v>34</v>
          </cell>
          <cell r="E1505">
            <v>0</v>
          </cell>
          <cell r="G1505">
            <v>84</v>
          </cell>
          <cell r="H1505">
            <v>2463</v>
          </cell>
          <cell r="I1505">
            <v>0</v>
          </cell>
          <cell r="J1505">
            <v>0</v>
          </cell>
          <cell r="K1505">
            <v>665</v>
          </cell>
          <cell r="L1505">
            <v>547</v>
          </cell>
          <cell r="M1505">
            <v>0</v>
          </cell>
          <cell r="N1505">
            <v>204</v>
          </cell>
          <cell r="O1505">
            <v>3675</v>
          </cell>
          <cell r="P1505">
            <v>496</v>
          </cell>
          <cell r="Q1505">
            <v>1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</row>
        <row r="1506">
          <cell r="A1506" t="str">
            <v>453484</v>
          </cell>
          <cell r="B1506" t="str">
            <v>1251</v>
          </cell>
          <cell r="C1506" t="str">
            <v>12</v>
          </cell>
          <cell r="D1506" t="str">
            <v>34</v>
          </cell>
          <cell r="E1506">
            <v>0</v>
          </cell>
          <cell r="G1506">
            <v>86</v>
          </cell>
          <cell r="H1506">
            <v>5945</v>
          </cell>
          <cell r="I1506">
            <v>0</v>
          </cell>
          <cell r="J1506">
            <v>116</v>
          </cell>
          <cell r="K1506">
            <v>1604</v>
          </cell>
          <cell r="L1506">
            <v>483</v>
          </cell>
          <cell r="M1506">
            <v>0</v>
          </cell>
          <cell r="N1506">
            <v>485</v>
          </cell>
          <cell r="O1506">
            <v>8148</v>
          </cell>
          <cell r="P1506">
            <v>1300</v>
          </cell>
          <cell r="Q1506">
            <v>3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</row>
        <row r="1507">
          <cell r="A1507" t="str">
            <v>453484</v>
          </cell>
          <cell r="B1507" t="str">
            <v>1251</v>
          </cell>
          <cell r="C1507" t="str">
            <v>12</v>
          </cell>
          <cell r="D1507" t="str">
            <v>34</v>
          </cell>
          <cell r="E1507">
            <v>0</v>
          </cell>
          <cell r="G1507">
            <v>90</v>
          </cell>
          <cell r="H1507">
            <v>4476</v>
          </cell>
          <cell r="I1507">
            <v>0</v>
          </cell>
          <cell r="J1507">
            <v>0</v>
          </cell>
          <cell r="K1507">
            <v>506</v>
          </cell>
          <cell r="L1507">
            <v>0</v>
          </cell>
          <cell r="M1507">
            <v>0</v>
          </cell>
          <cell r="N1507">
            <v>387</v>
          </cell>
          <cell r="O1507">
            <v>4982</v>
          </cell>
          <cell r="P1507">
            <v>936</v>
          </cell>
          <cell r="Q1507">
            <v>2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</row>
        <row r="1508">
          <cell r="A1508" t="str">
            <v>453484</v>
          </cell>
          <cell r="B1508" t="str">
            <v>1251</v>
          </cell>
          <cell r="C1508" t="str">
            <v>12</v>
          </cell>
          <cell r="D1508" t="str">
            <v>34</v>
          </cell>
          <cell r="E1508">
            <v>0</v>
          </cell>
          <cell r="G1508">
            <v>91</v>
          </cell>
          <cell r="H1508">
            <v>1612</v>
          </cell>
          <cell r="I1508">
            <v>0</v>
          </cell>
          <cell r="J1508">
            <v>0</v>
          </cell>
          <cell r="K1508">
            <v>174</v>
          </cell>
          <cell r="L1508">
            <v>0</v>
          </cell>
          <cell r="M1508">
            <v>0</v>
          </cell>
          <cell r="N1508">
            <v>132</v>
          </cell>
          <cell r="O1508">
            <v>1786</v>
          </cell>
          <cell r="P1508">
            <v>449</v>
          </cell>
          <cell r="Q1508">
            <v>1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</row>
        <row r="1509">
          <cell r="A1509" t="str">
            <v>453484</v>
          </cell>
          <cell r="B1509" t="str">
            <v>1251</v>
          </cell>
          <cell r="C1509" t="str">
            <v>12</v>
          </cell>
          <cell r="D1509" t="str">
            <v>34</v>
          </cell>
          <cell r="E1509">
            <v>0</v>
          </cell>
          <cell r="G1509">
            <v>94</v>
          </cell>
          <cell r="H1509">
            <v>2987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242</v>
          </cell>
          <cell r="O1509">
            <v>2987</v>
          </cell>
          <cell r="P1509">
            <v>310</v>
          </cell>
          <cell r="Q1509">
            <v>3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</row>
        <row r="1510">
          <cell r="A1510" t="str">
            <v>453484</v>
          </cell>
          <cell r="B1510" t="str">
            <v>1251</v>
          </cell>
          <cell r="C1510" t="str">
            <v>12</v>
          </cell>
          <cell r="D1510" t="str">
            <v>34</v>
          </cell>
          <cell r="E1510">
            <v>0</v>
          </cell>
          <cell r="G1510">
            <v>95</v>
          </cell>
          <cell r="H1510">
            <v>4365</v>
          </cell>
          <cell r="I1510">
            <v>0</v>
          </cell>
          <cell r="J1510">
            <v>0</v>
          </cell>
          <cell r="K1510">
            <v>0</v>
          </cell>
          <cell r="L1510">
            <v>337</v>
          </cell>
          <cell r="M1510">
            <v>0</v>
          </cell>
          <cell r="N1510">
            <v>360</v>
          </cell>
          <cell r="O1510">
            <v>4702</v>
          </cell>
          <cell r="P1510">
            <v>468</v>
          </cell>
          <cell r="Q1510">
            <v>4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</row>
        <row r="1511">
          <cell r="A1511" t="str">
            <v>453484</v>
          </cell>
          <cell r="B1511" t="str">
            <v>1251</v>
          </cell>
          <cell r="C1511" t="str">
            <v>12</v>
          </cell>
          <cell r="D1511" t="str">
            <v>34</v>
          </cell>
          <cell r="E1511">
            <v>0</v>
          </cell>
          <cell r="G1511">
            <v>96</v>
          </cell>
          <cell r="H1511">
            <v>4346</v>
          </cell>
          <cell r="I1511">
            <v>0</v>
          </cell>
          <cell r="J1511">
            <v>0</v>
          </cell>
          <cell r="K1511">
            <v>0</v>
          </cell>
          <cell r="L1511">
            <v>56</v>
          </cell>
          <cell r="M1511">
            <v>0</v>
          </cell>
          <cell r="N1511">
            <v>285</v>
          </cell>
          <cell r="O1511">
            <v>4402</v>
          </cell>
          <cell r="P1511">
            <v>375</v>
          </cell>
          <cell r="Q1511">
            <v>4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</row>
        <row r="1512">
          <cell r="A1512" t="str">
            <v>453484</v>
          </cell>
          <cell r="B1512" t="str">
            <v>1251</v>
          </cell>
          <cell r="C1512" t="str">
            <v>12</v>
          </cell>
          <cell r="D1512" t="str">
            <v>34</v>
          </cell>
          <cell r="E1512">
            <v>0</v>
          </cell>
          <cell r="G1512">
            <v>97</v>
          </cell>
          <cell r="H1512">
            <v>338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89</v>
          </cell>
          <cell r="O1512">
            <v>338</v>
          </cell>
          <cell r="P1512">
            <v>0</v>
          </cell>
          <cell r="Q1512">
            <v>1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</row>
        <row r="1513">
          <cell r="A1513" t="str">
            <v>453484</v>
          </cell>
          <cell r="B1513" t="str">
            <v>1251</v>
          </cell>
          <cell r="C1513" t="str">
            <v>12</v>
          </cell>
          <cell r="D1513" t="str">
            <v>34</v>
          </cell>
          <cell r="E1513">
            <v>0</v>
          </cell>
          <cell r="G1513">
            <v>98</v>
          </cell>
          <cell r="H1513">
            <v>35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97</v>
          </cell>
          <cell r="O1513">
            <v>35</v>
          </cell>
          <cell r="P1513">
            <v>0</v>
          </cell>
          <cell r="Q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</row>
        <row r="1514">
          <cell r="A1514" t="str">
            <v>453484</v>
          </cell>
          <cell r="B1514" t="str">
            <v>1251</v>
          </cell>
          <cell r="C1514" t="str">
            <v>12</v>
          </cell>
          <cell r="D1514" t="str">
            <v>34</v>
          </cell>
          <cell r="E1514">
            <v>0</v>
          </cell>
          <cell r="G1514">
            <v>99</v>
          </cell>
          <cell r="H1514">
            <v>22893</v>
          </cell>
          <cell r="I1514">
            <v>0</v>
          </cell>
          <cell r="J1514">
            <v>0</v>
          </cell>
          <cell r="K1514">
            <v>775</v>
          </cell>
          <cell r="L1514">
            <v>255</v>
          </cell>
          <cell r="M1514">
            <v>0</v>
          </cell>
          <cell r="N1514">
            <v>1732</v>
          </cell>
          <cell r="O1514">
            <v>23923</v>
          </cell>
          <cell r="P1514">
            <v>3042</v>
          </cell>
          <cell r="Q1514">
            <v>11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</row>
        <row r="1515">
          <cell r="A1515" t="str">
            <v>453484</v>
          </cell>
          <cell r="B1515" t="str">
            <v>1251</v>
          </cell>
          <cell r="C1515" t="str">
            <v>12</v>
          </cell>
          <cell r="D1515" t="str">
            <v>34</v>
          </cell>
          <cell r="E1515">
            <v>0</v>
          </cell>
          <cell r="G1515">
            <v>100</v>
          </cell>
          <cell r="H1515">
            <v>1908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161</v>
          </cell>
          <cell r="O1515">
            <v>1908</v>
          </cell>
          <cell r="P1515">
            <v>0</v>
          </cell>
          <cell r="Q1515">
            <v>1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</row>
        <row r="1516">
          <cell r="A1516" t="str">
            <v>453484</v>
          </cell>
          <cell r="B1516" t="str">
            <v>1251</v>
          </cell>
          <cell r="C1516" t="str">
            <v>12</v>
          </cell>
          <cell r="D1516" t="str">
            <v>34</v>
          </cell>
          <cell r="E1516">
            <v>0</v>
          </cell>
          <cell r="G1516">
            <v>101</v>
          </cell>
          <cell r="H1516">
            <v>67310</v>
          </cell>
          <cell r="I1516">
            <v>0</v>
          </cell>
          <cell r="J1516">
            <v>291</v>
          </cell>
          <cell r="K1516">
            <v>2023</v>
          </cell>
          <cell r="L1516">
            <v>2020</v>
          </cell>
          <cell r="M1516">
            <v>0</v>
          </cell>
          <cell r="N1516">
            <v>5454</v>
          </cell>
          <cell r="O1516">
            <v>71644</v>
          </cell>
          <cell r="P1516">
            <v>14833</v>
          </cell>
          <cell r="Q1516">
            <v>40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</row>
        <row r="1517">
          <cell r="A1517" t="str">
            <v>453484</v>
          </cell>
          <cell r="B1517" t="str">
            <v>1251</v>
          </cell>
          <cell r="C1517" t="str">
            <v>12</v>
          </cell>
          <cell r="D1517" t="str">
            <v>34</v>
          </cell>
          <cell r="E1517">
            <v>0</v>
          </cell>
          <cell r="G1517">
            <v>102</v>
          </cell>
          <cell r="H1517">
            <v>3754</v>
          </cell>
          <cell r="I1517">
            <v>0</v>
          </cell>
          <cell r="J1517">
            <v>0</v>
          </cell>
          <cell r="K1517">
            <v>67</v>
          </cell>
          <cell r="L1517">
            <v>0</v>
          </cell>
          <cell r="M1517">
            <v>0</v>
          </cell>
          <cell r="N1517">
            <v>461</v>
          </cell>
          <cell r="O1517">
            <v>3821</v>
          </cell>
          <cell r="P1517">
            <v>358</v>
          </cell>
          <cell r="Q1517">
            <v>2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</row>
        <row r="1518">
          <cell r="A1518" t="str">
            <v>453484</v>
          </cell>
          <cell r="B1518" t="str">
            <v>1251</v>
          </cell>
          <cell r="C1518" t="str">
            <v>12</v>
          </cell>
          <cell r="D1518" t="str">
            <v>34</v>
          </cell>
          <cell r="E1518">
            <v>0</v>
          </cell>
          <cell r="G1518">
            <v>105</v>
          </cell>
          <cell r="H1518">
            <v>122432</v>
          </cell>
          <cell r="I1518">
            <v>0</v>
          </cell>
          <cell r="J1518">
            <v>407</v>
          </cell>
          <cell r="K1518">
            <v>5814</v>
          </cell>
          <cell r="L1518">
            <v>3698</v>
          </cell>
          <cell r="M1518">
            <v>0</v>
          </cell>
          <cell r="N1518">
            <v>10089</v>
          </cell>
          <cell r="O1518">
            <v>132351</v>
          </cell>
          <cell r="P1518">
            <v>22567</v>
          </cell>
          <cell r="Q1518">
            <v>73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</row>
        <row r="1519">
          <cell r="A1519" t="str">
            <v>453484</v>
          </cell>
          <cell r="B1519" t="str">
            <v>1251</v>
          </cell>
          <cell r="C1519" t="str">
            <v>12</v>
          </cell>
          <cell r="D1519" t="str">
            <v>34</v>
          </cell>
          <cell r="E1519">
            <v>0</v>
          </cell>
          <cell r="G1519">
            <v>151</v>
          </cell>
          <cell r="H1519">
            <v>122432</v>
          </cell>
          <cell r="I1519">
            <v>0</v>
          </cell>
          <cell r="J1519">
            <v>407</v>
          </cell>
          <cell r="K1519">
            <v>5814</v>
          </cell>
          <cell r="L1519">
            <v>3698</v>
          </cell>
          <cell r="M1519">
            <v>0</v>
          </cell>
          <cell r="N1519">
            <v>10089</v>
          </cell>
          <cell r="O1519">
            <v>132351</v>
          </cell>
          <cell r="P1519">
            <v>22567</v>
          </cell>
          <cell r="Q1519">
            <v>73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</row>
        <row r="1520">
          <cell r="A1520" t="str">
            <v>453484</v>
          </cell>
          <cell r="B1520" t="str">
            <v>1251</v>
          </cell>
          <cell r="C1520" t="str">
            <v>12</v>
          </cell>
          <cell r="D1520" t="str">
            <v>34</v>
          </cell>
          <cell r="E1520">
            <v>0</v>
          </cell>
          <cell r="G1520">
            <v>153</v>
          </cell>
          <cell r="H1520">
            <v>8050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493</v>
          </cell>
          <cell r="O1520">
            <v>8050</v>
          </cell>
          <cell r="P1520">
            <v>219</v>
          </cell>
          <cell r="Q1520">
            <v>3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</row>
        <row r="1521">
          <cell r="A1521" t="str">
            <v>453484</v>
          </cell>
          <cell r="B1521" t="str">
            <v>1251</v>
          </cell>
          <cell r="C1521" t="str">
            <v>12</v>
          </cell>
          <cell r="D1521" t="str">
            <v>34</v>
          </cell>
          <cell r="E1521">
            <v>0</v>
          </cell>
          <cell r="G1521">
            <v>157</v>
          </cell>
          <cell r="H1521">
            <v>8050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493</v>
          </cell>
          <cell r="O1521">
            <v>8050</v>
          </cell>
          <cell r="P1521">
            <v>219</v>
          </cell>
          <cell r="Q1521">
            <v>3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</row>
        <row r="1522">
          <cell r="A1522" t="str">
            <v>453484</v>
          </cell>
          <cell r="B1522" t="str">
            <v>1251</v>
          </cell>
          <cell r="C1522" t="str">
            <v>12</v>
          </cell>
          <cell r="D1522" t="str">
            <v>34</v>
          </cell>
          <cell r="E1522">
            <v>0</v>
          </cell>
          <cell r="G1522">
            <v>158</v>
          </cell>
          <cell r="H1522">
            <v>130482</v>
          </cell>
          <cell r="I1522">
            <v>0</v>
          </cell>
          <cell r="J1522">
            <v>407</v>
          </cell>
          <cell r="K1522">
            <v>5814</v>
          </cell>
          <cell r="L1522">
            <v>3698</v>
          </cell>
          <cell r="M1522">
            <v>0</v>
          </cell>
          <cell r="N1522">
            <v>10582</v>
          </cell>
          <cell r="O1522">
            <v>140401</v>
          </cell>
          <cell r="P1522">
            <v>22786</v>
          </cell>
          <cell r="Q1522">
            <v>76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</row>
        <row r="1523">
          <cell r="A1523" t="str">
            <v>453484</v>
          </cell>
          <cell r="B1523" t="str">
            <v>1251</v>
          </cell>
          <cell r="C1523" t="str">
            <v>12</v>
          </cell>
          <cell r="D1523" t="str">
            <v>35</v>
          </cell>
          <cell r="E1523">
            <v>1</v>
          </cell>
          <cell r="G1523">
            <v>132351</v>
          </cell>
          <cell r="H1523">
            <v>8050</v>
          </cell>
          <cell r="I1523">
            <v>0</v>
          </cell>
          <cell r="J1523">
            <v>0</v>
          </cell>
          <cell r="K1523">
            <v>140401</v>
          </cell>
          <cell r="L1523">
            <v>22567</v>
          </cell>
          <cell r="M1523">
            <v>219</v>
          </cell>
          <cell r="N1523">
            <v>0</v>
          </cell>
          <cell r="O1523">
            <v>0</v>
          </cell>
          <cell r="P1523">
            <v>22786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</row>
        <row r="1524">
          <cell r="A1524" t="str">
            <v>453484</v>
          </cell>
          <cell r="B1524" t="str">
            <v>1251</v>
          </cell>
          <cell r="C1524" t="str">
            <v>12</v>
          </cell>
          <cell r="D1524" t="str">
            <v>35</v>
          </cell>
          <cell r="E1524">
            <v>4</v>
          </cell>
          <cell r="G1524">
            <v>4769</v>
          </cell>
          <cell r="H1524">
            <v>0</v>
          </cell>
          <cell r="I1524">
            <v>0</v>
          </cell>
          <cell r="J1524">
            <v>0</v>
          </cell>
          <cell r="K1524">
            <v>4769</v>
          </cell>
          <cell r="L1524">
            <v>3690</v>
          </cell>
          <cell r="M1524">
            <v>80</v>
          </cell>
          <cell r="N1524">
            <v>0</v>
          </cell>
          <cell r="O1524">
            <v>0</v>
          </cell>
          <cell r="P1524">
            <v>3770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</row>
        <row r="1525">
          <cell r="A1525" t="str">
            <v>453484</v>
          </cell>
          <cell r="B1525" t="str">
            <v>1251</v>
          </cell>
          <cell r="C1525" t="str">
            <v>12</v>
          </cell>
          <cell r="D1525" t="str">
            <v>35</v>
          </cell>
          <cell r="E1525">
            <v>7</v>
          </cell>
          <cell r="G1525">
            <v>11610</v>
          </cell>
          <cell r="H1525">
            <v>0</v>
          </cell>
          <cell r="I1525">
            <v>0</v>
          </cell>
          <cell r="J1525">
            <v>0</v>
          </cell>
          <cell r="K1525">
            <v>11610</v>
          </cell>
          <cell r="L1525">
            <v>42636</v>
          </cell>
          <cell r="M1525">
            <v>299</v>
          </cell>
          <cell r="N1525">
            <v>0</v>
          </cell>
          <cell r="O1525">
            <v>0</v>
          </cell>
          <cell r="P1525">
            <v>42935</v>
          </cell>
          <cell r="Q1525">
            <v>0</v>
          </cell>
          <cell r="R1525">
            <v>0</v>
          </cell>
          <cell r="S1525">
            <v>2763</v>
          </cell>
          <cell r="T1525">
            <v>0</v>
          </cell>
          <cell r="U1525">
            <v>2763</v>
          </cell>
          <cell r="V1525">
            <v>0</v>
          </cell>
          <cell r="W1525">
            <v>0</v>
          </cell>
        </row>
        <row r="1526">
          <cell r="A1526" t="str">
            <v>453484</v>
          </cell>
          <cell r="B1526" t="str">
            <v>1251</v>
          </cell>
          <cell r="C1526" t="str">
            <v>12</v>
          </cell>
          <cell r="D1526" t="str">
            <v>35</v>
          </cell>
          <cell r="E1526">
            <v>10</v>
          </cell>
          <cell r="G1526">
            <v>174987</v>
          </cell>
          <cell r="H1526">
            <v>8349</v>
          </cell>
          <cell r="I1526">
            <v>2763</v>
          </cell>
          <cell r="J1526">
            <v>0</v>
          </cell>
          <cell r="K1526">
            <v>186099</v>
          </cell>
          <cell r="L1526">
            <v>73</v>
          </cell>
          <cell r="M1526">
            <v>3</v>
          </cell>
          <cell r="N1526">
            <v>0</v>
          </cell>
          <cell r="O1526">
            <v>0</v>
          </cell>
          <cell r="P1526">
            <v>76</v>
          </cell>
          <cell r="Q1526">
            <v>73</v>
          </cell>
          <cell r="R1526">
            <v>3</v>
          </cell>
          <cell r="S1526">
            <v>0</v>
          </cell>
          <cell r="T1526">
            <v>0</v>
          </cell>
          <cell r="U1526">
            <v>76</v>
          </cell>
          <cell r="V1526">
            <v>0</v>
          </cell>
          <cell r="W1526">
            <v>0</v>
          </cell>
        </row>
        <row r="1527">
          <cell r="A1527" t="str">
            <v>453484</v>
          </cell>
          <cell r="B1527" t="str">
            <v>1251</v>
          </cell>
          <cell r="C1527" t="str">
            <v>12</v>
          </cell>
          <cell r="D1527" t="str">
            <v>35</v>
          </cell>
          <cell r="E1527">
            <v>13</v>
          </cell>
          <cell r="G1527">
            <v>73</v>
          </cell>
          <cell r="H1527">
            <v>3</v>
          </cell>
          <cell r="I1527">
            <v>0</v>
          </cell>
          <cell r="J1527">
            <v>0</v>
          </cell>
          <cell r="K1527">
            <v>76</v>
          </cell>
          <cell r="L1527">
            <v>64</v>
          </cell>
          <cell r="M1527">
            <v>4</v>
          </cell>
          <cell r="N1527">
            <v>0</v>
          </cell>
          <cell r="O1527">
            <v>0</v>
          </cell>
          <cell r="P1527">
            <v>68</v>
          </cell>
          <cell r="Q1527">
            <v>64</v>
          </cell>
          <cell r="R1527">
            <v>4</v>
          </cell>
          <cell r="S1527">
            <v>0</v>
          </cell>
          <cell r="T1527">
            <v>0</v>
          </cell>
          <cell r="U1527">
            <v>68</v>
          </cell>
          <cell r="V1527">
            <v>0</v>
          </cell>
          <cell r="W1527">
            <v>0</v>
          </cell>
        </row>
        <row r="1528">
          <cell r="A1528" t="str">
            <v>453484</v>
          </cell>
          <cell r="B1528" t="str">
            <v>1251</v>
          </cell>
          <cell r="C1528" t="str">
            <v>12</v>
          </cell>
          <cell r="D1528" t="str">
            <v>35</v>
          </cell>
          <cell r="E1528">
            <v>16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6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6</v>
          </cell>
          <cell r="Q1528">
            <v>73</v>
          </cell>
          <cell r="R1528">
            <v>3</v>
          </cell>
          <cell r="S1528">
            <v>0</v>
          </cell>
          <cell r="T1528">
            <v>0</v>
          </cell>
          <cell r="U1528">
            <v>76</v>
          </cell>
          <cell r="V1528">
            <v>0</v>
          </cell>
          <cell r="W1528">
            <v>0</v>
          </cell>
        </row>
        <row r="1529">
          <cell r="A1529" t="str">
            <v>453484</v>
          </cell>
          <cell r="B1529" t="str">
            <v>1251</v>
          </cell>
          <cell r="C1529" t="str">
            <v>12</v>
          </cell>
          <cell r="D1529" t="str">
            <v>35</v>
          </cell>
          <cell r="E1529">
            <v>19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</row>
        <row r="1530">
          <cell r="A1530" t="str">
            <v>453484</v>
          </cell>
          <cell r="B1530" t="str">
            <v>1251</v>
          </cell>
          <cell r="C1530" t="str">
            <v>12</v>
          </cell>
          <cell r="D1530" t="str">
            <v>37</v>
          </cell>
          <cell r="E1530">
            <v>0</v>
          </cell>
          <cell r="G1530">
            <v>80121401</v>
          </cell>
          <cell r="H1530">
            <v>761</v>
          </cell>
          <cell r="I1530">
            <v>0</v>
          </cell>
          <cell r="J1530">
            <v>761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</row>
        <row r="1531">
          <cell r="A1531" t="str">
            <v>453484</v>
          </cell>
          <cell r="B1531" t="str">
            <v>1251</v>
          </cell>
          <cell r="C1531" t="str">
            <v>12</v>
          </cell>
          <cell r="D1531" t="str">
            <v>37</v>
          </cell>
          <cell r="E1531">
            <v>0</v>
          </cell>
          <cell r="G1531">
            <v>80121402</v>
          </cell>
          <cell r="H1531">
            <v>0</v>
          </cell>
          <cell r="I1531">
            <v>0</v>
          </cell>
          <cell r="J1531">
            <v>25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</row>
        <row r="1532">
          <cell r="A1532" t="str">
            <v>453484</v>
          </cell>
          <cell r="B1532" t="str">
            <v>1251</v>
          </cell>
          <cell r="C1532" t="str">
            <v>12</v>
          </cell>
          <cell r="D1532" t="str">
            <v>37</v>
          </cell>
          <cell r="E1532">
            <v>0</v>
          </cell>
          <cell r="G1532">
            <v>99999901</v>
          </cell>
          <cell r="H1532">
            <v>761</v>
          </cell>
          <cell r="I1532">
            <v>0</v>
          </cell>
          <cell r="J1532">
            <v>761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</row>
        <row r="1533">
          <cell r="A1533" t="str">
            <v>453484</v>
          </cell>
          <cell r="B1533" t="str">
            <v>1251</v>
          </cell>
          <cell r="C1533" t="str">
            <v>12</v>
          </cell>
          <cell r="D1533" t="str">
            <v>37</v>
          </cell>
          <cell r="E1533">
            <v>0</v>
          </cell>
          <cell r="G1533">
            <v>99999902</v>
          </cell>
          <cell r="H1533">
            <v>0</v>
          </cell>
          <cell r="I1533">
            <v>0</v>
          </cell>
          <cell r="J1533">
            <v>25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</row>
        <row r="1534">
          <cell r="A1534" t="str">
            <v>453484</v>
          </cell>
          <cell r="B1534" t="str">
            <v>1251</v>
          </cell>
          <cell r="C1534" t="str">
            <v>12</v>
          </cell>
          <cell r="D1534" t="str">
            <v>38</v>
          </cell>
          <cell r="E1534">
            <v>1</v>
          </cell>
          <cell r="G1534">
            <v>2191</v>
          </cell>
          <cell r="H1534">
            <v>68366</v>
          </cell>
          <cell r="I1534">
            <v>28039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98596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</row>
        <row r="1535">
          <cell r="A1535" t="str">
            <v>453484</v>
          </cell>
          <cell r="B1535" t="str">
            <v>1251</v>
          </cell>
          <cell r="C1535" t="str">
            <v>12</v>
          </cell>
          <cell r="D1535" t="str">
            <v>38</v>
          </cell>
          <cell r="E1535">
            <v>2</v>
          </cell>
          <cell r="G1535">
            <v>0</v>
          </cell>
          <cell r="H1535">
            <v>0</v>
          </cell>
          <cell r="I1535">
            <v>1193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1193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</row>
        <row r="1536">
          <cell r="A1536" t="str">
            <v>453484</v>
          </cell>
          <cell r="B1536" t="str">
            <v>1251</v>
          </cell>
          <cell r="C1536" t="str">
            <v>12</v>
          </cell>
          <cell r="D1536" t="str">
            <v>38</v>
          </cell>
          <cell r="E1536">
            <v>3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</row>
        <row r="1537">
          <cell r="A1537" t="str">
            <v>453484</v>
          </cell>
          <cell r="B1537" t="str">
            <v>1251</v>
          </cell>
          <cell r="C1537" t="str">
            <v>12</v>
          </cell>
          <cell r="D1537" t="str">
            <v>38</v>
          </cell>
          <cell r="E1537">
            <v>4</v>
          </cell>
          <cell r="G1537">
            <v>0</v>
          </cell>
          <cell r="H1537">
            <v>0</v>
          </cell>
          <cell r="I1537">
            <v>239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239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</row>
        <row r="1538">
          <cell r="A1538" t="str">
            <v>453484</v>
          </cell>
          <cell r="B1538" t="str">
            <v>1251</v>
          </cell>
          <cell r="C1538" t="str">
            <v>12</v>
          </cell>
          <cell r="D1538" t="str">
            <v>38</v>
          </cell>
          <cell r="E1538">
            <v>5</v>
          </cell>
          <cell r="G1538">
            <v>0</v>
          </cell>
          <cell r="H1538">
            <v>0</v>
          </cell>
          <cell r="I1538">
            <v>1432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1432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</row>
        <row r="1539">
          <cell r="A1539" t="str">
            <v>453484</v>
          </cell>
          <cell r="B1539" t="str">
            <v>1251</v>
          </cell>
          <cell r="C1539" t="str">
            <v>12</v>
          </cell>
          <cell r="D1539" t="str">
            <v>38</v>
          </cell>
          <cell r="E1539">
            <v>6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</row>
        <row r="1540">
          <cell r="A1540" t="str">
            <v>453484</v>
          </cell>
          <cell r="B1540" t="str">
            <v>1251</v>
          </cell>
          <cell r="C1540" t="str">
            <v>12</v>
          </cell>
          <cell r="D1540" t="str">
            <v>38</v>
          </cell>
          <cell r="E1540">
            <v>7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</row>
        <row r="1541">
          <cell r="A1541" t="str">
            <v>453484</v>
          </cell>
          <cell r="B1541" t="str">
            <v>1251</v>
          </cell>
          <cell r="C1541" t="str">
            <v>12</v>
          </cell>
          <cell r="D1541" t="str">
            <v>38</v>
          </cell>
          <cell r="E1541">
            <v>8</v>
          </cell>
          <cell r="G1541">
            <v>0</v>
          </cell>
          <cell r="H1541">
            <v>15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15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</row>
        <row r="1542">
          <cell r="A1542" t="str">
            <v>453484</v>
          </cell>
          <cell r="B1542" t="str">
            <v>1251</v>
          </cell>
          <cell r="C1542" t="str">
            <v>12</v>
          </cell>
          <cell r="D1542" t="str">
            <v>38</v>
          </cell>
          <cell r="E1542">
            <v>9</v>
          </cell>
          <cell r="G1542">
            <v>0</v>
          </cell>
          <cell r="H1542">
            <v>0</v>
          </cell>
          <cell r="I1542">
            <v>2083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2083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</row>
        <row r="1543">
          <cell r="A1543" t="str">
            <v>453484</v>
          </cell>
          <cell r="B1543" t="str">
            <v>1251</v>
          </cell>
          <cell r="C1543" t="str">
            <v>12</v>
          </cell>
          <cell r="D1543" t="str">
            <v>38</v>
          </cell>
          <cell r="E1543">
            <v>10</v>
          </cell>
          <cell r="G1543">
            <v>0</v>
          </cell>
          <cell r="H1543">
            <v>15</v>
          </cell>
          <cell r="I1543">
            <v>2083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2098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</row>
        <row r="1544">
          <cell r="A1544" t="str">
            <v>453484</v>
          </cell>
          <cell r="B1544" t="str">
            <v>1251</v>
          </cell>
          <cell r="C1544" t="str">
            <v>12</v>
          </cell>
          <cell r="D1544" t="str">
            <v>38</v>
          </cell>
          <cell r="E1544">
            <v>11</v>
          </cell>
          <cell r="G1544">
            <v>0</v>
          </cell>
          <cell r="H1544">
            <v>15</v>
          </cell>
          <cell r="I1544">
            <v>3515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3530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</row>
        <row r="1545">
          <cell r="A1545" t="str">
            <v>453484</v>
          </cell>
          <cell r="B1545" t="str">
            <v>1251</v>
          </cell>
          <cell r="C1545" t="str">
            <v>12</v>
          </cell>
          <cell r="D1545" t="str">
            <v>38</v>
          </cell>
          <cell r="E1545">
            <v>12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</row>
        <row r="1546">
          <cell r="A1546" t="str">
            <v>453484</v>
          </cell>
          <cell r="B1546" t="str">
            <v>1251</v>
          </cell>
          <cell r="C1546" t="str">
            <v>12</v>
          </cell>
          <cell r="D1546" t="str">
            <v>38</v>
          </cell>
          <cell r="E1546">
            <v>13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</row>
        <row r="1547">
          <cell r="A1547" t="str">
            <v>453484</v>
          </cell>
          <cell r="B1547" t="str">
            <v>1251</v>
          </cell>
          <cell r="C1547" t="str">
            <v>12</v>
          </cell>
          <cell r="D1547" t="str">
            <v>38</v>
          </cell>
          <cell r="E1547">
            <v>14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</row>
        <row r="1548">
          <cell r="A1548" t="str">
            <v>453484</v>
          </cell>
          <cell r="B1548" t="str">
            <v>1251</v>
          </cell>
          <cell r="C1548" t="str">
            <v>12</v>
          </cell>
          <cell r="D1548" t="str">
            <v>38</v>
          </cell>
          <cell r="E1548">
            <v>15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</row>
        <row r="1549">
          <cell r="A1549" t="str">
            <v>453484</v>
          </cell>
          <cell r="B1549" t="str">
            <v>1251</v>
          </cell>
          <cell r="C1549" t="str">
            <v>12</v>
          </cell>
          <cell r="D1549" t="str">
            <v>38</v>
          </cell>
          <cell r="E1549">
            <v>16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</row>
        <row r="1550">
          <cell r="A1550" t="str">
            <v>453484</v>
          </cell>
          <cell r="B1550" t="str">
            <v>1251</v>
          </cell>
          <cell r="C1550" t="str">
            <v>12</v>
          </cell>
          <cell r="D1550" t="str">
            <v>38</v>
          </cell>
          <cell r="E1550">
            <v>17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</row>
        <row r="1551">
          <cell r="A1551" t="str">
            <v>453484</v>
          </cell>
          <cell r="B1551" t="str">
            <v>1251</v>
          </cell>
          <cell r="C1551" t="str">
            <v>12</v>
          </cell>
          <cell r="D1551" t="str">
            <v>38</v>
          </cell>
          <cell r="E1551">
            <v>18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</row>
        <row r="1552">
          <cell r="A1552" t="str">
            <v>453484</v>
          </cell>
          <cell r="B1552" t="str">
            <v>1251</v>
          </cell>
          <cell r="C1552" t="str">
            <v>12</v>
          </cell>
          <cell r="D1552" t="str">
            <v>38</v>
          </cell>
          <cell r="E1552">
            <v>19</v>
          </cell>
          <cell r="G1552">
            <v>2191</v>
          </cell>
          <cell r="H1552">
            <v>68381</v>
          </cell>
          <cell r="I1552">
            <v>31554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102126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</row>
        <row r="1553">
          <cell r="A1553" t="str">
            <v>453484</v>
          </cell>
          <cell r="B1553" t="str">
            <v>1251</v>
          </cell>
          <cell r="C1553" t="str">
            <v>12</v>
          </cell>
          <cell r="D1553" t="str">
            <v>38</v>
          </cell>
          <cell r="E1553">
            <v>20</v>
          </cell>
          <cell r="G1553">
            <v>1890</v>
          </cell>
          <cell r="H1553">
            <v>26979</v>
          </cell>
          <cell r="I1553">
            <v>23413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52282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</row>
        <row r="1554">
          <cell r="A1554" t="str">
            <v>453484</v>
          </cell>
          <cell r="B1554" t="str">
            <v>1251</v>
          </cell>
          <cell r="C1554" t="str">
            <v>12</v>
          </cell>
          <cell r="D1554" t="str">
            <v>38</v>
          </cell>
          <cell r="E1554">
            <v>21</v>
          </cell>
          <cell r="G1554">
            <v>225</v>
          </cell>
          <cell r="H1554">
            <v>1404</v>
          </cell>
          <cell r="I1554">
            <v>4539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6168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</row>
        <row r="1555">
          <cell r="A1555" t="str">
            <v>453484</v>
          </cell>
          <cell r="B1555" t="str">
            <v>1251</v>
          </cell>
          <cell r="C1555" t="str">
            <v>12</v>
          </cell>
          <cell r="D1555" t="str">
            <v>38</v>
          </cell>
          <cell r="E1555">
            <v>22</v>
          </cell>
          <cell r="G1555">
            <v>0</v>
          </cell>
          <cell r="H1555">
            <v>0</v>
          </cell>
          <cell r="I1555">
            <v>424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424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</row>
        <row r="1556">
          <cell r="A1556" t="str">
            <v>453484</v>
          </cell>
          <cell r="B1556" t="str">
            <v>1251</v>
          </cell>
          <cell r="C1556" t="str">
            <v>12</v>
          </cell>
          <cell r="D1556" t="str">
            <v>38</v>
          </cell>
          <cell r="E1556">
            <v>23</v>
          </cell>
          <cell r="G1556">
            <v>2115</v>
          </cell>
          <cell r="H1556">
            <v>28383</v>
          </cell>
          <cell r="I1556">
            <v>27528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58026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</row>
        <row r="1557">
          <cell r="A1557" t="str">
            <v>453484</v>
          </cell>
          <cell r="B1557" t="str">
            <v>1251</v>
          </cell>
          <cell r="C1557" t="str">
            <v>12</v>
          </cell>
          <cell r="D1557" t="str">
            <v>38</v>
          </cell>
          <cell r="E1557">
            <v>24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</row>
        <row r="1558">
          <cell r="A1558" t="str">
            <v>453484</v>
          </cell>
          <cell r="B1558" t="str">
            <v>1251</v>
          </cell>
          <cell r="C1558" t="str">
            <v>12</v>
          </cell>
          <cell r="D1558" t="str">
            <v>38</v>
          </cell>
          <cell r="E1558">
            <v>25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</row>
        <row r="1559">
          <cell r="A1559" t="str">
            <v>453484</v>
          </cell>
          <cell r="B1559" t="str">
            <v>1251</v>
          </cell>
          <cell r="C1559" t="str">
            <v>12</v>
          </cell>
          <cell r="D1559" t="str">
            <v>38</v>
          </cell>
          <cell r="E1559">
            <v>26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</row>
        <row r="1560">
          <cell r="A1560" t="str">
            <v>453484</v>
          </cell>
          <cell r="B1560" t="str">
            <v>1251</v>
          </cell>
          <cell r="C1560" t="str">
            <v>12</v>
          </cell>
          <cell r="D1560" t="str">
            <v>38</v>
          </cell>
          <cell r="E1560">
            <v>27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0</v>
          </cell>
          <cell r="W1560">
            <v>0</v>
          </cell>
        </row>
        <row r="1561">
          <cell r="A1561" t="str">
            <v>453484</v>
          </cell>
          <cell r="B1561" t="str">
            <v>1251</v>
          </cell>
          <cell r="C1561" t="str">
            <v>12</v>
          </cell>
          <cell r="D1561" t="str">
            <v>38</v>
          </cell>
          <cell r="E1561">
            <v>28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</row>
        <row r="1562">
          <cell r="A1562" t="str">
            <v>453484</v>
          </cell>
          <cell r="B1562" t="str">
            <v>1251</v>
          </cell>
          <cell r="C1562" t="str">
            <v>12</v>
          </cell>
          <cell r="D1562" t="str">
            <v>38</v>
          </cell>
          <cell r="E1562">
            <v>29</v>
          </cell>
          <cell r="G1562">
            <v>2115</v>
          </cell>
          <cell r="H1562">
            <v>28383</v>
          </cell>
          <cell r="I1562">
            <v>27528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58026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</row>
        <row r="1563">
          <cell r="A1563" t="str">
            <v>453484</v>
          </cell>
          <cell r="B1563" t="str">
            <v>1251</v>
          </cell>
          <cell r="C1563" t="str">
            <v>12</v>
          </cell>
          <cell r="D1563" t="str">
            <v>38</v>
          </cell>
          <cell r="E1563">
            <v>30</v>
          </cell>
          <cell r="G1563">
            <v>76</v>
          </cell>
          <cell r="H1563">
            <v>39998</v>
          </cell>
          <cell r="I1563">
            <v>4026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44100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</row>
        <row r="1564">
          <cell r="A1564" t="str">
            <v>453484</v>
          </cell>
          <cell r="B1564" t="str">
            <v>1251</v>
          </cell>
          <cell r="C1564" t="str">
            <v>12</v>
          </cell>
          <cell r="D1564" t="str">
            <v>38</v>
          </cell>
          <cell r="E1564">
            <v>31</v>
          </cell>
          <cell r="G1564">
            <v>1607</v>
          </cell>
          <cell r="H1564">
            <v>295</v>
          </cell>
          <cell r="I1564">
            <v>18460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20362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</row>
        <row r="1565">
          <cell r="A1565" t="str">
            <v>453484</v>
          </cell>
          <cell r="B1565" t="str">
            <v>1251</v>
          </cell>
          <cell r="C1565" t="str">
            <v>12</v>
          </cell>
          <cell r="D1565" t="str">
            <v>53</v>
          </cell>
          <cell r="E1565">
            <v>1</v>
          </cell>
          <cell r="G1565">
            <v>25</v>
          </cell>
          <cell r="H1565">
            <v>2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</row>
        <row r="1566">
          <cell r="A1566" t="str">
            <v>453484</v>
          </cell>
          <cell r="B1566" t="str">
            <v>1251</v>
          </cell>
          <cell r="C1566" t="str">
            <v>12</v>
          </cell>
          <cell r="D1566" t="str">
            <v>53</v>
          </cell>
          <cell r="E1566">
            <v>15</v>
          </cell>
          <cell r="G1566">
            <v>0</v>
          </cell>
          <cell r="H1566">
            <v>0</v>
          </cell>
          <cell r="I1566">
            <v>13233</v>
          </cell>
          <cell r="J1566">
            <v>10120</v>
          </cell>
          <cell r="K1566">
            <v>16063</v>
          </cell>
          <cell r="L1566">
            <v>10454</v>
          </cell>
          <cell r="M1566">
            <v>3838</v>
          </cell>
          <cell r="N1566">
            <v>2935</v>
          </cell>
          <cell r="O1566">
            <v>4206</v>
          </cell>
          <cell r="P1566">
            <v>3032</v>
          </cell>
          <cell r="Q1566">
            <v>397</v>
          </cell>
          <cell r="R1566">
            <v>304</v>
          </cell>
          <cell r="S1566">
            <v>349</v>
          </cell>
          <cell r="T1566">
            <v>314</v>
          </cell>
          <cell r="U1566">
            <v>0</v>
          </cell>
          <cell r="V1566">
            <v>0</v>
          </cell>
          <cell r="W1566">
            <v>0</v>
          </cell>
        </row>
        <row r="1567">
          <cell r="A1567" t="str">
            <v>453484</v>
          </cell>
          <cell r="B1567" t="str">
            <v>1251</v>
          </cell>
          <cell r="C1567" t="str">
            <v>12</v>
          </cell>
          <cell r="D1567" t="str">
            <v>53</v>
          </cell>
          <cell r="E1567">
            <v>29</v>
          </cell>
          <cell r="G1567">
            <v>129</v>
          </cell>
          <cell r="H1567">
            <v>132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7019</v>
          </cell>
          <cell r="S1567">
            <v>408</v>
          </cell>
          <cell r="T1567">
            <v>940</v>
          </cell>
          <cell r="U1567">
            <v>0</v>
          </cell>
          <cell r="V1567">
            <v>0</v>
          </cell>
          <cell r="W1567">
            <v>0</v>
          </cell>
        </row>
        <row r="1568">
          <cell r="A1568" t="str">
            <v>453484</v>
          </cell>
          <cell r="B1568" t="str">
            <v>1251</v>
          </cell>
          <cell r="C1568" t="str">
            <v>12</v>
          </cell>
          <cell r="D1568" t="str">
            <v>53</v>
          </cell>
          <cell r="E1568">
            <v>43</v>
          </cell>
          <cell r="G1568">
            <v>4571</v>
          </cell>
          <cell r="H1568">
            <v>1100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</row>
        <row r="1569">
          <cell r="A1569" t="str">
            <v>453484</v>
          </cell>
          <cell r="B1569" t="str">
            <v>1251</v>
          </cell>
          <cell r="C1569" t="str">
            <v>12</v>
          </cell>
          <cell r="D1569" t="str">
            <v>53</v>
          </cell>
          <cell r="E1569">
            <v>57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</row>
        <row r="1570">
          <cell r="A1570" t="str">
            <v>453484</v>
          </cell>
          <cell r="B1570" t="str">
            <v>1251</v>
          </cell>
          <cell r="C1570" t="str">
            <v>12</v>
          </cell>
          <cell r="D1570" t="str">
            <v>53</v>
          </cell>
          <cell r="E1570">
            <v>71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</row>
        <row r="1571">
          <cell r="A1571" t="str">
            <v>453484</v>
          </cell>
          <cell r="B1571" t="str">
            <v>1251</v>
          </cell>
          <cell r="C1571" t="str">
            <v>12</v>
          </cell>
          <cell r="D1571" t="str">
            <v>56</v>
          </cell>
          <cell r="E1571">
            <v>1</v>
          </cell>
          <cell r="G1571">
            <v>28039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</row>
        <row r="1572">
          <cell r="A1572" t="str">
            <v>453484</v>
          </cell>
          <cell r="B1572" t="str">
            <v>1251</v>
          </cell>
          <cell r="C1572" t="str">
            <v>12</v>
          </cell>
          <cell r="D1572" t="str">
            <v>56</v>
          </cell>
          <cell r="E1572">
            <v>6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28039</v>
          </cell>
          <cell r="Q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</row>
        <row r="1573">
          <cell r="A1573" t="str">
            <v>453484</v>
          </cell>
          <cell r="B1573" t="str">
            <v>1251</v>
          </cell>
          <cell r="C1573" t="str">
            <v>12</v>
          </cell>
          <cell r="D1573" t="str">
            <v>57</v>
          </cell>
          <cell r="E1573">
            <v>1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</row>
        <row r="1574">
          <cell r="A1574" t="str">
            <v>453484</v>
          </cell>
          <cell r="B1574" t="str">
            <v>1251</v>
          </cell>
          <cell r="C1574" t="str">
            <v>12</v>
          </cell>
          <cell r="D1574" t="str">
            <v>57</v>
          </cell>
          <cell r="E1574">
            <v>3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</row>
        <row r="1575">
          <cell r="A1575" t="str">
            <v>453484</v>
          </cell>
          <cell r="B1575" t="str">
            <v>1251</v>
          </cell>
          <cell r="C1575" t="str">
            <v>12</v>
          </cell>
          <cell r="D1575" t="str">
            <v>57</v>
          </cell>
          <cell r="E1575">
            <v>5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</row>
        <row r="1576">
          <cell r="A1576" t="str">
            <v>453484</v>
          </cell>
          <cell r="B1576" t="str">
            <v>1251</v>
          </cell>
          <cell r="C1576" t="str">
            <v>12</v>
          </cell>
          <cell r="D1576" t="str">
            <v>57</v>
          </cell>
          <cell r="E1576">
            <v>7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</row>
        <row r="1577">
          <cell r="A1577" t="str">
            <v>453484</v>
          </cell>
          <cell r="B1577" t="str">
            <v>1251</v>
          </cell>
          <cell r="C1577" t="str">
            <v>12</v>
          </cell>
          <cell r="D1577" t="str">
            <v>57</v>
          </cell>
          <cell r="E1577">
            <v>9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</row>
        <row r="1578">
          <cell r="A1578" t="str">
            <v>453484</v>
          </cell>
          <cell r="B1578" t="str">
            <v>1251</v>
          </cell>
          <cell r="C1578" t="str">
            <v>12</v>
          </cell>
          <cell r="D1578" t="str">
            <v>57</v>
          </cell>
          <cell r="E1578">
            <v>11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</row>
        <row r="1579">
          <cell r="A1579" t="str">
            <v>453484</v>
          </cell>
          <cell r="B1579" t="str">
            <v>1251</v>
          </cell>
          <cell r="C1579" t="str">
            <v>12</v>
          </cell>
          <cell r="D1579" t="str">
            <v>57</v>
          </cell>
          <cell r="E1579">
            <v>13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18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</row>
        <row r="1580">
          <cell r="A1580" t="str">
            <v>453484</v>
          </cell>
          <cell r="B1580" t="str">
            <v>1251</v>
          </cell>
          <cell r="C1580" t="str">
            <v>12</v>
          </cell>
          <cell r="D1580" t="str">
            <v>57</v>
          </cell>
          <cell r="E1580">
            <v>15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18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</row>
        <row r="1581">
          <cell r="A1581" t="str">
            <v>453484</v>
          </cell>
          <cell r="B1581" t="str">
            <v>1251</v>
          </cell>
          <cell r="C1581" t="str">
            <v>12</v>
          </cell>
          <cell r="D1581" t="str">
            <v>57</v>
          </cell>
          <cell r="E1581">
            <v>17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18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</row>
        <row r="1582">
          <cell r="A1582" t="str">
            <v>453484</v>
          </cell>
          <cell r="B1582" t="str">
            <v>1251</v>
          </cell>
          <cell r="C1582" t="str">
            <v>12</v>
          </cell>
          <cell r="D1582" t="str">
            <v>58</v>
          </cell>
          <cell r="E1582">
            <v>1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</row>
        <row r="1583">
          <cell r="A1583" t="str">
            <v>453484</v>
          </cell>
          <cell r="B1583" t="str">
            <v>1251</v>
          </cell>
          <cell r="C1583" t="str">
            <v>12</v>
          </cell>
          <cell r="D1583" t="str">
            <v>58</v>
          </cell>
          <cell r="E1583">
            <v>2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</row>
        <row r="1584">
          <cell r="A1584" t="str">
            <v>453484</v>
          </cell>
          <cell r="B1584" t="str">
            <v>1251</v>
          </cell>
          <cell r="C1584" t="str">
            <v>12</v>
          </cell>
          <cell r="D1584" t="str">
            <v>58</v>
          </cell>
          <cell r="E1584">
            <v>3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</row>
        <row r="1585">
          <cell r="A1585" t="str">
            <v>453484</v>
          </cell>
          <cell r="B1585" t="str">
            <v>1251</v>
          </cell>
          <cell r="C1585" t="str">
            <v>12</v>
          </cell>
          <cell r="D1585" t="str">
            <v>58</v>
          </cell>
          <cell r="E1585">
            <v>4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</row>
        <row r="1586">
          <cell r="A1586" t="str">
            <v>453484</v>
          </cell>
          <cell r="B1586" t="str">
            <v>1251</v>
          </cell>
          <cell r="C1586" t="str">
            <v>12</v>
          </cell>
          <cell r="D1586" t="str">
            <v>58</v>
          </cell>
          <cell r="E1586">
            <v>5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</row>
        <row r="1587">
          <cell r="A1587" t="str">
            <v>453484</v>
          </cell>
          <cell r="B1587" t="str">
            <v>1251</v>
          </cell>
          <cell r="C1587" t="str">
            <v>12</v>
          </cell>
          <cell r="D1587" t="str">
            <v>58</v>
          </cell>
          <cell r="E1587">
            <v>6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</row>
        <row r="1588">
          <cell r="A1588" t="str">
            <v>453484</v>
          </cell>
          <cell r="B1588" t="str">
            <v>1251</v>
          </cell>
          <cell r="C1588" t="str">
            <v>12</v>
          </cell>
          <cell r="D1588" t="str">
            <v>58</v>
          </cell>
          <cell r="E1588">
            <v>7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</row>
        <row r="1589">
          <cell r="A1589" t="str">
            <v>453484</v>
          </cell>
          <cell r="B1589" t="str">
            <v>1251</v>
          </cell>
          <cell r="C1589" t="str">
            <v>12</v>
          </cell>
          <cell r="D1589" t="str">
            <v>58</v>
          </cell>
          <cell r="E1589">
            <v>8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</row>
        <row r="1590">
          <cell r="A1590" t="str">
            <v>453484</v>
          </cell>
          <cell r="B1590" t="str">
            <v>1251</v>
          </cell>
          <cell r="C1590" t="str">
            <v>12</v>
          </cell>
          <cell r="D1590" t="str">
            <v>58</v>
          </cell>
          <cell r="E1590">
            <v>9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</row>
        <row r="1591">
          <cell r="A1591" t="str">
            <v>453484</v>
          </cell>
          <cell r="B1591" t="str">
            <v>1251</v>
          </cell>
          <cell r="C1591" t="str">
            <v>12</v>
          </cell>
          <cell r="D1591" t="str">
            <v>58</v>
          </cell>
          <cell r="E1591">
            <v>10</v>
          </cell>
          <cell r="G1591">
            <v>0</v>
          </cell>
          <cell r="H1591">
            <v>0</v>
          </cell>
          <cell r="I1591">
            <v>18</v>
          </cell>
          <cell r="J1591">
            <v>0</v>
          </cell>
          <cell r="K1591">
            <v>18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18</v>
          </cell>
          <cell r="Q1591">
            <v>18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</row>
        <row r="1592">
          <cell r="A1592" t="str">
            <v>453484</v>
          </cell>
          <cell r="B1592" t="str">
            <v>1251</v>
          </cell>
          <cell r="C1592" t="str">
            <v>12</v>
          </cell>
          <cell r="D1592" t="str">
            <v>58</v>
          </cell>
          <cell r="E1592">
            <v>11</v>
          </cell>
          <cell r="G1592">
            <v>0</v>
          </cell>
          <cell r="H1592">
            <v>0</v>
          </cell>
          <cell r="I1592">
            <v>18</v>
          </cell>
          <cell r="J1592">
            <v>0</v>
          </cell>
          <cell r="K1592">
            <v>18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18</v>
          </cell>
          <cell r="Q1592">
            <v>18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</row>
        <row r="1593">
          <cell r="A1593" t="str">
            <v>453484</v>
          </cell>
          <cell r="B1593" t="str">
            <v>1251</v>
          </cell>
          <cell r="C1593" t="str">
            <v>12</v>
          </cell>
          <cell r="D1593" t="str">
            <v>59</v>
          </cell>
          <cell r="E1593">
            <v>1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</row>
        <row r="1594">
          <cell r="A1594" t="str">
            <v>453484</v>
          </cell>
          <cell r="B1594" t="str">
            <v>1251</v>
          </cell>
          <cell r="C1594" t="str">
            <v>12</v>
          </cell>
          <cell r="D1594" t="str">
            <v>59</v>
          </cell>
          <cell r="E1594">
            <v>2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</row>
        <row r="1595">
          <cell r="A1595" t="str">
            <v>453484</v>
          </cell>
          <cell r="B1595" t="str">
            <v>1251</v>
          </cell>
          <cell r="C1595" t="str">
            <v>12</v>
          </cell>
          <cell r="D1595" t="str">
            <v>59</v>
          </cell>
          <cell r="E1595">
            <v>3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</row>
        <row r="1596">
          <cell r="A1596" t="str">
            <v>453484</v>
          </cell>
          <cell r="B1596" t="str">
            <v>1251</v>
          </cell>
          <cell r="C1596" t="str">
            <v>12</v>
          </cell>
          <cell r="D1596" t="str">
            <v>59</v>
          </cell>
          <cell r="E1596">
            <v>4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</row>
        <row r="1597">
          <cell r="A1597" t="str">
            <v>453484</v>
          </cell>
          <cell r="B1597" t="str">
            <v>1251</v>
          </cell>
          <cell r="C1597" t="str">
            <v>12</v>
          </cell>
          <cell r="D1597" t="str">
            <v>59</v>
          </cell>
          <cell r="E1597">
            <v>5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</row>
        <row r="1598">
          <cell r="A1598" t="str">
            <v>453484</v>
          </cell>
          <cell r="B1598" t="str">
            <v>1251</v>
          </cell>
          <cell r="C1598" t="str">
            <v>12</v>
          </cell>
          <cell r="D1598" t="str">
            <v>59</v>
          </cell>
          <cell r="E1598">
            <v>6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</row>
        <row r="1599">
          <cell r="A1599" t="str">
            <v>453484</v>
          </cell>
          <cell r="B1599" t="str">
            <v>1251</v>
          </cell>
          <cell r="C1599" t="str">
            <v>12</v>
          </cell>
          <cell r="D1599" t="str">
            <v>59</v>
          </cell>
          <cell r="E1599">
            <v>7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</row>
        <row r="1600">
          <cell r="A1600" t="str">
            <v>453484</v>
          </cell>
          <cell r="B1600" t="str">
            <v>1251</v>
          </cell>
          <cell r="C1600" t="str">
            <v>12</v>
          </cell>
          <cell r="D1600" t="str">
            <v>59</v>
          </cell>
          <cell r="E1600">
            <v>8</v>
          </cell>
          <cell r="G1600">
            <v>4050</v>
          </cell>
          <cell r="H1600">
            <v>0</v>
          </cell>
          <cell r="I1600">
            <v>1546</v>
          </cell>
          <cell r="J1600">
            <v>0</v>
          </cell>
          <cell r="K1600">
            <v>5596</v>
          </cell>
          <cell r="L1600">
            <v>0</v>
          </cell>
          <cell r="M1600">
            <v>0</v>
          </cell>
          <cell r="N1600">
            <v>3720</v>
          </cell>
          <cell r="O1600">
            <v>0</v>
          </cell>
          <cell r="P1600">
            <v>1546</v>
          </cell>
          <cell r="Q1600">
            <v>1876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</row>
        <row r="1601">
          <cell r="A1601" t="str">
            <v>453484</v>
          </cell>
          <cell r="B1601" t="str">
            <v>1251</v>
          </cell>
          <cell r="C1601" t="str">
            <v>12</v>
          </cell>
          <cell r="D1601" t="str">
            <v>59</v>
          </cell>
          <cell r="E1601">
            <v>9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</row>
        <row r="1602">
          <cell r="A1602" t="str">
            <v>453484</v>
          </cell>
          <cell r="B1602" t="str">
            <v>1251</v>
          </cell>
          <cell r="C1602" t="str">
            <v>12</v>
          </cell>
          <cell r="D1602" t="str">
            <v>59</v>
          </cell>
          <cell r="E1602">
            <v>10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</row>
        <row r="1603">
          <cell r="A1603" t="str">
            <v>453484</v>
          </cell>
          <cell r="B1603" t="str">
            <v>1251</v>
          </cell>
          <cell r="C1603" t="str">
            <v>12</v>
          </cell>
          <cell r="D1603" t="str">
            <v>59</v>
          </cell>
          <cell r="E1603">
            <v>11</v>
          </cell>
          <cell r="G1603">
            <v>3720</v>
          </cell>
          <cell r="H1603">
            <v>0</v>
          </cell>
          <cell r="I1603">
            <v>1546</v>
          </cell>
          <cell r="J1603">
            <v>0</v>
          </cell>
          <cell r="K1603">
            <v>5266</v>
          </cell>
          <cell r="L1603">
            <v>0</v>
          </cell>
          <cell r="M1603">
            <v>0</v>
          </cell>
          <cell r="N1603">
            <v>3720</v>
          </cell>
          <cell r="O1603">
            <v>0</v>
          </cell>
          <cell r="P1603">
            <v>1546</v>
          </cell>
          <cell r="Q1603">
            <v>1546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</row>
        <row r="1604">
          <cell r="A1604" t="str">
            <v>453484</v>
          </cell>
          <cell r="B1604" t="str">
            <v>1251</v>
          </cell>
          <cell r="C1604" t="str">
            <v>12</v>
          </cell>
          <cell r="D1604" t="str">
            <v>59</v>
          </cell>
          <cell r="E1604">
            <v>12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</row>
        <row r="1605">
          <cell r="A1605" t="str">
            <v>453484</v>
          </cell>
          <cell r="B1605" t="str">
            <v>1251</v>
          </cell>
          <cell r="C1605" t="str">
            <v>12</v>
          </cell>
          <cell r="D1605" t="str">
            <v>59</v>
          </cell>
          <cell r="E1605">
            <v>13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</row>
        <row r="1606">
          <cell r="A1606" t="str">
            <v>453484</v>
          </cell>
          <cell r="B1606" t="str">
            <v>1251</v>
          </cell>
          <cell r="C1606" t="str">
            <v>12</v>
          </cell>
          <cell r="D1606" t="str">
            <v>59</v>
          </cell>
          <cell r="E1606">
            <v>14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</row>
        <row r="1607">
          <cell r="A1607" t="str">
            <v>453484</v>
          </cell>
          <cell r="B1607" t="str">
            <v>1251</v>
          </cell>
          <cell r="C1607" t="str">
            <v>12</v>
          </cell>
          <cell r="D1607" t="str">
            <v>59</v>
          </cell>
          <cell r="E1607">
            <v>15</v>
          </cell>
          <cell r="G1607">
            <v>3720</v>
          </cell>
          <cell r="H1607">
            <v>0</v>
          </cell>
          <cell r="I1607">
            <v>1546</v>
          </cell>
          <cell r="J1607">
            <v>0</v>
          </cell>
          <cell r="K1607">
            <v>5266</v>
          </cell>
          <cell r="L1607">
            <v>0</v>
          </cell>
          <cell r="M1607">
            <v>0</v>
          </cell>
          <cell r="N1607">
            <v>3720</v>
          </cell>
          <cell r="O1607">
            <v>0</v>
          </cell>
          <cell r="P1607">
            <v>1546</v>
          </cell>
          <cell r="Q1607">
            <v>1546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</row>
        <row r="1608">
          <cell r="A1608" t="str">
            <v>453484</v>
          </cell>
          <cell r="B1608" t="str">
            <v>1251</v>
          </cell>
          <cell r="C1608" t="str">
            <v>12</v>
          </cell>
          <cell r="D1608" t="str">
            <v>59</v>
          </cell>
          <cell r="E1608">
            <v>16</v>
          </cell>
          <cell r="G1608">
            <v>330</v>
          </cell>
          <cell r="H1608">
            <v>0</v>
          </cell>
          <cell r="I1608">
            <v>0</v>
          </cell>
          <cell r="J1608">
            <v>0</v>
          </cell>
          <cell r="K1608">
            <v>330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330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</row>
        <row r="1609">
          <cell r="A1609" t="str">
            <v>453484</v>
          </cell>
          <cell r="B1609" t="str">
            <v>1251</v>
          </cell>
          <cell r="C1609" t="str">
            <v>12</v>
          </cell>
          <cell r="D1609" t="str">
            <v>59</v>
          </cell>
          <cell r="E1609">
            <v>17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</row>
        <row r="1610">
          <cell r="A1610" t="str">
            <v>453484</v>
          </cell>
          <cell r="B1610" t="str">
            <v>1251</v>
          </cell>
          <cell r="C1610" t="str">
            <v>12</v>
          </cell>
          <cell r="D1610" t="str">
            <v>59</v>
          </cell>
          <cell r="E1610">
            <v>18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</row>
        <row r="1611">
          <cell r="A1611" t="str">
            <v>453484</v>
          </cell>
          <cell r="B1611" t="str">
            <v>1251</v>
          </cell>
          <cell r="C1611" t="str">
            <v>12</v>
          </cell>
          <cell r="D1611" t="str">
            <v>59</v>
          </cell>
          <cell r="E1611">
            <v>19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</row>
        <row r="1612">
          <cell r="A1612" t="str">
            <v>453484</v>
          </cell>
          <cell r="B1612" t="str">
            <v>1251</v>
          </cell>
          <cell r="C1612" t="str">
            <v>12</v>
          </cell>
          <cell r="D1612" t="str">
            <v>59</v>
          </cell>
          <cell r="E1612">
            <v>20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</row>
        <row r="1613">
          <cell r="A1613" t="str">
            <v>453484</v>
          </cell>
          <cell r="B1613" t="str">
            <v>1251</v>
          </cell>
          <cell r="C1613" t="str">
            <v>12</v>
          </cell>
          <cell r="D1613" t="str">
            <v>59</v>
          </cell>
          <cell r="E1613">
            <v>21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</row>
        <row r="1614">
          <cell r="A1614" t="str">
            <v>453484</v>
          </cell>
          <cell r="B1614" t="str">
            <v>1251</v>
          </cell>
          <cell r="C1614" t="str">
            <v>12</v>
          </cell>
          <cell r="D1614" t="str">
            <v>59</v>
          </cell>
          <cell r="E1614">
            <v>22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</row>
        <row r="1615">
          <cell r="A1615" t="str">
            <v>453484</v>
          </cell>
          <cell r="B1615" t="str">
            <v>1251</v>
          </cell>
          <cell r="C1615" t="str">
            <v>12</v>
          </cell>
          <cell r="D1615" t="str">
            <v>59</v>
          </cell>
          <cell r="E1615">
            <v>23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</row>
        <row r="1616">
          <cell r="A1616" t="str">
            <v>453484</v>
          </cell>
          <cell r="B1616" t="str">
            <v>1251</v>
          </cell>
          <cell r="C1616" t="str">
            <v>12</v>
          </cell>
          <cell r="D1616" t="str">
            <v>59</v>
          </cell>
          <cell r="E1616">
            <v>24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</row>
        <row r="1617">
          <cell r="A1617" t="str">
            <v>453484</v>
          </cell>
          <cell r="B1617" t="str">
            <v>1251</v>
          </cell>
          <cell r="C1617" t="str">
            <v>12</v>
          </cell>
          <cell r="D1617" t="str">
            <v>59</v>
          </cell>
          <cell r="E1617">
            <v>25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</row>
        <row r="1618">
          <cell r="A1618" t="str">
            <v>453484</v>
          </cell>
          <cell r="B1618" t="str">
            <v>1251</v>
          </cell>
          <cell r="C1618" t="str">
            <v>12</v>
          </cell>
          <cell r="D1618" t="str">
            <v>59</v>
          </cell>
          <cell r="E1618">
            <v>26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</row>
        <row r="1619">
          <cell r="A1619" t="str">
            <v>453484</v>
          </cell>
          <cell r="B1619" t="str">
            <v>1251</v>
          </cell>
          <cell r="C1619" t="str">
            <v>12</v>
          </cell>
          <cell r="D1619" t="str">
            <v>59</v>
          </cell>
          <cell r="E1619">
            <v>27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</row>
        <row r="1620">
          <cell r="A1620" t="str">
            <v>453484</v>
          </cell>
          <cell r="B1620" t="str">
            <v>1251</v>
          </cell>
          <cell r="C1620" t="str">
            <v>12</v>
          </cell>
          <cell r="D1620" t="str">
            <v>59</v>
          </cell>
          <cell r="E1620">
            <v>28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</row>
        <row r="1621">
          <cell r="A1621" t="str">
            <v>453484</v>
          </cell>
          <cell r="B1621" t="str">
            <v>1251</v>
          </cell>
          <cell r="C1621" t="str">
            <v>12</v>
          </cell>
          <cell r="D1621" t="str">
            <v>59</v>
          </cell>
          <cell r="E1621">
            <v>29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</row>
        <row r="1622">
          <cell r="A1622" t="str">
            <v>453484</v>
          </cell>
          <cell r="B1622" t="str">
            <v>1251</v>
          </cell>
          <cell r="C1622" t="str">
            <v>12</v>
          </cell>
          <cell r="D1622" t="str">
            <v>59</v>
          </cell>
          <cell r="E1622">
            <v>30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</row>
        <row r="1623">
          <cell r="A1623" t="str">
            <v>453484</v>
          </cell>
          <cell r="B1623" t="str">
            <v>1251</v>
          </cell>
          <cell r="C1623" t="str">
            <v>12</v>
          </cell>
          <cell r="D1623" t="str">
            <v>59</v>
          </cell>
          <cell r="E1623">
            <v>31</v>
          </cell>
          <cell r="G1623">
            <v>330</v>
          </cell>
          <cell r="H1623">
            <v>0</v>
          </cell>
          <cell r="I1623">
            <v>0</v>
          </cell>
          <cell r="J1623">
            <v>0</v>
          </cell>
          <cell r="K1623">
            <v>330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330</v>
          </cell>
          <cell r="R1623">
            <v>0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</row>
        <row r="1624">
          <cell r="A1624" t="str">
            <v>453484</v>
          </cell>
          <cell r="B1624" t="str">
            <v>1251</v>
          </cell>
          <cell r="C1624" t="str">
            <v>12</v>
          </cell>
          <cell r="D1624" t="str">
            <v>59</v>
          </cell>
          <cell r="E1624">
            <v>32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</row>
        <row r="1625">
          <cell r="A1625" t="str">
            <v>453484</v>
          </cell>
          <cell r="B1625" t="str">
            <v>1251</v>
          </cell>
          <cell r="C1625" t="str">
            <v>12</v>
          </cell>
          <cell r="D1625" t="str">
            <v>59</v>
          </cell>
          <cell r="E1625">
            <v>33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</row>
        <row r="1626">
          <cell r="A1626" t="str">
            <v>453484</v>
          </cell>
          <cell r="B1626" t="str">
            <v>1251</v>
          </cell>
          <cell r="C1626" t="str">
            <v>12</v>
          </cell>
          <cell r="D1626" t="str">
            <v>59</v>
          </cell>
          <cell r="E1626">
            <v>34</v>
          </cell>
          <cell r="G1626">
            <v>4050</v>
          </cell>
          <cell r="H1626">
            <v>0</v>
          </cell>
          <cell r="I1626">
            <v>1546</v>
          </cell>
          <cell r="J1626">
            <v>0</v>
          </cell>
          <cell r="K1626">
            <v>5596</v>
          </cell>
          <cell r="L1626">
            <v>0</v>
          </cell>
          <cell r="M1626">
            <v>0</v>
          </cell>
          <cell r="N1626">
            <v>3720</v>
          </cell>
          <cell r="O1626">
            <v>0</v>
          </cell>
          <cell r="P1626">
            <v>1546</v>
          </cell>
          <cell r="Q1626">
            <v>1876</v>
          </cell>
          <cell r="R1626">
            <v>0</v>
          </cell>
          <cell r="S1626">
            <v>0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</row>
        <row r="1627">
          <cell r="A1627" t="str">
            <v>453484</v>
          </cell>
          <cell r="B1627" t="str">
            <v>1251</v>
          </cell>
          <cell r="C1627" t="str">
            <v>12</v>
          </cell>
          <cell r="D1627" t="str">
            <v>75</v>
          </cell>
          <cell r="E1627">
            <v>1</v>
          </cell>
          <cell r="G1627">
            <v>1193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1193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1193</v>
          </cell>
          <cell r="R1627">
            <v>1193</v>
          </cell>
          <cell r="S1627">
            <v>0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</row>
        <row r="1628">
          <cell r="A1628" t="str">
            <v>453484</v>
          </cell>
          <cell r="B1628" t="str">
            <v>1251</v>
          </cell>
          <cell r="C1628" t="str">
            <v>12</v>
          </cell>
          <cell r="D1628" t="str">
            <v>75</v>
          </cell>
          <cell r="E1628">
            <v>2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</row>
        <row r="1629">
          <cell r="A1629" t="str">
            <v>453484</v>
          </cell>
          <cell r="B1629" t="str">
            <v>1251</v>
          </cell>
          <cell r="C1629" t="str">
            <v>12</v>
          </cell>
          <cell r="D1629" t="str">
            <v>75</v>
          </cell>
          <cell r="E1629">
            <v>3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</row>
        <row r="1630">
          <cell r="A1630" t="str">
            <v>453484</v>
          </cell>
          <cell r="B1630" t="str">
            <v>1251</v>
          </cell>
          <cell r="C1630" t="str">
            <v>12</v>
          </cell>
          <cell r="D1630" t="str">
            <v>75</v>
          </cell>
          <cell r="E1630">
            <v>4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</row>
        <row r="1631">
          <cell r="A1631" t="str">
            <v>453484</v>
          </cell>
          <cell r="B1631" t="str">
            <v>1251</v>
          </cell>
          <cell r="C1631" t="str">
            <v>12</v>
          </cell>
          <cell r="D1631" t="str">
            <v>75</v>
          </cell>
          <cell r="E1631">
            <v>5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</row>
        <row r="1632">
          <cell r="A1632" t="str">
            <v>453484</v>
          </cell>
          <cell r="B1632" t="str">
            <v>1251</v>
          </cell>
          <cell r="C1632" t="str">
            <v>12</v>
          </cell>
          <cell r="D1632" t="str">
            <v>75</v>
          </cell>
          <cell r="E1632">
            <v>6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</row>
        <row r="1633">
          <cell r="A1633" t="str">
            <v>453484</v>
          </cell>
          <cell r="B1633" t="str">
            <v>1251</v>
          </cell>
          <cell r="C1633" t="str">
            <v>12</v>
          </cell>
          <cell r="D1633" t="str">
            <v>75</v>
          </cell>
          <cell r="E1633">
            <v>7</v>
          </cell>
          <cell r="G1633">
            <v>239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239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239</v>
          </cell>
          <cell r="R1633">
            <v>239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</row>
        <row r="1634">
          <cell r="A1634" t="str">
            <v>453484</v>
          </cell>
          <cell r="B1634" t="str">
            <v>1251</v>
          </cell>
          <cell r="C1634" t="str">
            <v>12</v>
          </cell>
          <cell r="D1634" t="str">
            <v>75</v>
          </cell>
          <cell r="E1634">
            <v>8</v>
          </cell>
          <cell r="G1634">
            <v>1432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1432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1432</v>
          </cell>
          <cell r="R1634">
            <v>1432</v>
          </cell>
          <cell r="S1634">
            <v>0</v>
          </cell>
          <cell r="T1634">
            <v>0</v>
          </cell>
          <cell r="U1634">
            <v>0</v>
          </cell>
          <cell r="V1634">
            <v>0</v>
          </cell>
          <cell r="W1634">
            <v>0</v>
          </cell>
        </row>
        <row r="1635">
          <cell r="A1635" t="str">
            <v>453484</v>
          </cell>
          <cell r="B1635" t="str">
            <v>1251</v>
          </cell>
          <cell r="C1635" t="str">
            <v>12</v>
          </cell>
          <cell r="D1635" t="str">
            <v>75</v>
          </cell>
          <cell r="E1635">
            <v>9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</row>
        <row r="1636">
          <cell r="A1636" t="str">
            <v>453484</v>
          </cell>
          <cell r="B1636" t="str">
            <v>1251</v>
          </cell>
          <cell r="C1636" t="str">
            <v>12</v>
          </cell>
          <cell r="D1636" t="str">
            <v>75</v>
          </cell>
          <cell r="E1636">
            <v>10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</row>
        <row r="1637">
          <cell r="A1637" t="str">
            <v>453484</v>
          </cell>
          <cell r="B1637" t="str">
            <v>1251</v>
          </cell>
          <cell r="C1637" t="str">
            <v>12</v>
          </cell>
          <cell r="D1637" t="str">
            <v>75</v>
          </cell>
          <cell r="E1637">
            <v>11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</row>
        <row r="1638">
          <cell r="A1638" t="str">
            <v>453484</v>
          </cell>
          <cell r="B1638" t="str">
            <v>1251</v>
          </cell>
          <cell r="C1638" t="str">
            <v>12</v>
          </cell>
          <cell r="D1638" t="str">
            <v>75</v>
          </cell>
          <cell r="E1638">
            <v>12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</row>
        <row r="1639">
          <cell r="A1639" t="str">
            <v>453484</v>
          </cell>
          <cell r="B1639" t="str">
            <v>1251</v>
          </cell>
          <cell r="C1639" t="str">
            <v>12</v>
          </cell>
          <cell r="D1639" t="str">
            <v>75</v>
          </cell>
          <cell r="E1639">
            <v>13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</row>
        <row r="1640">
          <cell r="A1640" t="str">
            <v>453484</v>
          </cell>
          <cell r="B1640" t="str">
            <v>1251</v>
          </cell>
          <cell r="C1640" t="str">
            <v>12</v>
          </cell>
          <cell r="D1640" t="str">
            <v>75</v>
          </cell>
          <cell r="E1640">
            <v>14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</row>
        <row r="1641">
          <cell r="A1641" t="str">
            <v>453484</v>
          </cell>
          <cell r="B1641" t="str">
            <v>1251</v>
          </cell>
          <cell r="C1641" t="str">
            <v>12</v>
          </cell>
          <cell r="D1641" t="str">
            <v>75</v>
          </cell>
          <cell r="E1641">
            <v>15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</row>
        <row r="1642">
          <cell r="A1642" t="str">
            <v>453484</v>
          </cell>
          <cell r="B1642" t="str">
            <v>1251</v>
          </cell>
          <cell r="C1642" t="str">
            <v>12</v>
          </cell>
          <cell r="D1642" t="str">
            <v>75</v>
          </cell>
          <cell r="E1642">
            <v>16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</row>
        <row r="1643">
          <cell r="A1643" t="str">
            <v>453484</v>
          </cell>
          <cell r="B1643" t="str">
            <v>1251</v>
          </cell>
          <cell r="C1643" t="str">
            <v>12</v>
          </cell>
          <cell r="D1643" t="str">
            <v>75</v>
          </cell>
          <cell r="E1643">
            <v>17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</row>
        <row r="1644">
          <cell r="A1644" t="str">
            <v>453484</v>
          </cell>
          <cell r="B1644" t="str">
            <v>1251</v>
          </cell>
          <cell r="C1644" t="str">
            <v>12</v>
          </cell>
          <cell r="D1644" t="str">
            <v>75</v>
          </cell>
          <cell r="E1644">
            <v>18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0</v>
          </cell>
          <cell r="V1644">
            <v>0</v>
          </cell>
          <cell r="W1644">
            <v>0</v>
          </cell>
        </row>
        <row r="1645">
          <cell r="A1645" t="str">
            <v>453484</v>
          </cell>
          <cell r="B1645" t="str">
            <v>1251</v>
          </cell>
          <cell r="C1645" t="str">
            <v>12</v>
          </cell>
          <cell r="D1645" t="str">
            <v>75</v>
          </cell>
          <cell r="E1645">
            <v>19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0</v>
          </cell>
          <cell r="V1645">
            <v>0</v>
          </cell>
          <cell r="W1645">
            <v>0</v>
          </cell>
        </row>
        <row r="1646">
          <cell r="A1646" t="str">
            <v>453484</v>
          </cell>
          <cell r="B1646" t="str">
            <v>1251</v>
          </cell>
          <cell r="C1646" t="str">
            <v>12</v>
          </cell>
          <cell r="D1646" t="str">
            <v>75</v>
          </cell>
          <cell r="E1646">
            <v>20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</row>
        <row r="1647">
          <cell r="A1647" t="str">
            <v>453484</v>
          </cell>
          <cell r="B1647" t="str">
            <v>1251</v>
          </cell>
          <cell r="C1647" t="str">
            <v>12</v>
          </cell>
          <cell r="D1647" t="str">
            <v>75</v>
          </cell>
          <cell r="E1647">
            <v>21</v>
          </cell>
          <cell r="G1647">
            <v>1000</v>
          </cell>
          <cell r="H1647">
            <v>536</v>
          </cell>
          <cell r="I1647">
            <v>0</v>
          </cell>
          <cell r="J1647">
            <v>0</v>
          </cell>
          <cell r="K1647">
            <v>0</v>
          </cell>
          <cell r="L1647">
            <v>536</v>
          </cell>
          <cell r="M1647">
            <v>464</v>
          </cell>
          <cell r="N1647">
            <v>464</v>
          </cell>
          <cell r="O1647">
            <v>0</v>
          </cell>
          <cell r="P1647">
            <v>0</v>
          </cell>
          <cell r="Q1647">
            <v>536</v>
          </cell>
          <cell r="R1647">
            <v>536</v>
          </cell>
          <cell r="S1647">
            <v>536</v>
          </cell>
          <cell r="T1647">
            <v>464</v>
          </cell>
          <cell r="U1647">
            <v>536</v>
          </cell>
          <cell r="V1647">
            <v>0</v>
          </cell>
          <cell r="W1647">
            <v>0</v>
          </cell>
        </row>
        <row r="1648">
          <cell r="A1648" t="str">
            <v>453484</v>
          </cell>
          <cell r="B1648" t="str">
            <v>1251</v>
          </cell>
          <cell r="C1648" t="str">
            <v>12</v>
          </cell>
          <cell r="D1648" t="str">
            <v>75</v>
          </cell>
          <cell r="E1648">
            <v>22</v>
          </cell>
          <cell r="G1648">
            <v>1000</v>
          </cell>
          <cell r="H1648">
            <v>536</v>
          </cell>
          <cell r="I1648">
            <v>0</v>
          </cell>
          <cell r="J1648">
            <v>0</v>
          </cell>
          <cell r="K1648">
            <v>0</v>
          </cell>
          <cell r="L1648">
            <v>536</v>
          </cell>
          <cell r="M1648">
            <v>464</v>
          </cell>
          <cell r="N1648">
            <v>464</v>
          </cell>
          <cell r="O1648">
            <v>0</v>
          </cell>
          <cell r="P1648">
            <v>0</v>
          </cell>
          <cell r="Q1648">
            <v>536</v>
          </cell>
          <cell r="R1648">
            <v>536</v>
          </cell>
          <cell r="S1648">
            <v>536</v>
          </cell>
          <cell r="T1648">
            <v>464</v>
          </cell>
          <cell r="U1648">
            <v>536</v>
          </cell>
          <cell r="V1648">
            <v>0</v>
          </cell>
          <cell r="W1648">
            <v>0</v>
          </cell>
        </row>
        <row r="1649">
          <cell r="A1649" t="str">
            <v>453484</v>
          </cell>
          <cell r="B1649" t="str">
            <v>1251</v>
          </cell>
          <cell r="C1649" t="str">
            <v>12</v>
          </cell>
          <cell r="D1649" t="str">
            <v>75</v>
          </cell>
          <cell r="E1649">
            <v>23</v>
          </cell>
          <cell r="G1649">
            <v>187648</v>
          </cell>
          <cell r="H1649">
            <v>186099</v>
          </cell>
          <cell r="I1649">
            <v>0</v>
          </cell>
          <cell r="J1649">
            <v>0</v>
          </cell>
          <cell r="K1649">
            <v>0</v>
          </cell>
          <cell r="L1649">
            <v>186099</v>
          </cell>
          <cell r="M1649">
            <v>1549</v>
          </cell>
          <cell r="N1649">
            <v>1549</v>
          </cell>
          <cell r="O1649">
            <v>0</v>
          </cell>
          <cell r="P1649">
            <v>0</v>
          </cell>
          <cell r="Q1649">
            <v>186099</v>
          </cell>
          <cell r="R1649">
            <v>186099</v>
          </cell>
          <cell r="S1649">
            <v>186099</v>
          </cell>
          <cell r="T1649">
            <v>1549</v>
          </cell>
          <cell r="U1649">
            <v>186099</v>
          </cell>
          <cell r="V1649">
            <v>0</v>
          </cell>
          <cell r="W1649">
            <v>0</v>
          </cell>
        </row>
        <row r="1650">
          <cell r="A1650" t="str">
            <v>453484</v>
          </cell>
          <cell r="B1650" t="str">
            <v>1251</v>
          </cell>
          <cell r="C1650" t="str">
            <v>12</v>
          </cell>
          <cell r="D1650" t="str">
            <v>75</v>
          </cell>
          <cell r="E1650">
            <v>24</v>
          </cell>
          <cell r="G1650">
            <v>60327</v>
          </cell>
          <cell r="H1650">
            <v>59682</v>
          </cell>
          <cell r="I1650">
            <v>0</v>
          </cell>
          <cell r="J1650">
            <v>0</v>
          </cell>
          <cell r="K1650">
            <v>0</v>
          </cell>
          <cell r="L1650">
            <v>59682</v>
          </cell>
          <cell r="M1650">
            <v>645</v>
          </cell>
          <cell r="N1650">
            <v>645</v>
          </cell>
          <cell r="O1650">
            <v>0</v>
          </cell>
          <cell r="P1650">
            <v>0</v>
          </cell>
          <cell r="Q1650">
            <v>59682</v>
          </cell>
          <cell r="R1650">
            <v>59682</v>
          </cell>
          <cell r="S1650">
            <v>59682</v>
          </cell>
          <cell r="T1650">
            <v>645</v>
          </cell>
          <cell r="U1650">
            <v>59682</v>
          </cell>
          <cell r="V1650">
            <v>0</v>
          </cell>
          <cell r="W1650">
            <v>0</v>
          </cell>
        </row>
        <row r="1651">
          <cell r="A1651" t="str">
            <v>453484</v>
          </cell>
          <cell r="B1651" t="str">
            <v>1251</v>
          </cell>
          <cell r="C1651" t="str">
            <v>12</v>
          </cell>
          <cell r="D1651" t="str">
            <v>75</v>
          </cell>
          <cell r="E1651">
            <v>25</v>
          </cell>
          <cell r="G1651">
            <v>68527</v>
          </cell>
          <cell r="H1651">
            <v>68212</v>
          </cell>
          <cell r="I1651">
            <v>0</v>
          </cell>
          <cell r="J1651">
            <v>0</v>
          </cell>
          <cell r="K1651">
            <v>0</v>
          </cell>
          <cell r="L1651">
            <v>68212</v>
          </cell>
          <cell r="M1651">
            <v>315</v>
          </cell>
          <cell r="N1651">
            <v>315</v>
          </cell>
          <cell r="O1651">
            <v>0</v>
          </cell>
          <cell r="P1651">
            <v>0</v>
          </cell>
          <cell r="Q1651">
            <v>68212</v>
          </cell>
          <cell r="R1651">
            <v>68212</v>
          </cell>
          <cell r="S1651">
            <v>68212</v>
          </cell>
          <cell r="T1651">
            <v>315</v>
          </cell>
          <cell r="U1651">
            <v>68212</v>
          </cell>
          <cell r="V1651">
            <v>0</v>
          </cell>
          <cell r="W1651">
            <v>0</v>
          </cell>
        </row>
        <row r="1652">
          <cell r="A1652" t="str">
            <v>453484</v>
          </cell>
          <cell r="B1652" t="str">
            <v>1251</v>
          </cell>
          <cell r="C1652" t="str">
            <v>12</v>
          </cell>
          <cell r="D1652" t="str">
            <v>75</v>
          </cell>
          <cell r="E1652">
            <v>26</v>
          </cell>
          <cell r="G1652">
            <v>316502</v>
          </cell>
          <cell r="H1652">
            <v>313993</v>
          </cell>
          <cell r="I1652">
            <v>0</v>
          </cell>
          <cell r="J1652">
            <v>0</v>
          </cell>
          <cell r="K1652">
            <v>0</v>
          </cell>
          <cell r="L1652">
            <v>313993</v>
          </cell>
          <cell r="M1652">
            <v>2509</v>
          </cell>
          <cell r="N1652">
            <v>2509</v>
          </cell>
          <cell r="O1652">
            <v>0</v>
          </cell>
          <cell r="P1652">
            <v>0</v>
          </cell>
          <cell r="Q1652">
            <v>313993</v>
          </cell>
          <cell r="R1652">
            <v>313993</v>
          </cell>
          <cell r="S1652">
            <v>313993</v>
          </cell>
          <cell r="T1652">
            <v>2509</v>
          </cell>
          <cell r="U1652">
            <v>313993</v>
          </cell>
          <cell r="V1652">
            <v>0</v>
          </cell>
          <cell r="W1652">
            <v>0</v>
          </cell>
        </row>
        <row r="1653">
          <cell r="A1653" t="str">
            <v>453484</v>
          </cell>
          <cell r="B1653" t="str">
            <v>1251</v>
          </cell>
          <cell r="C1653" t="str">
            <v>12</v>
          </cell>
          <cell r="D1653" t="str">
            <v>75</v>
          </cell>
          <cell r="E1653">
            <v>27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</row>
        <row r="1654">
          <cell r="A1654" t="str">
            <v>453484</v>
          </cell>
          <cell r="B1654" t="str">
            <v>1251</v>
          </cell>
          <cell r="C1654" t="str">
            <v>12</v>
          </cell>
          <cell r="D1654" t="str">
            <v>75</v>
          </cell>
          <cell r="E1654">
            <v>28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0</v>
          </cell>
          <cell r="V1654">
            <v>0</v>
          </cell>
          <cell r="W1654">
            <v>0</v>
          </cell>
        </row>
        <row r="1655">
          <cell r="A1655" t="str">
            <v>453484</v>
          </cell>
          <cell r="B1655" t="str">
            <v>1251</v>
          </cell>
          <cell r="C1655" t="str">
            <v>12</v>
          </cell>
          <cell r="D1655" t="str">
            <v>75</v>
          </cell>
          <cell r="E1655">
            <v>29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</row>
        <row r="1656">
          <cell r="A1656" t="str">
            <v>453484</v>
          </cell>
          <cell r="B1656" t="str">
            <v>1251</v>
          </cell>
          <cell r="C1656" t="str">
            <v>12</v>
          </cell>
          <cell r="D1656" t="str">
            <v>75</v>
          </cell>
          <cell r="E1656">
            <v>30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</row>
        <row r="1657">
          <cell r="A1657" t="str">
            <v>453484</v>
          </cell>
          <cell r="B1657" t="str">
            <v>1251</v>
          </cell>
          <cell r="C1657" t="str">
            <v>12</v>
          </cell>
          <cell r="D1657" t="str">
            <v>75</v>
          </cell>
          <cell r="E1657">
            <v>31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</row>
        <row r="1658">
          <cell r="A1658" t="str">
            <v>453484</v>
          </cell>
          <cell r="B1658" t="str">
            <v>1251</v>
          </cell>
          <cell r="C1658" t="str">
            <v>12</v>
          </cell>
          <cell r="D1658" t="str">
            <v>75</v>
          </cell>
          <cell r="E1658">
            <v>32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</row>
        <row r="1659">
          <cell r="A1659" t="str">
            <v>453484</v>
          </cell>
          <cell r="B1659" t="str">
            <v>1251</v>
          </cell>
          <cell r="C1659" t="str">
            <v>12</v>
          </cell>
          <cell r="D1659" t="str">
            <v>75</v>
          </cell>
          <cell r="E1659">
            <v>33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0</v>
          </cell>
          <cell r="Q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</row>
        <row r="1660">
          <cell r="A1660" t="str">
            <v>453484</v>
          </cell>
          <cell r="B1660" t="str">
            <v>1251</v>
          </cell>
          <cell r="C1660" t="str">
            <v>12</v>
          </cell>
          <cell r="D1660" t="str">
            <v>75</v>
          </cell>
          <cell r="E1660">
            <v>34</v>
          </cell>
          <cell r="G1660">
            <v>318934</v>
          </cell>
          <cell r="H1660">
            <v>314529</v>
          </cell>
          <cell r="I1660">
            <v>0</v>
          </cell>
          <cell r="J1660">
            <v>0</v>
          </cell>
          <cell r="K1660">
            <v>0</v>
          </cell>
          <cell r="L1660">
            <v>315961</v>
          </cell>
          <cell r="M1660">
            <v>2973</v>
          </cell>
          <cell r="N1660">
            <v>2973</v>
          </cell>
          <cell r="O1660">
            <v>0</v>
          </cell>
          <cell r="P1660">
            <v>0</v>
          </cell>
          <cell r="Q1660">
            <v>315961</v>
          </cell>
          <cell r="R1660">
            <v>315961</v>
          </cell>
          <cell r="S1660">
            <v>314529</v>
          </cell>
          <cell r="T1660">
            <v>2973</v>
          </cell>
          <cell r="U1660">
            <v>314529</v>
          </cell>
          <cell r="V1660">
            <v>0</v>
          </cell>
          <cell r="W1660">
            <v>0</v>
          </cell>
        </row>
        <row r="1661">
          <cell r="A1661" t="str">
            <v>453484</v>
          </cell>
          <cell r="B1661" t="str">
            <v>1251</v>
          </cell>
          <cell r="C1661" t="str">
            <v>12</v>
          </cell>
          <cell r="D1661" t="str">
            <v>80</v>
          </cell>
          <cell r="E1661">
            <v>1</v>
          </cell>
          <cell r="G1661">
            <v>140922</v>
          </cell>
          <cell r="H1661">
            <v>141484</v>
          </cell>
          <cell r="I1661">
            <v>140401</v>
          </cell>
          <cell r="J1661">
            <v>0</v>
          </cell>
          <cell r="K1661">
            <v>40129</v>
          </cell>
          <cell r="L1661">
            <v>43343</v>
          </cell>
          <cell r="M1661">
            <v>42935</v>
          </cell>
          <cell r="N1661">
            <v>0</v>
          </cell>
          <cell r="O1661">
            <v>2821</v>
          </cell>
          <cell r="P1661">
            <v>2821</v>
          </cell>
          <cell r="Q1661">
            <v>2763</v>
          </cell>
          <cell r="R1661">
            <v>0</v>
          </cell>
          <cell r="S1661">
            <v>183872</v>
          </cell>
          <cell r="T1661">
            <v>187648</v>
          </cell>
          <cell r="U1661">
            <v>186099</v>
          </cell>
          <cell r="V1661">
            <v>0</v>
          </cell>
          <cell r="W1661">
            <v>0</v>
          </cell>
        </row>
        <row r="1662">
          <cell r="A1662" t="str">
            <v>453484</v>
          </cell>
          <cell r="B1662" t="str">
            <v>1251</v>
          </cell>
          <cell r="C1662" t="str">
            <v>12</v>
          </cell>
          <cell r="D1662" t="str">
            <v>80</v>
          </cell>
          <cell r="E1662">
            <v>5</v>
          </cell>
          <cell r="G1662">
            <v>57660</v>
          </cell>
          <cell r="H1662">
            <v>58868</v>
          </cell>
          <cell r="I1662">
            <v>58084</v>
          </cell>
          <cell r="J1662">
            <v>0</v>
          </cell>
          <cell r="K1662">
            <v>1459</v>
          </cell>
          <cell r="L1662">
            <v>1459</v>
          </cell>
          <cell r="M1662">
            <v>1598</v>
          </cell>
          <cell r="N1662">
            <v>0</v>
          </cell>
          <cell r="O1662">
            <v>40096</v>
          </cell>
          <cell r="P1662">
            <v>61048</v>
          </cell>
          <cell r="Q1662">
            <v>60847</v>
          </cell>
          <cell r="R1662">
            <v>0</v>
          </cell>
          <cell r="S1662">
            <v>5008</v>
          </cell>
          <cell r="T1662">
            <v>7133</v>
          </cell>
          <cell r="U1662">
            <v>7019</v>
          </cell>
          <cell r="V1662">
            <v>0</v>
          </cell>
          <cell r="W1662">
            <v>0</v>
          </cell>
        </row>
        <row r="1663">
          <cell r="A1663" t="str">
            <v>453484</v>
          </cell>
          <cell r="B1663" t="str">
            <v>1251</v>
          </cell>
          <cell r="C1663" t="str">
            <v>12</v>
          </cell>
          <cell r="D1663" t="str">
            <v>80</v>
          </cell>
          <cell r="E1663">
            <v>9</v>
          </cell>
          <cell r="G1663">
            <v>0</v>
          </cell>
          <cell r="H1663">
            <v>346</v>
          </cell>
          <cell r="I1663">
            <v>346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</row>
        <row r="1664">
          <cell r="A1664" t="str">
            <v>453484</v>
          </cell>
          <cell r="B1664" t="str">
            <v>1251</v>
          </cell>
          <cell r="C1664" t="str">
            <v>12</v>
          </cell>
          <cell r="D1664" t="str">
            <v>80</v>
          </cell>
          <cell r="E1664">
            <v>13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</row>
        <row r="1665">
          <cell r="A1665" t="str">
            <v>453484</v>
          </cell>
          <cell r="B1665" t="str">
            <v>1251</v>
          </cell>
          <cell r="C1665" t="str">
            <v>12</v>
          </cell>
          <cell r="D1665" t="str">
            <v>80</v>
          </cell>
          <cell r="E1665">
            <v>17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</row>
        <row r="1666">
          <cell r="A1666" t="str">
            <v>453484</v>
          </cell>
          <cell r="B1666" t="str">
            <v>1251</v>
          </cell>
          <cell r="C1666" t="str">
            <v>12</v>
          </cell>
          <cell r="D1666" t="str">
            <v>80</v>
          </cell>
          <cell r="E1666">
            <v>21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</row>
        <row r="1667">
          <cell r="A1667" t="str">
            <v>453484</v>
          </cell>
          <cell r="B1667" t="str">
            <v>1251</v>
          </cell>
          <cell r="C1667" t="str">
            <v>12</v>
          </cell>
          <cell r="D1667" t="str">
            <v>80</v>
          </cell>
          <cell r="E1667">
            <v>25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</row>
        <row r="1668">
          <cell r="A1668" t="str">
            <v>453484</v>
          </cell>
          <cell r="B1668" t="str">
            <v>1251</v>
          </cell>
          <cell r="C1668" t="str">
            <v>12</v>
          </cell>
          <cell r="D1668" t="str">
            <v>80</v>
          </cell>
          <cell r="E1668">
            <v>29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</row>
        <row r="1669">
          <cell r="A1669" t="str">
            <v>453484</v>
          </cell>
          <cell r="B1669" t="str">
            <v>1251</v>
          </cell>
          <cell r="C1669" t="str">
            <v>12</v>
          </cell>
          <cell r="D1669" t="str">
            <v>80</v>
          </cell>
          <cell r="E1669">
            <v>33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1000</v>
          </cell>
          <cell r="L1669">
            <v>1000</v>
          </cell>
          <cell r="M1669">
            <v>536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1000</v>
          </cell>
          <cell r="T1669">
            <v>1000</v>
          </cell>
          <cell r="U1669">
            <v>536</v>
          </cell>
          <cell r="V1669">
            <v>0</v>
          </cell>
          <cell r="W1669">
            <v>0</v>
          </cell>
        </row>
        <row r="1670">
          <cell r="A1670" t="str">
            <v>453484</v>
          </cell>
          <cell r="B1670" t="str">
            <v>1251</v>
          </cell>
          <cell r="C1670" t="str">
            <v>12</v>
          </cell>
          <cell r="D1670" t="str">
            <v>80</v>
          </cell>
          <cell r="E1670">
            <v>37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289095</v>
          </cell>
          <cell r="L1670">
            <v>317502</v>
          </cell>
          <cell r="M1670">
            <v>314529</v>
          </cell>
          <cell r="N1670">
            <v>0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  <cell r="S1670">
            <v>0</v>
          </cell>
          <cell r="T1670">
            <v>1193</v>
          </cell>
          <cell r="U1670">
            <v>1193</v>
          </cell>
          <cell r="V1670">
            <v>0</v>
          </cell>
          <cell r="W1670">
            <v>0</v>
          </cell>
        </row>
        <row r="1671">
          <cell r="A1671" t="str">
            <v>453484</v>
          </cell>
          <cell r="B1671" t="str">
            <v>1251</v>
          </cell>
          <cell r="C1671" t="str">
            <v>12</v>
          </cell>
          <cell r="D1671" t="str">
            <v>80</v>
          </cell>
          <cell r="E1671">
            <v>41</v>
          </cell>
          <cell r="G1671">
            <v>0</v>
          </cell>
          <cell r="H1671">
            <v>239</v>
          </cell>
          <cell r="I1671">
            <v>239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</row>
        <row r="1672">
          <cell r="A1672" t="str">
            <v>453484</v>
          </cell>
          <cell r="B1672" t="str">
            <v>1251</v>
          </cell>
          <cell r="C1672" t="str">
            <v>12</v>
          </cell>
          <cell r="D1672" t="str">
            <v>80</v>
          </cell>
          <cell r="E1672">
            <v>45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</row>
        <row r="1673">
          <cell r="A1673" t="str">
            <v>453484</v>
          </cell>
          <cell r="B1673" t="str">
            <v>1251</v>
          </cell>
          <cell r="C1673" t="str">
            <v>12</v>
          </cell>
          <cell r="D1673" t="str">
            <v>80</v>
          </cell>
          <cell r="E1673">
            <v>49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</row>
        <row r="1674">
          <cell r="A1674" t="str">
            <v>453484</v>
          </cell>
          <cell r="B1674" t="str">
            <v>1251</v>
          </cell>
          <cell r="C1674" t="str">
            <v>12</v>
          </cell>
          <cell r="D1674" t="str">
            <v>80</v>
          </cell>
          <cell r="E1674">
            <v>53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</row>
        <row r="1675">
          <cell r="A1675" t="str">
            <v>453484</v>
          </cell>
          <cell r="B1675" t="str">
            <v>1251</v>
          </cell>
          <cell r="C1675" t="str">
            <v>12</v>
          </cell>
          <cell r="D1675" t="str">
            <v>80</v>
          </cell>
          <cell r="E1675">
            <v>57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</row>
        <row r="1676">
          <cell r="A1676" t="str">
            <v>453484</v>
          </cell>
          <cell r="B1676" t="str">
            <v>1251</v>
          </cell>
          <cell r="C1676" t="str">
            <v>12</v>
          </cell>
          <cell r="D1676" t="str">
            <v>80</v>
          </cell>
          <cell r="E1676">
            <v>61</v>
          </cell>
          <cell r="G1676">
            <v>0</v>
          </cell>
          <cell r="H1676">
            <v>1432</v>
          </cell>
          <cell r="I1676">
            <v>1432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</row>
        <row r="1677">
          <cell r="A1677" t="str">
            <v>453484</v>
          </cell>
          <cell r="B1677" t="str">
            <v>1251</v>
          </cell>
          <cell r="C1677" t="str">
            <v>12</v>
          </cell>
          <cell r="D1677" t="str">
            <v>80</v>
          </cell>
          <cell r="E1677">
            <v>65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289095</v>
          </cell>
          <cell r="P1677">
            <v>318934</v>
          </cell>
          <cell r="Q1677">
            <v>315961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</row>
        <row r="1678">
          <cell r="A1678" t="str">
            <v>453484</v>
          </cell>
          <cell r="B1678" t="str">
            <v>1251</v>
          </cell>
          <cell r="C1678" t="str">
            <v>12</v>
          </cell>
          <cell r="D1678" t="str">
            <v>80</v>
          </cell>
          <cell r="E1678">
            <v>69</v>
          </cell>
          <cell r="G1678">
            <v>6114</v>
          </cell>
          <cell r="H1678">
            <v>8694</v>
          </cell>
          <cell r="I1678">
            <v>8993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0</v>
          </cell>
          <cell r="V1678">
            <v>0</v>
          </cell>
          <cell r="W1678">
            <v>0</v>
          </cell>
        </row>
        <row r="1679">
          <cell r="A1679" t="str">
            <v>453484</v>
          </cell>
          <cell r="B1679" t="str">
            <v>1251</v>
          </cell>
          <cell r="C1679" t="str">
            <v>12</v>
          </cell>
          <cell r="D1679" t="str">
            <v>80</v>
          </cell>
          <cell r="E1679">
            <v>73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0</v>
          </cell>
          <cell r="V1679">
            <v>0</v>
          </cell>
          <cell r="W1679">
            <v>0</v>
          </cell>
        </row>
        <row r="1680">
          <cell r="A1680" t="str">
            <v>453484</v>
          </cell>
          <cell r="B1680" t="str">
            <v>1251</v>
          </cell>
          <cell r="C1680" t="str">
            <v>12</v>
          </cell>
          <cell r="D1680" t="str">
            <v>80</v>
          </cell>
          <cell r="E1680">
            <v>77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  <cell r="L1680">
            <v>0</v>
          </cell>
          <cell r="M1680">
            <v>0</v>
          </cell>
          <cell r="N1680">
            <v>0</v>
          </cell>
          <cell r="O1680">
            <v>0</v>
          </cell>
          <cell r="P1680">
            <v>0</v>
          </cell>
          <cell r="Q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</row>
        <row r="1681">
          <cell r="A1681" t="str">
            <v>453484</v>
          </cell>
          <cell r="B1681" t="str">
            <v>1251</v>
          </cell>
          <cell r="C1681" t="str">
            <v>12</v>
          </cell>
          <cell r="D1681" t="str">
            <v>80</v>
          </cell>
          <cell r="E1681">
            <v>81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</row>
        <row r="1682">
          <cell r="A1682" t="str">
            <v>453484</v>
          </cell>
          <cell r="B1682" t="str">
            <v>1251</v>
          </cell>
          <cell r="C1682" t="str">
            <v>12</v>
          </cell>
          <cell r="D1682" t="str">
            <v>80</v>
          </cell>
          <cell r="E1682">
            <v>85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</row>
        <row r="1683">
          <cell r="A1683" t="str">
            <v>453484</v>
          </cell>
          <cell r="B1683" t="str">
            <v>1251</v>
          </cell>
          <cell r="C1683" t="str">
            <v>12</v>
          </cell>
          <cell r="D1683" t="str">
            <v>80</v>
          </cell>
          <cell r="E1683">
            <v>89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</row>
        <row r="1684">
          <cell r="A1684" t="str">
            <v>453484</v>
          </cell>
          <cell r="B1684" t="str">
            <v>1251</v>
          </cell>
          <cell r="C1684" t="str">
            <v>12</v>
          </cell>
          <cell r="D1684" t="str">
            <v>80</v>
          </cell>
          <cell r="E1684">
            <v>93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200</v>
          </cell>
          <cell r="Q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0</v>
          </cell>
          <cell r="V1684">
            <v>0</v>
          </cell>
          <cell r="W1684">
            <v>0</v>
          </cell>
        </row>
        <row r="1685">
          <cell r="A1685" t="str">
            <v>453484</v>
          </cell>
          <cell r="B1685" t="str">
            <v>1251</v>
          </cell>
          <cell r="C1685" t="str">
            <v>12</v>
          </cell>
          <cell r="D1685" t="str">
            <v>80</v>
          </cell>
          <cell r="E1685">
            <v>97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200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200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V1685">
            <v>0</v>
          </cell>
          <cell r="W1685">
            <v>0</v>
          </cell>
        </row>
        <row r="1686">
          <cell r="A1686" t="str">
            <v>453484</v>
          </cell>
          <cell r="B1686" t="str">
            <v>1251</v>
          </cell>
          <cell r="C1686" t="str">
            <v>12</v>
          </cell>
          <cell r="D1686" t="str">
            <v>80</v>
          </cell>
          <cell r="E1686">
            <v>101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</row>
        <row r="1687">
          <cell r="A1687" t="str">
            <v>453484</v>
          </cell>
          <cell r="B1687" t="str">
            <v>1251</v>
          </cell>
          <cell r="C1687" t="str">
            <v>12</v>
          </cell>
          <cell r="D1687" t="str">
            <v>80</v>
          </cell>
          <cell r="E1687">
            <v>105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</row>
        <row r="1688">
          <cell r="A1688" t="str">
            <v>453484</v>
          </cell>
          <cell r="B1688" t="str">
            <v>1251</v>
          </cell>
          <cell r="C1688" t="str">
            <v>12</v>
          </cell>
          <cell r="D1688" t="str">
            <v>80</v>
          </cell>
          <cell r="E1688">
            <v>109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</row>
        <row r="1689">
          <cell r="A1689" t="str">
            <v>453484</v>
          </cell>
          <cell r="B1689" t="str">
            <v>1251</v>
          </cell>
          <cell r="C1689" t="str">
            <v>12</v>
          </cell>
          <cell r="D1689" t="str">
            <v>80</v>
          </cell>
          <cell r="E1689">
            <v>113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</row>
        <row r="1690">
          <cell r="A1690" t="str">
            <v>453484</v>
          </cell>
          <cell r="B1690" t="str">
            <v>1251</v>
          </cell>
          <cell r="C1690" t="str">
            <v>12</v>
          </cell>
          <cell r="D1690" t="str">
            <v>80</v>
          </cell>
          <cell r="E1690">
            <v>117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</row>
        <row r="1691">
          <cell r="A1691" t="str">
            <v>453484</v>
          </cell>
          <cell r="B1691" t="str">
            <v>1251</v>
          </cell>
          <cell r="C1691" t="str">
            <v>12</v>
          </cell>
          <cell r="D1691" t="str">
            <v>80</v>
          </cell>
          <cell r="E1691">
            <v>121</v>
          </cell>
          <cell r="G1691">
            <v>6114</v>
          </cell>
          <cell r="H1691">
            <v>8894</v>
          </cell>
          <cell r="I1691">
            <v>9193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282981</v>
          </cell>
          <cell r="P1691">
            <v>305550</v>
          </cell>
          <cell r="Q1691">
            <v>305162</v>
          </cell>
          <cell r="R1691">
            <v>0</v>
          </cell>
          <cell r="S1691">
            <v>0</v>
          </cell>
          <cell r="T1691">
            <v>4490</v>
          </cell>
          <cell r="U1691">
            <v>1606</v>
          </cell>
          <cell r="V1691">
            <v>0</v>
          </cell>
          <cell r="W1691">
            <v>0</v>
          </cell>
        </row>
        <row r="1692">
          <cell r="A1692" t="str">
            <v>453484</v>
          </cell>
          <cell r="B1692" t="str">
            <v>1251</v>
          </cell>
          <cell r="C1692" t="str">
            <v>12</v>
          </cell>
          <cell r="D1692" t="str">
            <v>80</v>
          </cell>
          <cell r="E1692">
            <v>125</v>
          </cell>
          <cell r="G1692">
            <v>0</v>
          </cell>
          <cell r="H1692">
            <v>4490</v>
          </cell>
          <cell r="I1692">
            <v>4490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</row>
        <row r="1693">
          <cell r="A1693" t="str">
            <v>453484</v>
          </cell>
          <cell r="B1693" t="str">
            <v>1251</v>
          </cell>
          <cell r="C1693" t="str">
            <v>12</v>
          </cell>
          <cell r="D1693" t="str">
            <v>80</v>
          </cell>
          <cell r="E1693">
            <v>129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</row>
        <row r="1694">
          <cell r="A1694" t="str">
            <v>453484</v>
          </cell>
          <cell r="B1694" t="str">
            <v>1251</v>
          </cell>
          <cell r="C1694" t="str">
            <v>12</v>
          </cell>
          <cell r="D1694" t="str">
            <v>80</v>
          </cell>
          <cell r="E1694">
            <v>133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-1964</v>
          </cell>
          <cell r="R1694">
            <v>0</v>
          </cell>
          <cell r="S1694">
            <v>0</v>
          </cell>
          <cell r="T1694">
            <v>0</v>
          </cell>
          <cell r="U1694">
            <v>-1964</v>
          </cell>
          <cell r="V1694">
            <v>0</v>
          </cell>
          <cell r="W1694">
            <v>0</v>
          </cell>
        </row>
        <row r="1695">
          <cell r="A1695" t="str">
            <v>453484</v>
          </cell>
          <cell r="B1695" t="str">
            <v>1251</v>
          </cell>
          <cell r="C1695" t="str">
            <v>12</v>
          </cell>
          <cell r="D1695" t="str">
            <v>80</v>
          </cell>
          <cell r="E1695">
            <v>137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</row>
        <row r="1696">
          <cell r="A1696" t="str">
            <v>453484</v>
          </cell>
          <cell r="B1696" t="str">
            <v>1251</v>
          </cell>
          <cell r="C1696" t="str">
            <v>12</v>
          </cell>
          <cell r="D1696" t="str">
            <v>80</v>
          </cell>
          <cell r="E1696">
            <v>141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</row>
        <row r="1697">
          <cell r="A1697" t="str">
            <v>453484</v>
          </cell>
          <cell r="B1697" t="str">
            <v>1251</v>
          </cell>
          <cell r="C1697" t="str">
            <v>12</v>
          </cell>
          <cell r="D1697" t="str">
            <v>80</v>
          </cell>
          <cell r="E1697">
            <v>145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-26</v>
          </cell>
          <cell r="N1697">
            <v>0</v>
          </cell>
          <cell r="O1697">
            <v>0</v>
          </cell>
          <cell r="P1697">
            <v>0</v>
          </cell>
          <cell r="Q1697">
            <v>-26</v>
          </cell>
          <cell r="R1697">
            <v>0</v>
          </cell>
          <cell r="S1697">
            <v>0</v>
          </cell>
          <cell r="T1697">
            <v>4490</v>
          </cell>
          <cell r="U1697">
            <v>6428</v>
          </cell>
          <cell r="V1697">
            <v>0</v>
          </cell>
          <cell r="W1697">
            <v>0</v>
          </cell>
        </row>
        <row r="1698">
          <cell r="A1698" t="str">
            <v>453484</v>
          </cell>
          <cell r="B1698" t="str">
            <v>1251</v>
          </cell>
          <cell r="C1698" t="str">
            <v>12</v>
          </cell>
          <cell r="D1698" t="str">
            <v>80</v>
          </cell>
          <cell r="E1698">
            <v>149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</row>
        <row r="1699">
          <cell r="A1699" t="str">
            <v>453484</v>
          </cell>
          <cell r="B1699" t="str">
            <v>1251</v>
          </cell>
          <cell r="C1699" t="str">
            <v>12</v>
          </cell>
          <cell r="D1699" t="str">
            <v>80</v>
          </cell>
          <cell r="E1699">
            <v>153</v>
          </cell>
          <cell r="G1699">
            <v>0</v>
          </cell>
          <cell r="H1699">
            <v>0</v>
          </cell>
          <cell r="I1699">
            <v>332</v>
          </cell>
          <cell r="J1699">
            <v>0</v>
          </cell>
          <cell r="K1699">
            <v>0</v>
          </cell>
          <cell r="L1699">
            <v>0</v>
          </cell>
          <cell r="M1699">
            <v>126</v>
          </cell>
          <cell r="N1699">
            <v>0</v>
          </cell>
          <cell r="O1699">
            <v>0</v>
          </cell>
          <cell r="P1699">
            <v>0</v>
          </cell>
          <cell r="Q1699">
            <v>458</v>
          </cell>
          <cell r="R1699">
            <v>0</v>
          </cell>
          <cell r="S1699">
            <v>76</v>
          </cell>
          <cell r="T1699">
            <v>76</v>
          </cell>
          <cell r="U1699">
            <v>76</v>
          </cell>
          <cell r="V1699">
            <v>0</v>
          </cell>
          <cell r="W1699">
            <v>0</v>
          </cell>
        </row>
        <row r="1700">
          <cell r="A1700" t="str">
            <v>453484</v>
          </cell>
          <cell r="B1700" t="str">
            <v>1251</v>
          </cell>
          <cell r="C1700" t="str">
            <v>12</v>
          </cell>
          <cell r="D1700" t="str">
            <v>80</v>
          </cell>
          <cell r="E1700">
            <v>157</v>
          </cell>
          <cell r="G1700">
            <v>0</v>
          </cell>
          <cell r="H1700">
            <v>0</v>
          </cell>
          <cell r="I1700">
            <v>76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0</v>
          </cell>
          <cell r="V1700">
            <v>0</v>
          </cell>
          <cell r="W1700">
            <v>0</v>
          </cell>
        </row>
        <row r="1701">
          <cell r="A1701" t="str">
            <v>450351</v>
          </cell>
          <cell r="B1701" t="str">
            <v>1251</v>
          </cell>
          <cell r="C1701" t="str">
            <v>12</v>
          </cell>
          <cell r="D1701" t="str">
            <v>01</v>
          </cell>
          <cell r="E1701">
            <v>1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7451</v>
          </cell>
          <cell r="L1701">
            <v>6031</v>
          </cell>
          <cell r="M1701">
            <v>14625</v>
          </cell>
          <cell r="N1701">
            <v>16920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  <cell r="S1701">
            <v>22076</v>
          </cell>
          <cell r="T1701">
            <v>22951</v>
          </cell>
          <cell r="U1701">
            <v>0</v>
          </cell>
          <cell r="V1701">
            <v>0</v>
          </cell>
          <cell r="W1701">
            <v>0</v>
          </cell>
        </row>
        <row r="1702">
          <cell r="A1702" t="str">
            <v>450351</v>
          </cell>
          <cell r="B1702" t="str">
            <v>1251</v>
          </cell>
          <cell r="C1702" t="str">
            <v>12</v>
          </cell>
          <cell r="D1702" t="str">
            <v>01</v>
          </cell>
          <cell r="E1702">
            <v>8</v>
          </cell>
          <cell r="G1702">
            <v>2553874</v>
          </cell>
          <cell r="H1702">
            <v>2496646</v>
          </cell>
          <cell r="I1702">
            <v>452829</v>
          </cell>
          <cell r="J1702">
            <v>403973</v>
          </cell>
          <cell r="K1702">
            <v>683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366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</row>
        <row r="1703">
          <cell r="A1703" t="str">
            <v>450351</v>
          </cell>
          <cell r="B1703" t="str">
            <v>1251</v>
          </cell>
          <cell r="C1703" t="str">
            <v>12</v>
          </cell>
          <cell r="D1703" t="str">
            <v>01</v>
          </cell>
          <cell r="E1703">
            <v>15</v>
          </cell>
          <cell r="G1703">
            <v>0</v>
          </cell>
          <cell r="H1703">
            <v>0</v>
          </cell>
          <cell r="I1703">
            <v>3007386</v>
          </cell>
          <cell r="J1703">
            <v>2900985</v>
          </cell>
          <cell r="K1703">
            <v>0</v>
          </cell>
          <cell r="L1703">
            <v>270</v>
          </cell>
          <cell r="M1703">
            <v>0</v>
          </cell>
          <cell r="N1703">
            <v>0</v>
          </cell>
          <cell r="O1703">
            <v>0</v>
          </cell>
          <cell r="P1703">
            <v>0</v>
          </cell>
          <cell r="Q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0</v>
          </cell>
          <cell r="V1703">
            <v>0</v>
          </cell>
          <cell r="W1703">
            <v>0</v>
          </cell>
        </row>
        <row r="1704">
          <cell r="A1704" t="str">
            <v>450351</v>
          </cell>
          <cell r="B1704" t="str">
            <v>1251</v>
          </cell>
          <cell r="C1704" t="str">
            <v>12</v>
          </cell>
          <cell r="D1704" t="str">
            <v>01</v>
          </cell>
          <cell r="E1704">
            <v>22</v>
          </cell>
          <cell r="G1704">
            <v>0</v>
          </cell>
          <cell r="H1704">
            <v>0</v>
          </cell>
          <cell r="I1704">
            <v>0</v>
          </cell>
          <cell r="J1704">
            <v>270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</row>
        <row r="1705">
          <cell r="A1705" t="str">
            <v>450351</v>
          </cell>
          <cell r="B1705" t="str">
            <v>1251</v>
          </cell>
          <cell r="C1705" t="str">
            <v>12</v>
          </cell>
          <cell r="D1705" t="str">
            <v>01</v>
          </cell>
          <cell r="E1705">
            <v>29</v>
          </cell>
          <cell r="G1705">
            <v>0</v>
          </cell>
          <cell r="H1705">
            <v>0</v>
          </cell>
          <cell r="I1705">
            <v>3029462</v>
          </cell>
          <cell r="J1705">
            <v>2924206</v>
          </cell>
          <cell r="K1705">
            <v>19004</v>
          </cell>
          <cell r="L1705">
            <v>15260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  <cell r="S1705">
            <v>14008</v>
          </cell>
          <cell r="T1705">
            <v>10417</v>
          </cell>
          <cell r="U1705">
            <v>0</v>
          </cell>
          <cell r="V1705">
            <v>0</v>
          </cell>
          <cell r="W1705">
            <v>0</v>
          </cell>
        </row>
        <row r="1706">
          <cell r="A1706" t="str">
            <v>450351</v>
          </cell>
          <cell r="B1706" t="str">
            <v>1251</v>
          </cell>
          <cell r="C1706" t="str">
            <v>12</v>
          </cell>
          <cell r="D1706" t="str">
            <v>01</v>
          </cell>
          <cell r="E1706">
            <v>36</v>
          </cell>
          <cell r="G1706">
            <v>0</v>
          </cell>
          <cell r="H1706">
            <v>0</v>
          </cell>
          <cell r="I1706">
            <v>33012</v>
          </cell>
          <cell r="J1706">
            <v>25677</v>
          </cell>
          <cell r="K1706">
            <v>4005</v>
          </cell>
          <cell r="L1706">
            <v>21916</v>
          </cell>
          <cell r="M1706">
            <v>2447</v>
          </cell>
          <cell r="N1706">
            <v>2898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0</v>
          </cell>
          <cell r="V1706">
            <v>0</v>
          </cell>
          <cell r="W1706">
            <v>0</v>
          </cell>
        </row>
        <row r="1707">
          <cell r="A1707" t="str">
            <v>450351</v>
          </cell>
          <cell r="B1707" t="str">
            <v>1251</v>
          </cell>
          <cell r="C1707" t="str">
            <v>12</v>
          </cell>
          <cell r="D1707" t="str">
            <v>01</v>
          </cell>
          <cell r="E1707">
            <v>43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6452</v>
          </cell>
          <cell r="P1707">
            <v>24814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</row>
        <row r="1708">
          <cell r="A1708" t="str">
            <v>450351</v>
          </cell>
          <cell r="B1708" t="str">
            <v>1251</v>
          </cell>
          <cell r="C1708" t="str">
            <v>12</v>
          </cell>
          <cell r="D1708" t="str">
            <v>01</v>
          </cell>
          <cell r="E1708">
            <v>50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13101</v>
          </cell>
          <cell r="L1708">
            <v>1009</v>
          </cell>
          <cell r="M1708">
            <v>0</v>
          </cell>
          <cell r="N1708">
            <v>0</v>
          </cell>
          <cell r="O1708">
            <v>1591</v>
          </cell>
          <cell r="P1708">
            <v>1273</v>
          </cell>
          <cell r="Q1708">
            <v>14692</v>
          </cell>
          <cell r="R1708">
            <v>2282</v>
          </cell>
          <cell r="S1708">
            <v>2</v>
          </cell>
          <cell r="T1708">
            <v>133</v>
          </cell>
          <cell r="U1708">
            <v>0</v>
          </cell>
          <cell r="V1708">
            <v>0</v>
          </cell>
          <cell r="W1708">
            <v>0</v>
          </cell>
        </row>
        <row r="1709">
          <cell r="A1709" t="str">
            <v>450351</v>
          </cell>
          <cell r="B1709" t="str">
            <v>1251</v>
          </cell>
          <cell r="C1709" t="str">
            <v>12</v>
          </cell>
          <cell r="D1709" t="str">
            <v>01</v>
          </cell>
          <cell r="E1709">
            <v>57</v>
          </cell>
          <cell r="G1709">
            <v>78156</v>
          </cell>
          <cell r="H1709">
            <v>81915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78158</v>
          </cell>
          <cell r="N1709">
            <v>82048</v>
          </cell>
          <cell r="O1709">
            <v>132314</v>
          </cell>
          <cell r="P1709">
            <v>134821</v>
          </cell>
          <cell r="Q1709">
            <v>3161776</v>
          </cell>
          <cell r="R1709">
            <v>3059027</v>
          </cell>
          <cell r="S1709">
            <v>314560</v>
          </cell>
          <cell r="T1709">
            <v>314560</v>
          </cell>
          <cell r="U1709">
            <v>0</v>
          </cell>
          <cell r="V1709">
            <v>0</v>
          </cell>
          <cell r="W1709">
            <v>0</v>
          </cell>
        </row>
        <row r="1710">
          <cell r="A1710" t="str">
            <v>450351</v>
          </cell>
          <cell r="B1710" t="str">
            <v>1251</v>
          </cell>
          <cell r="C1710" t="str">
            <v>12</v>
          </cell>
          <cell r="D1710" t="str">
            <v>01</v>
          </cell>
          <cell r="E1710">
            <v>64</v>
          </cell>
          <cell r="G1710">
            <v>2548466</v>
          </cell>
          <cell r="H1710">
            <v>2394671</v>
          </cell>
          <cell r="I1710">
            <v>0</v>
          </cell>
          <cell r="J1710">
            <v>0</v>
          </cell>
          <cell r="K1710">
            <v>2863026</v>
          </cell>
          <cell r="L1710">
            <v>2709231</v>
          </cell>
          <cell r="M1710">
            <v>212</v>
          </cell>
          <cell r="N1710">
            <v>-8939</v>
          </cell>
          <cell r="O1710">
            <v>212</v>
          </cell>
          <cell r="P1710">
            <v>-8939</v>
          </cell>
          <cell r="Q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</row>
        <row r="1711">
          <cell r="A1711" t="str">
            <v>450351</v>
          </cell>
          <cell r="B1711" t="str">
            <v>1251</v>
          </cell>
          <cell r="C1711" t="str">
            <v>12</v>
          </cell>
          <cell r="D1711" t="str">
            <v>01</v>
          </cell>
          <cell r="E1711">
            <v>71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212</v>
          </cell>
          <cell r="N1711">
            <v>-8939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</row>
        <row r="1712">
          <cell r="A1712" t="str">
            <v>450351</v>
          </cell>
          <cell r="B1712" t="str">
            <v>1251</v>
          </cell>
          <cell r="C1712" t="str">
            <v>12</v>
          </cell>
          <cell r="D1712" t="str">
            <v>01</v>
          </cell>
          <cell r="E1712">
            <v>78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212</v>
          </cell>
          <cell r="P1712">
            <v>-8939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</row>
        <row r="1713">
          <cell r="A1713" t="str">
            <v>450351</v>
          </cell>
          <cell r="B1713" t="str">
            <v>1251</v>
          </cell>
          <cell r="C1713" t="str">
            <v>12</v>
          </cell>
          <cell r="D1713" t="str">
            <v>01</v>
          </cell>
          <cell r="E1713">
            <v>85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14847</v>
          </cell>
          <cell r="N1713">
            <v>10159</v>
          </cell>
          <cell r="O1713">
            <v>14847</v>
          </cell>
          <cell r="P1713">
            <v>10159</v>
          </cell>
          <cell r="Q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</row>
        <row r="1714">
          <cell r="A1714" t="str">
            <v>450351</v>
          </cell>
          <cell r="B1714" t="str">
            <v>1251</v>
          </cell>
          <cell r="C1714" t="str">
            <v>12</v>
          </cell>
          <cell r="D1714" t="str">
            <v>01</v>
          </cell>
          <cell r="E1714">
            <v>92</v>
          </cell>
          <cell r="G1714">
            <v>191053</v>
          </cell>
          <cell r="H1714">
            <v>255307</v>
          </cell>
          <cell r="I1714">
            <v>80844</v>
          </cell>
          <cell r="J1714">
            <v>111511</v>
          </cell>
          <cell r="K1714">
            <v>110209</v>
          </cell>
          <cell r="L1714">
            <v>143796</v>
          </cell>
          <cell r="M1714">
            <v>0</v>
          </cell>
          <cell r="N1714">
            <v>0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</row>
        <row r="1715">
          <cell r="A1715" t="str">
            <v>450351</v>
          </cell>
          <cell r="B1715" t="str">
            <v>1251</v>
          </cell>
          <cell r="C1715" t="str">
            <v>12</v>
          </cell>
          <cell r="D1715" t="str">
            <v>01</v>
          </cell>
          <cell r="E1715">
            <v>99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</row>
        <row r="1716">
          <cell r="A1716" t="str">
            <v>450351</v>
          </cell>
          <cell r="B1716" t="str">
            <v>1251</v>
          </cell>
          <cell r="C1716" t="str">
            <v>12</v>
          </cell>
          <cell r="D1716" t="str">
            <v>01</v>
          </cell>
          <cell r="E1716">
            <v>106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</row>
        <row r="1717">
          <cell r="A1717" t="str">
            <v>450351</v>
          </cell>
          <cell r="B1717" t="str">
            <v>1251</v>
          </cell>
          <cell r="C1717" t="str">
            <v>12</v>
          </cell>
          <cell r="D1717" t="str">
            <v>01</v>
          </cell>
          <cell r="E1717">
            <v>113</v>
          </cell>
          <cell r="G1717">
            <v>191053</v>
          </cell>
          <cell r="H1717">
            <v>255307</v>
          </cell>
          <cell r="I1717">
            <v>0</v>
          </cell>
          <cell r="J1717">
            <v>0</v>
          </cell>
          <cell r="K1717">
            <v>91047</v>
          </cell>
          <cell r="L1717">
            <v>91996</v>
          </cell>
          <cell r="M1717">
            <v>0</v>
          </cell>
          <cell r="N1717">
            <v>0</v>
          </cell>
          <cell r="O1717">
            <v>1591</v>
          </cell>
          <cell r="P1717">
            <v>1273</v>
          </cell>
          <cell r="Q1717">
            <v>424</v>
          </cell>
          <cell r="R1717">
            <v>1273</v>
          </cell>
          <cell r="S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</row>
        <row r="1718">
          <cell r="A1718" t="str">
            <v>450351</v>
          </cell>
          <cell r="B1718" t="str">
            <v>1251</v>
          </cell>
          <cell r="C1718" t="str">
            <v>12</v>
          </cell>
          <cell r="D1718" t="str">
            <v>01</v>
          </cell>
          <cell r="E1718">
            <v>120</v>
          </cell>
          <cell r="G1718">
            <v>92638</v>
          </cell>
          <cell r="H1718">
            <v>93269</v>
          </cell>
          <cell r="I1718">
            <v>298538</v>
          </cell>
          <cell r="J1718">
            <v>358735</v>
          </cell>
          <cell r="K1718">
            <v>3161776</v>
          </cell>
          <cell r="L1718">
            <v>3059027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</row>
        <row r="1719">
          <cell r="A1719" t="str">
            <v>450351</v>
          </cell>
          <cell r="B1719" t="str">
            <v>1251</v>
          </cell>
          <cell r="C1719" t="str">
            <v>12</v>
          </cell>
          <cell r="D1719" t="str">
            <v>02</v>
          </cell>
          <cell r="E1719">
            <v>1</v>
          </cell>
          <cell r="G1719">
            <v>980500</v>
          </cell>
          <cell r="H1719">
            <v>970666</v>
          </cell>
          <cell r="I1719">
            <v>977672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121100</v>
          </cell>
          <cell r="Q1719">
            <v>124156</v>
          </cell>
          <cell r="R1719">
            <v>124156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</row>
        <row r="1720">
          <cell r="A1720" t="str">
            <v>450351</v>
          </cell>
          <cell r="B1720" t="str">
            <v>1251</v>
          </cell>
          <cell r="C1720" t="str">
            <v>12</v>
          </cell>
          <cell r="D1720" t="str">
            <v>02</v>
          </cell>
          <cell r="E1720">
            <v>6</v>
          </cell>
          <cell r="G1720">
            <v>0</v>
          </cell>
          <cell r="H1720">
            <v>0</v>
          </cell>
          <cell r="I1720">
            <v>0</v>
          </cell>
          <cell r="J1720">
            <v>1101600</v>
          </cell>
          <cell r="K1720">
            <v>1094822</v>
          </cell>
          <cell r="L1720">
            <v>1101828</v>
          </cell>
          <cell r="M1720">
            <v>43095</v>
          </cell>
          <cell r="N1720">
            <v>40380</v>
          </cell>
          <cell r="O1720">
            <v>40380</v>
          </cell>
          <cell r="P1720">
            <v>1144695</v>
          </cell>
          <cell r="Q1720">
            <v>1135202</v>
          </cell>
          <cell r="R1720">
            <v>1142208</v>
          </cell>
          <cell r="S1720">
            <v>0</v>
          </cell>
          <cell r="T1720">
            <v>7205</v>
          </cell>
          <cell r="U1720">
            <v>7205</v>
          </cell>
          <cell r="V1720">
            <v>0</v>
          </cell>
          <cell r="W1720">
            <v>0</v>
          </cell>
        </row>
        <row r="1721">
          <cell r="A1721" t="str">
            <v>450351</v>
          </cell>
          <cell r="B1721" t="str">
            <v>1251</v>
          </cell>
          <cell r="C1721" t="str">
            <v>12</v>
          </cell>
          <cell r="D1721" t="str">
            <v>02</v>
          </cell>
          <cell r="E1721">
            <v>11</v>
          </cell>
          <cell r="G1721">
            <v>0</v>
          </cell>
          <cell r="H1721">
            <v>10126</v>
          </cell>
          <cell r="I1721">
            <v>10126</v>
          </cell>
          <cell r="J1721">
            <v>134000</v>
          </cell>
          <cell r="K1721">
            <v>146751</v>
          </cell>
          <cell r="L1721">
            <v>146751</v>
          </cell>
          <cell r="M1721">
            <v>26484</v>
          </cell>
          <cell r="N1721">
            <v>35870</v>
          </cell>
          <cell r="O1721">
            <v>35870</v>
          </cell>
          <cell r="P1721">
            <v>160484</v>
          </cell>
          <cell r="Q1721">
            <v>199952</v>
          </cell>
          <cell r="R1721">
            <v>199952</v>
          </cell>
          <cell r="S1721">
            <v>4511</v>
          </cell>
          <cell r="T1721">
            <v>6603</v>
          </cell>
          <cell r="U1721">
            <v>6603</v>
          </cell>
          <cell r="V1721">
            <v>0</v>
          </cell>
          <cell r="W1721">
            <v>0</v>
          </cell>
        </row>
        <row r="1722">
          <cell r="A1722" t="str">
            <v>450351</v>
          </cell>
          <cell r="B1722" t="str">
            <v>1251</v>
          </cell>
          <cell r="C1722" t="str">
            <v>12</v>
          </cell>
          <cell r="D1722" t="str">
            <v>02</v>
          </cell>
          <cell r="E1722">
            <v>16</v>
          </cell>
          <cell r="G1722">
            <v>164995</v>
          </cell>
          <cell r="H1722">
            <v>206555</v>
          </cell>
          <cell r="I1722">
            <v>206555</v>
          </cell>
          <cell r="J1722">
            <v>12710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938</v>
          </cell>
          <cell r="P1722">
            <v>20000</v>
          </cell>
          <cell r="Q1722">
            <v>22182</v>
          </cell>
          <cell r="R1722">
            <v>22182</v>
          </cell>
          <cell r="S1722">
            <v>400</v>
          </cell>
          <cell r="T1722">
            <v>596</v>
          </cell>
          <cell r="U1722">
            <v>610</v>
          </cell>
          <cell r="V1722">
            <v>0</v>
          </cell>
          <cell r="W1722">
            <v>0</v>
          </cell>
        </row>
        <row r="1723">
          <cell r="A1723" t="str">
            <v>450351</v>
          </cell>
          <cell r="B1723" t="str">
            <v>1251</v>
          </cell>
          <cell r="C1723" t="str">
            <v>12</v>
          </cell>
          <cell r="D1723" t="str">
            <v>02</v>
          </cell>
          <cell r="E1723">
            <v>21</v>
          </cell>
          <cell r="G1723">
            <v>0</v>
          </cell>
          <cell r="H1723">
            <v>0</v>
          </cell>
          <cell r="I1723">
            <v>0</v>
          </cell>
          <cell r="J1723">
            <v>11100</v>
          </cell>
          <cell r="K1723">
            <v>12667</v>
          </cell>
          <cell r="L1723">
            <v>12667</v>
          </cell>
          <cell r="M1723">
            <v>31500</v>
          </cell>
          <cell r="N1723">
            <v>35445</v>
          </cell>
          <cell r="O1723">
            <v>36397</v>
          </cell>
          <cell r="P1723">
            <v>900</v>
          </cell>
          <cell r="Q1723">
            <v>394</v>
          </cell>
          <cell r="R1723">
            <v>394</v>
          </cell>
          <cell r="S1723">
            <v>32400</v>
          </cell>
          <cell r="T1723">
            <v>35839</v>
          </cell>
          <cell r="U1723">
            <v>36791</v>
          </cell>
          <cell r="V1723">
            <v>0</v>
          </cell>
          <cell r="W1723">
            <v>0</v>
          </cell>
        </row>
        <row r="1724">
          <cell r="A1724" t="str">
            <v>450351</v>
          </cell>
          <cell r="B1724" t="str">
            <v>1251</v>
          </cell>
          <cell r="C1724" t="str">
            <v>12</v>
          </cell>
          <cell r="D1724" t="str">
            <v>02</v>
          </cell>
          <cell r="E1724">
            <v>26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23000</v>
          </cell>
          <cell r="N1724">
            <v>22871</v>
          </cell>
          <cell r="O1724">
            <v>22871</v>
          </cell>
          <cell r="P1724">
            <v>9000</v>
          </cell>
          <cell r="Q1724">
            <v>9349</v>
          </cell>
          <cell r="R1724">
            <v>9349</v>
          </cell>
          <cell r="S1724">
            <v>1500</v>
          </cell>
          <cell r="T1724">
            <v>1684</v>
          </cell>
          <cell r="U1724">
            <v>1684</v>
          </cell>
          <cell r="V1724">
            <v>0</v>
          </cell>
          <cell r="W1724">
            <v>0</v>
          </cell>
        </row>
        <row r="1725">
          <cell r="A1725" t="str">
            <v>450351</v>
          </cell>
          <cell r="B1725" t="str">
            <v>1251</v>
          </cell>
          <cell r="C1725" t="str">
            <v>12</v>
          </cell>
          <cell r="D1725" t="str">
            <v>02</v>
          </cell>
          <cell r="E1725">
            <v>31</v>
          </cell>
          <cell r="G1725">
            <v>33500</v>
          </cell>
          <cell r="H1725">
            <v>33904</v>
          </cell>
          <cell r="I1725">
            <v>33904</v>
          </cell>
          <cell r="J1725">
            <v>100</v>
          </cell>
          <cell r="K1725">
            <v>155</v>
          </cell>
          <cell r="L1725">
            <v>155</v>
          </cell>
          <cell r="M1725">
            <v>33600</v>
          </cell>
          <cell r="N1725">
            <v>34059</v>
          </cell>
          <cell r="O1725">
            <v>34059</v>
          </cell>
          <cell r="P1725">
            <v>0</v>
          </cell>
          <cell r="Q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</row>
        <row r="1726">
          <cell r="A1726" t="str">
            <v>450351</v>
          </cell>
          <cell r="B1726" t="str">
            <v>1251</v>
          </cell>
          <cell r="C1726" t="str">
            <v>12</v>
          </cell>
          <cell r="D1726" t="str">
            <v>02</v>
          </cell>
          <cell r="E1726">
            <v>36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  <cell r="L1726">
            <v>0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  <cell r="Q1726">
            <v>0</v>
          </cell>
          <cell r="R1726">
            <v>0</v>
          </cell>
          <cell r="S1726">
            <v>225484</v>
          </cell>
          <cell r="T1726">
            <v>269301</v>
          </cell>
          <cell r="U1726">
            <v>270253</v>
          </cell>
          <cell r="V1726">
            <v>0</v>
          </cell>
          <cell r="W1726">
            <v>0</v>
          </cell>
        </row>
        <row r="1727">
          <cell r="A1727" t="str">
            <v>450351</v>
          </cell>
          <cell r="B1727" t="str">
            <v>1251</v>
          </cell>
          <cell r="C1727" t="str">
            <v>12</v>
          </cell>
          <cell r="D1727" t="str">
            <v>02</v>
          </cell>
          <cell r="E1727">
            <v>41</v>
          </cell>
          <cell r="G1727">
            <v>5511</v>
          </cell>
          <cell r="H1727">
            <v>7152</v>
          </cell>
          <cell r="I1727">
            <v>7152</v>
          </cell>
          <cell r="J1727">
            <v>243705</v>
          </cell>
          <cell r="K1727">
            <v>276453</v>
          </cell>
          <cell r="L1727">
            <v>277405</v>
          </cell>
          <cell r="M1727">
            <v>18600</v>
          </cell>
          <cell r="N1727">
            <v>27960</v>
          </cell>
          <cell r="O1727">
            <v>27960</v>
          </cell>
          <cell r="P1727">
            <v>0</v>
          </cell>
          <cell r="Q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</row>
        <row r="1728">
          <cell r="A1728" t="str">
            <v>450351</v>
          </cell>
          <cell r="B1728" t="str">
            <v>1251</v>
          </cell>
          <cell r="C1728" t="str">
            <v>12</v>
          </cell>
          <cell r="D1728" t="str">
            <v>02</v>
          </cell>
          <cell r="E1728">
            <v>46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0</v>
          </cell>
          <cell r="P1728">
            <v>18600</v>
          </cell>
          <cell r="Q1728">
            <v>27960</v>
          </cell>
          <cell r="R1728">
            <v>27960</v>
          </cell>
          <cell r="S1728">
            <v>1407000</v>
          </cell>
          <cell r="T1728">
            <v>1439615</v>
          </cell>
          <cell r="U1728">
            <v>1447573</v>
          </cell>
          <cell r="V1728">
            <v>0</v>
          </cell>
          <cell r="W1728">
            <v>0</v>
          </cell>
        </row>
        <row r="1729">
          <cell r="A1729" t="str">
            <v>450351</v>
          </cell>
          <cell r="B1729" t="str">
            <v>1251</v>
          </cell>
          <cell r="C1729" t="str">
            <v>12</v>
          </cell>
          <cell r="D1729" t="str">
            <v>02</v>
          </cell>
          <cell r="E1729">
            <v>51</v>
          </cell>
          <cell r="G1729">
            <v>397300</v>
          </cell>
          <cell r="H1729">
            <v>407842</v>
          </cell>
          <cell r="I1729">
            <v>408837</v>
          </cell>
          <cell r="J1729">
            <v>40700</v>
          </cell>
          <cell r="K1729">
            <v>41671</v>
          </cell>
          <cell r="L1729">
            <v>41671</v>
          </cell>
          <cell r="M1729">
            <v>16000</v>
          </cell>
          <cell r="N1729">
            <v>16977</v>
          </cell>
          <cell r="O1729">
            <v>16977</v>
          </cell>
          <cell r="P1729">
            <v>6000</v>
          </cell>
          <cell r="Q1729">
            <v>9385</v>
          </cell>
          <cell r="R1729">
            <v>9385</v>
          </cell>
          <cell r="S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</row>
        <row r="1730">
          <cell r="A1730" t="str">
            <v>450351</v>
          </cell>
          <cell r="B1730" t="str">
            <v>1251</v>
          </cell>
          <cell r="C1730" t="str">
            <v>12</v>
          </cell>
          <cell r="D1730" t="str">
            <v>02</v>
          </cell>
          <cell r="E1730">
            <v>56</v>
          </cell>
          <cell r="G1730">
            <v>0</v>
          </cell>
          <cell r="H1730">
            <v>0</v>
          </cell>
          <cell r="I1730">
            <v>0</v>
          </cell>
          <cell r="J1730">
            <v>460000</v>
          </cell>
          <cell r="K1730">
            <v>475875</v>
          </cell>
          <cell r="L1730">
            <v>476870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0</v>
          </cell>
          <cell r="V1730">
            <v>0</v>
          </cell>
          <cell r="W1730">
            <v>0</v>
          </cell>
        </row>
        <row r="1731">
          <cell r="A1731" t="str">
            <v>450351</v>
          </cell>
          <cell r="B1731" t="str">
            <v>1251</v>
          </cell>
          <cell r="C1731" t="str">
            <v>12</v>
          </cell>
          <cell r="D1731" t="str">
            <v>03</v>
          </cell>
          <cell r="E1731">
            <v>1</v>
          </cell>
          <cell r="G1731">
            <v>58800</v>
          </cell>
          <cell r="H1731">
            <v>54116</v>
          </cell>
          <cell r="I1731">
            <v>54116</v>
          </cell>
          <cell r="J1731">
            <v>188000</v>
          </cell>
          <cell r="K1731">
            <v>176989</v>
          </cell>
          <cell r="L1731">
            <v>176989</v>
          </cell>
          <cell r="M1731">
            <v>63000</v>
          </cell>
          <cell r="N1731">
            <v>57209</v>
          </cell>
          <cell r="O1731">
            <v>57209</v>
          </cell>
          <cell r="P1731">
            <v>6800</v>
          </cell>
          <cell r="Q1731">
            <v>7193</v>
          </cell>
          <cell r="R1731">
            <v>7193</v>
          </cell>
          <cell r="S1731">
            <v>250</v>
          </cell>
          <cell r="T1731">
            <v>197</v>
          </cell>
          <cell r="U1731">
            <v>197</v>
          </cell>
          <cell r="V1731">
            <v>0</v>
          </cell>
          <cell r="W1731">
            <v>0</v>
          </cell>
        </row>
        <row r="1732">
          <cell r="A1732" t="str">
            <v>450351</v>
          </cell>
          <cell r="B1732" t="str">
            <v>1251</v>
          </cell>
          <cell r="C1732" t="str">
            <v>12</v>
          </cell>
          <cell r="D1732" t="str">
            <v>03</v>
          </cell>
          <cell r="E1732">
            <v>6</v>
          </cell>
          <cell r="G1732">
            <v>1600</v>
          </cell>
          <cell r="H1732">
            <v>1437</v>
          </cell>
          <cell r="I1732">
            <v>1437</v>
          </cell>
          <cell r="J1732">
            <v>0</v>
          </cell>
          <cell r="K1732">
            <v>0</v>
          </cell>
          <cell r="L1732">
            <v>0</v>
          </cell>
          <cell r="M1732">
            <v>150</v>
          </cell>
          <cell r="N1732">
            <v>81</v>
          </cell>
          <cell r="O1732">
            <v>81</v>
          </cell>
          <cell r="P1732">
            <v>6100</v>
          </cell>
          <cell r="Q1732">
            <v>6008</v>
          </cell>
          <cell r="R1732">
            <v>6008</v>
          </cell>
          <cell r="S1732">
            <v>65000</v>
          </cell>
          <cell r="T1732">
            <v>65621</v>
          </cell>
          <cell r="U1732">
            <v>65621</v>
          </cell>
          <cell r="V1732">
            <v>0</v>
          </cell>
          <cell r="W1732">
            <v>0</v>
          </cell>
        </row>
        <row r="1733">
          <cell r="A1733" t="str">
            <v>450351</v>
          </cell>
          <cell r="B1733" t="str">
            <v>1251</v>
          </cell>
          <cell r="C1733" t="str">
            <v>12</v>
          </cell>
          <cell r="D1733" t="str">
            <v>03</v>
          </cell>
          <cell r="E1733">
            <v>11</v>
          </cell>
          <cell r="G1733">
            <v>500</v>
          </cell>
          <cell r="H1733">
            <v>1048</v>
          </cell>
          <cell r="I1733">
            <v>1048</v>
          </cell>
          <cell r="J1733">
            <v>3600</v>
          </cell>
          <cell r="K1733">
            <v>3173</v>
          </cell>
          <cell r="L1733">
            <v>3173</v>
          </cell>
          <cell r="M1733">
            <v>212900</v>
          </cell>
          <cell r="N1733">
            <v>258554</v>
          </cell>
          <cell r="O1733">
            <v>258554</v>
          </cell>
          <cell r="P1733">
            <v>606700</v>
          </cell>
          <cell r="Q1733">
            <v>631626</v>
          </cell>
          <cell r="R1733">
            <v>631626</v>
          </cell>
          <cell r="S1733">
            <v>6400</v>
          </cell>
          <cell r="T1733">
            <v>4695</v>
          </cell>
          <cell r="U1733">
            <v>4695</v>
          </cell>
          <cell r="V1733">
            <v>0</v>
          </cell>
          <cell r="W1733">
            <v>0</v>
          </cell>
        </row>
        <row r="1734">
          <cell r="A1734" t="str">
            <v>450351</v>
          </cell>
          <cell r="B1734" t="str">
            <v>1251</v>
          </cell>
          <cell r="C1734" t="str">
            <v>12</v>
          </cell>
          <cell r="D1734" t="str">
            <v>03</v>
          </cell>
          <cell r="E1734">
            <v>16</v>
          </cell>
          <cell r="G1734">
            <v>400</v>
          </cell>
          <cell r="H1734">
            <v>298</v>
          </cell>
          <cell r="I1734">
            <v>298</v>
          </cell>
          <cell r="J1734">
            <v>10000</v>
          </cell>
          <cell r="K1734">
            <v>10151</v>
          </cell>
          <cell r="L1734">
            <v>10151</v>
          </cell>
          <cell r="M1734">
            <v>16800</v>
          </cell>
          <cell r="N1734">
            <v>15144</v>
          </cell>
          <cell r="O1734">
            <v>15144</v>
          </cell>
          <cell r="P1734">
            <v>1000</v>
          </cell>
          <cell r="Q1734">
            <v>1177</v>
          </cell>
          <cell r="R1734">
            <v>1177</v>
          </cell>
          <cell r="S1734">
            <v>10935</v>
          </cell>
          <cell r="T1734">
            <v>7296</v>
          </cell>
          <cell r="U1734">
            <v>7296</v>
          </cell>
          <cell r="V1734">
            <v>0</v>
          </cell>
          <cell r="W1734">
            <v>0</v>
          </cell>
        </row>
        <row r="1735">
          <cell r="A1735" t="str">
            <v>450351</v>
          </cell>
          <cell r="B1735" t="str">
            <v>1251</v>
          </cell>
          <cell r="C1735" t="str">
            <v>12</v>
          </cell>
          <cell r="D1735" t="str">
            <v>03</v>
          </cell>
          <cell r="E1735">
            <v>21</v>
          </cell>
          <cell r="G1735">
            <v>0</v>
          </cell>
          <cell r="H1735">
            <v>0</v>
          </cell>
          <cell r="I1735">
            <v>0</v>
          </cell>
          <cell r="J1735">
            <v>150</v>
          </cell>
          <cell r="K1735">
            <v>172</v>
          </cell>
          <cell r="L1735">
            <v>172</v>
          </cell>
          <cell r="M1735">
            <v>115000</v>
          </cell>
          <cell r="N1735">
            <v>117398</v>
          </cell>
          <cell r="O1735">
            <v>117398</v>
          </cell>
          <cell r="P1735">
            <v>36000</v>
          </cell>
          <cell r="Q1735">
            <v>39798</v>
          </cell>
          <cell r="R1735">
            <v>39798</v>
          </cell>
          <cell r="S1735">
            <v>0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</row>
        <row r="1736">
          <cell r="A1736" t="str">
            <v>450351</v>
          </cell>
          <cell r="B1736" t="str">
            <v>1251</v>
          </cell>
          <cell r="C1736" t="str">
            <v>12</v>
          </cell>
          <cell r="D1736" t="str">
            <v>03</v>
          </cell>
          <cell r="E1736">
            <v>26</v>
          </cell>
          <cell r="G1736">
            <v>49000</v>
          </cell>
          <cell r="H1736">
            <v>36820</v>
          </cell>
          <cell r="I1736">
            <v>36820</v>
          </cell>
          <cell r="J1736">
            <v>69600</v>
          </cell>
          <cell r="K1736">
            <v>67206</v>
          </cell>
          <cell r="L1736">
            <v>67206</v>
          </cell>
          <cell r="M1736">
            <v>109335</v>
          </cell>
          <cell r="N1736">
            <v>107946</v>
          </cell>
          <cell r="O1736">
            <v>107946</v>
          </cell>
          <cell r="P1736">
            <v>0</v>
          </cell>
          <cell r="Q1736">
            <v>0</v>
          </cell>
          <cell r="R1736">
            <v>0</v>
          </cell>
          <cell r="S1736">
            <v>3000</v>
          </cell>
          <cell r="T1736">
            <v>5241</v>
          </cell>
          <cell r="U1736">
            <v>5241</v>
          </cell>
          <cell r="V1736">
            <v>0</v>
          </cell>
          <cell r="W1736">
            <v>0</v>
          </cell>
        </row>
        <row r="1737">
          <cell r="A1737" t="str">
            <v>450351</v>
          </cell>
          <cell r="B1737" t="str">
            <v>1251</v>
          </cell>
          <cell r="C1737" t="str">
            <v>12</v>
          </cell>
          <cell r="D1737" t="str">
            <v>03</v>
          </cell>
          <cell r="E1737">
            <v>31</v>
          </cell>
          <cell r="G1737">
            <v>394020</v>
          </cell>
          <cell r="H1737">
            <v>383054</v>
          </cell>
          <cell r="I1737">
            <v>383054</v>
          </cell>
          <cell r="J1737">
            <v>137800</v>
          </cell>
          <cell r="K1737">
            <v>133409</v>
          </cell>
          <cell r="L1737">
            <v>133409</v>
          </cell>
          <cell r="M1737">
            <v>137832</v>
          </cell>
          <cell r="N1737">
            <v>129544</v>
          </cell>
          <cell r="O1737">
            <v>129544</v>
          </cell>
          <cell r="P1737">
            <v>9000</v>
          </cell>
          <cell r="Q1737">
            <v>3754</v>
          </cell>
          <cell r="R1737">
            <v>3754</v>
          </cell>
          <cell r="S1737">
            <v>0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</row>
        <row r="1738">
          <cell r="A1738" t="str">
            <v>450351</v>
          </cell>
          <cell r="B1738" t="str">
            <v>1251</v>
          </cell>
          <cell r="C1738" t="str">
            <v>12</v>
          </cell>
          <cell r="D1738" t="str">
            <v>03</v>
          </cell>
          <cell r="E1738">
            <v>36</v>
          </cell>
          <cell r="G1738">
            <v>146832</v>
          </cell>
          <cell r="H1738">
            <v>133298</v>
          </cell>
          <cell r="I1738">
            <v>133298</v>
          </cell>
          <cell r="J1738">
            <v>500</v>
          </cell>
          <cell r="K1738">
            <v>639</v>
          </cell>
          <cell r="L1738">
            <v>625</v>
          </cell>
          <cell r="M1738">
            <v>0</v>
          </cell>
          <cell r="N1738">
            <v>0</v>
          </cell>
          <cell r="O1738">
            <v>0</v>
          </cell>
          <cell r="P1738">
            <v>40</v>
          </cell>
          <cell r="Q1738">
            <v>28</v>
          </cell>
          <cell r="R1738">
            <v>28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</row>
        <row r="1739">
          <cell r="A1739" t="str">
            <v>450351</v>
          </cell>
          <cell r="B1739" t="str">
            <v>1251</v>
          </cell>
          <cell r="C1739" t="str">
            <v>12</v>
          </cell>
          <cell r="D1739" t="str">
            <v>03</v>
          </cell>
          <cell r="E1739">
            <v>41</v>
          </cell>
          <cell r="G1739">
            <v>540</v>
          </cell>
          <cell r="H1739">
            <v>667</v>
          </cell>
          <cell r="I1739">
            <v>653</v>
          </cell>
          <cell r="J1739">
            <v>0</v>
          </cell>
          <cell r="K1739">
            <v>0</v>
          </cell>
          <cell r="L1739">
            <v>0</v>
          </cell>
          <cell r="M1739">
            <v>1040</v>
          </cell>
          <cell r="N1739">
            <v>1305</v>
          </cell>
          <cell r="O1739">
            <v>1305</v>
          </cell>
          <cell r="P1739">
            <v>1303732</v>
          </cell>
          <cell r="Q1739">
            <v>1298503</v>
          </cell>
          <cell r="R1739">
            <v>1298489</v>
          </cell>
          <cell r="S1739">
            <v>0</v>
          </cell>
          <cell r="T1739">
            <v>0</v>
          </cell>
          <cell r="U1739">
            <v>0</v>
          </cell>
          <cell r="V1739">
            <v>0</v>
          </cell>
          <cell r="W1739">
            <v>0</v>
          </cell>
        </row>
        <row r="1740">
          <cell r="A1740" t="str">
            <v>450351</v>
          </cell>
          <cell r="B1740" t="str">
            <v>1251</v>
          </cell>
          <cell r="C1740" t="str">
            <v>12</v>
          </cell>
          <cell r="D1740" t="str">
            <v>03</v>
          </cell>
          <cell r="E1740">
            <v>46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0</v>
          </cell>
          <cell r="V1740">
            <v>0</v>
          </cell>
          <cell r="W1740">
            <v>0</v>
          </cell>
        </row>
        <row r="1741">
          <cell r="A1741" t="str">
            <v>450351</v>
          </cell>
          <cell r="B1741" t="str">
            <v>1251</v>
          </cell>
          <cell r="C1741" t="str">
            <v>12</v>
          </cell>
          <cell r="D1741" t="str">
            <v>03</v>
          </cell>
          <cell r="E1741">
            <v>51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6</v>
          </cell>
          <cell r="O1741">
            <v>6</v>
          </cell>
          <cell r="P1741">
            <v>0</v>
          </cell>
          <cell r="Q1741">
            <v>0</v>
          </cell>
          <cell r="R1741">
            <v>0</v>
          </cell>
          <cell r="S1741">
            <v>10350</v>
          </cell>
          <cell r="T1741">
            <v>13089</v>
          </cell>
          <cell r="U1741">
            <v>13089</v>
          </cell>
          <cell r="V1741">
            <v>0</v>
          </cell>
          <cell r="W1741">
            <v>0</v>
          </cell>
        </row>
        <row r="1742">
          <cell r="A1742" t="str">
            <v>450351</v>
          </cell>
          <cell r="B1742" t="str">
            <v>1251</v>
          </cell>
          <cell r="C1742" t="str">
            <v>12</v>
          </cell>
          <cell r="D1742" t="str">
            <v>03</v>
          </cell>
          <cell r="E1742">
            <v>56</v>
          </cell>
          <cell r="G1742">
            <v>10350</v>
          </cell>
          <cell r="H1742">
            <v>13095</v>
          </cell>
          <cell r="I1742">
            <v>13095</v>
          </cell>
          <cell r="J1742">
            <v>780</v>
          </cell>
          <cell r="K1742">
            <v>2525</v>
          </cell>
          <cell r="L1742">
            <v>2525</v>
          </cell>
          <cell r="M1742">
            <v>0</v>
          </cell>
          <cell r="N1742">
            <v>0</v>
          </cell>
          <cell r="O1742">
            <v>0</v>
          </cell>
          <cell r="P1742">
            <v>780</v>
          </cell>
          <cell r="Q1742">
            <v>2525</v>
          </cell>
          <cell r="R1742">
            <v>2525</v>
          </cell>
          <cell r="S1742">
            <v>0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</row>
        <row r="1743">
          <cell r="A1743" t="str">
            <v>450351</v>
          </cell>
          <cell r="B1743" t="str">
            <v>1251</v>
          </cell>
          <cell r="C1743" t="str">
            <v>12</v>
          </cell>
          <cell r="D1743" t="str">
            <v>03</v>
          </cell>
          <cell r="E1743">
            <v>61</v>
          </cell>
          <cell r="G1743">
            <v>11130</v>
          </cell>
          <cell r="H1743">
            <v>15620</v>
          </cell>
          <cell r="I1743">
            <v>15620</v>
          </cell>
          <cell r="J1743">
            <v>1314862</v>
          </cell>
          <cell r="K1743">
            <v>1314123</v>
          </cell>
          <cell r="L1743">
            <v>1314109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</row>
        <row r="1744">
          <cell r="A1744" t="str">
            <v>450351</v>
          </cell>
          <cell r="B1744" t="str">
            <v>1251</v>
          </cell>
          <cell r="C1744" t="str">
            <v>12</v>
          </cell>
          <cell r="D1744" t="str">
            <v>04</v>
          </cell>
          <cell r="E1744">
            <v>1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0</v>
          </cell>
          <cell r="Q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0</v>
          </cell>
          <cell r="V1744">
            <v>0</v>
          </cell>
          <cell r="W1744">
            <v>0</v>
          </cell>
        </row>
        <row r="1745">
          <cell r="A1745" t="str">
            <v>450351</v>
          </cell>
          <cell r="B1745" t="str">
            <v>1251</v>
          </cell>
          <cell r="C1745" t="str">
            <v>12</v>
          </cell>
          <cell r="D1745" t="str">
            <v>04</v>
          </cell>
          <cell r="E1745">
            <v>6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0</v>
          </cell>
          <cell r="W1745">
            <v>0</v>
          </cell>
        </row>
        <row r="1746">
          <cell r="A1746" t="str">
            <v>450351</v>
          </cell>
          <cell r="B1746" t="str">
            <v>1251</v>
          </cell>
          <cell r="C1746" t="str">
            <v>12</v>
          </cell>
          <cell r="D1746" t="str">
            <v>04</v>
          </cell>
          <cell r="E1746">
            <v>11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</row>
        <row r="1747">
          <cell r="A1747" t="str">
            <v>450351</v>
          </cell>
          <cell r="B1747" t="str">
            <v>1251</v>
          </cell>
          <cell r="C1747" t="str">
            <v>12</v>
          </cell>
          <cell r="D1747" t="str">
            <v>04</v>
          </cell>
          <cell r="E1747">
            <v>16</v>
          </cell>
          <cell r="G1747">
            <v>0</v>
          </cell>
          <cell r="H1747">
            <v>700</v>
          </cell>
          <cell r="I1747">
            <v>700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700</v>
          </cell>
          <cell r="O1747">
            <v>700</v>
          </cell>
          <cell r="P1747">
            <v>0</v>
          </cell>
          <cell r="Q1747">
            <v>700</v>
          </cell>
          <cell r="R1747">
            <v>700</v>
          </cell>
          <cell r="S1747">
            <v>0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</row>
        <row r="1748">
          <cell r="A1748" t="str">
            <v>450351</v>
          </cell>
          <cell r="B1748" t="str">
            <v>1251</v>
          </cell>
          <cell r="C1748" t="str">
            <v>12</v>
          </cell>
          <cell r="D1748" t="str">
            <v>04</v>
          </cell>
          <cell r="E1748">
            <v>21</v>
          </cell>
          <cell r="G1748">
            <v>0</v>
          </cell>
          <cell r="H1748">
            <v>700</v>
          </cell>
          <cell r="I1748">
            <v>700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</row>
        <row r="1749">
          <cell r="A1749" t="str">
            <v>450351</v>
          </cell>
          <cell r="B1749" t="str">
            <v>1251</v>
          </cell>
          <cell r="C1749" t="str">
            <v>12</v>
          </cell>
          <cell r="D1749" t="str">
            <v>04</v>
          </cell>
          <cell r="E1749">
            <v>26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</row>
        <row r="1750">
          <cell r="A1750" t="str">
            <v>450351</v>
          </cell>
          <cell r="B1750" t="str">
            <v>1251</v>
          </cell>
          <cell r="C1750" t="str">
            <v>12</v>
          </cell>
          <cell r="D1750" t="str">
            <v>04</v>
          </cell>
          <cell r="E1750">
            <v>31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</row>
        <row r="1751">
          <cell r="A1751" t="str">
            <v>450351</v>
          </cell>
          <cell r="B1751" t="str">
            <v>1251</v>
          </cell>
          <cell r="C1751" t="str">
            <v>12</v>
          </cell>
          <cell r="D1751" t="str">
            <v>04</v>
          </cell>
          <cell r="E1751">
            <v>36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</row>
        <row r="1752">
          <cell r="A1752" t="str">
            <v>450351</v>
          </cell>
          <cell r="B1752" t="str">
            <v>1251</v>
          </cell>
          <cell r="C1752" t="str">
            <v>12</v>
          </cell>
          <cell r="D1752" t="str">
            <v>05</v>
          </cell>
          <cell r="E1752">
            <v>1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</row>
        <row r="1753">
          <cell r="A1753" t="str">
            <v>450351</v>
          </cell>
          <cell r="B1753" t="str">
            <v>1251</v>
          </cell>
          <cell r="C1753" t="str">
            <v>12</v>
          </cell>
          <cell r="D1753" t="str">
            <v>05</v>
          </cell>
          <cell r="E1753">
            <v>6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7614</v>
          </cell>
          <cell r="L1753">
            <v>7614</v>
          </cell>
          <cell r="M1753">
            <v>0</v>
          </cell>
          <cell r="N1753">
            <v>30</v>
          </cell>
          <cell r="O1753">
            <v>30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14282</v>
          </cell>
          <cell r="U1753">
            <v>14281</v>
          </cell>
          <cell r="V1753">
            <v>0</v>
          </cell>
          <cell r="W1753">
            <v>0</v>
          </cell>
        </row>
        <row r="1754">
          <cell r="A1754" t="str">
            <v>450351</v>
          </cell>
          <cell r="B1754" t="str">
            <v>1251</v>
          </cell>
          <cell r="C1754" t="str">
            <v>12</v>
          </cell>
          <cell r="D1754" t="str">
            <v>05</v>
          </cell>
          <cell r="E1754">
            <v>11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21926</v>
          </cell>
          <cell r="O1754">
            <v>21925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>
            <v>0</v>
          </cell>
          <cell r="W1754">
            <v>0</v>
          </cell>
        </row>
        <row r="1755">
          <cell r="A1755" t="str">
            <v>450351</v>
          </cell>
          <cell r="B1755" t="str">
            <v>1251</v>
          </cell>
          <cell r="C1755" t="str">
            <v>12</v>
          </cell>
          <cell r="D1755" t="str">
            <v>05</v>
          </cell>
          <cell r="E1755">
            <v>16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</row>
        <row r="1756">
          <cell r="A1756" t="str">
            <v>450351</v>
          </cell>
          <cell r="B1756" t="str">
            <v>1251</v>
          </cell>
          <cell r="C1756" t="str">
            <v>12</v>
          </cell>
          <cell r="D1756" t="str">
            <v>05</v>
          </cell>
          <cell r="E1756">
            <v>21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>
            <v>0</v>
          </cell>
          <cell r="W1756">
            <v>0</v>
          </cell>
        </row>
        <row r="1757">
          <cell r="A1757" t="str">
            <v>450351</v>
          </cell>
          <cell r="B1757" t="str">
            <v>1251</v>
          </cell>
          <cell r="C1757" t="str">
            <v>12</v>
          </cell>
          <cell r="D1757" t="str">
            <v>05</v>
          </cell>
          <cell r="E1757">
            <v>26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4498</v>
          </cell>
          <cell r="L1757">
            <v>4498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0</v>
          </cell>
          <cell r="W1757">
            <v>0</v>
          </cell>
        </row>
        <row r="1758">
          <cell r="A1758" t="str">
            <v>450351</v>
          </cell>
          <cell r="B1758" t="str">
            <v>1251</v>
          </cell>
          <cell r="C1758" t="str">
            <v>12</v>
          </cell>
          <cell r="D1758" t="str">
            <v>05</v>
          </cell>
          <cell r="E1758">
            <v>31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4498</v>
          </cell>
          <cell r="L1758">
            <v>4498</v>
          </cell>
          <cell r="M1758">
            <v>0</v>
          </cell>
          <cell r="N1758">
            <v>26424</v>
          </cell>
          <cell r="O1758">
            <v>26423</v>
          </cell>
          <cell r="P1758">
            <v>0</v>
          </cell>
          <cell r="Q1758">
            <v>270</v>
          </cell>
          <cell r="R1758">
            <v>270</v>
          </cell>
          <cell r="S1758">
            <v>0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</row>
        <row r="1759">
          <cell r="A1759" t="str">
            <v>450351</v>
          </cell>
          <cell r="B1759" t="str">
            <v>1251</v>
          </cell>
          <cell r="C1759" t="str">
            <v>12</v>
          </cell>
          <cell r="D1759" t="str">
            <v>05</v>
          </cell>
          <cell r="E1759">
            <v>36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270</v>
          </cell>
          <cell r="O1759">
            <v>270</v>
          </cell>
          <cell r="P1759">
            <v>0</v>
          </cell>
          <cell r="Q1759">
            <v>26694</v>
          </cell>
          <cell r="R1759">
            <v>26693</v>
          </cell>
          <cell r="S1759">
            <v>0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</row>
        <row r="1760">
          <cell r="A1760" t="str">
            <v>450351</v>
          </cell>
          <cell r="B1760" t="str">
            <v>1251</v>
          </cell>
          <cell r="C1760" t="str">
            <v>12</v>
          </cell>
          <cell r="D1760" t="str">
            <v>06</v>
          </cell>
          <cell r="E1760">
            <v>1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</row>
        <row r="1761">
          <cell r="A1761" t="str">
            <v>450351</v>
          </cell>
          <cell r="B1761" t="str">
            <v>1251</v>
          </cell>
          <cell r="C1761" t="str">
            <v>12</v>
          </cell>
          <cell r="D1761" t="str">
            <v>06</v>
          </cell>
          <cell r="E1761">
            <v>6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</row>
        <row r="1762">
          <cell r="A1762" t="str">
            <v>450351</v>
          </cell>
          <cell r="B1762" t="str">
            <v>1251</v>
          </cell>
          <cell r="C1762" t="str">
            <v>12</v>
          </cell>
          <cell r="D1762" t="str">
            <v>06</v>
          </cell>
          <cell r="E1762">
            <v>11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</row>
        <row r="1763">
          <cell r="A1763" t="str">
            <v>450351</v>
          </cell>
          <cell r="B1763" t="str">
            <v>1251</v>
          </cell>
          <cell r="C1763" t="str">
            <v>12</v>
          </cell>
          <cell r="D1763" t="str">
            <v>06</v>
          </cell>
          <cell r="E1763">
            <v>16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</row>
        <row r="1764">
          <cell r="A1764" t="str">
            <v>450351</v>
          </cell>
          <cell r="B1764" t="str">
            <v>1251</v>
          </cell>
          <cell r="C1764" t="str">
            <v>12</v>
          </cell>
          <cell r="D1764" t="str">
            <v>06</v>
          </cell>
          <cell r="E1764">
            <v>21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</row>
        <row r="1765">
          <cell r="A1765" t="str">
            <v>450351</v>
          </cell>
          <cell r="B1765" t="str">
            <v>1251</v>
          </cell>
          <cell r="C1765" t="str">
            <v>12</v>
          </cell>
          <cell r="D1765" t="str">
            <v>06</v>
          </cell>
          <cell r="E1765">
            <v>26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0</v>
          </cell>
          <cell r="V1765">
            <v>0</v>
          </cell>
          <cell r="W1765">
            <v>0</v>
          </cell>
        </row>
        <row r="1766">
          <cell r="A1766" t="str">
            <v>450351</v>
          </cell>
          <cell r="B1766" t="str">
            <v>1251</v>
          </cell>
          <cell r="C1766" t="str">
            <v>12</v>
          </cell>
          <cell r="D1766" t="str">
            <v>06</v>
          </cell>
          <cell r="E1766">
            <v>31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0</v>
          </cell>
          <cell r="V1766">
            <v>0</v>
          </cell>
          <cell r="W1766">
            <v>0</v>
          </cell>
        </row>
        <row r="1767">
          <cell r="A1767" t="str">
            <v>450351</v>
          </cell>
          <cell r="B1767" t="str">
            <v>1251</v>
          </cell>
          <cell r="C1767" t="str">
            <v>12</v>
          </cell>
          <cell r="D1767" t="str">
            <v>06</v>
          </cell>
          <cell r="E1767">
            <v>36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</row>
        <row r="1768">
          <cell r="A1768" t="str">
            <v>450351</v>
          </cell>
          <cell r="B1768" t="str">
            <v>1251</v>
          </cell>
          <cell r="C1768" t="str">
            <v>12</v>
          </cell>
          <cell r="D1768" t="str">
            <v>06</v>
          </cell>
          <cell r="E1768">
            <v>41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</row>
        <row r="1769">
          <cell r="A1769" t="str">
            <v>450351</v>
          </cell>
          <cell r="B1769" t="str">
            <v>1251</v>
          </cell>
          <cell r="C1769" t="str">
            <v>12</v>
          </cell>
          <cell r="D1769" t="str">
            <v>06</v>
          </cell>
          <cell r="E1769">
            <v>46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</row>
        <row r="1770">
          <cell r="A1770" t="str">
            <v>450351</v>
          </cell>
          <cell r="B1770" t="str">
            <v>1251</v>
          </cell>
          <cell r="C1770" t="str">
            <v>12</v>
          </cell>
          <cell r="D1770" t="str">
            <v>06</v>
          </cell>
          <cell r="E1770">
            <v>51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</row>
        <row r="1771">
          <cell r="A1771" t="str">
            <v>450351</v>
          </cell>
          <cell r="B1771" t="str">
            <v>1251</v>
          </cell>
          <cell r="C1771" t="str">
            <v>12</v>
          </cell>
          <cell r="D1771" t="str">
            <v>06</v>
          </cell>
          <cell r="E1771">
            <v>56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</row>
        <row r="1772">
          <cell r="A1772" t="str">
            <v>450351</v>
          </cell>
          <cell r="B1772" t="str">
            <v>1251</v>
          </cell>
          <cell r="C1772" t="str">
            <v>12</v>
          </cell>
          <cell r="D1772" t="str">
            <v>06</v>
          </cell>
          <cell r="E1772">
            <v>61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0</v>
          </cell>
          <cell r="Q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0</v>
          </cell>
          <cell r="V1772">
            <v>0</v>
          </cell>
          <cell r="W1772">
            <v>0</v>
          </cell>
        </row>
        <row r="1773">
          <cell r="A1773" t="str">
            <v>450351</v>
          </cell>
          <cell r="B1773" t="str">
            <v>1251</v>
          </cell>
          <cell r="C1773" t="str">
            <v>12</v>
          </cell>
          <cell r="D1773" t="str">
            <v>06</v>
          </cell>
          <cell r="E1773">
            <v>66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  <cell r="P1773">
            <v>0</v>
          </cell>
          <cell r="Q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0</v>
          </cell>
          <cell r="V1773">
            <v>0</v>
          </cell>
          <cell r="W1773">
            <v>0</v>
          </cell>
        </row>
        <row r="1774">
          <cell r="A1774" t="str">
            <v>450351</v>
          </cell>
          <cell r="B1774" t="str">
            <v>1251</v>
          </cell>
          <cell r="C1774" t="str">
            <v>12</v>
          </cell>
          <cell r="D1774" t="str">
            <v>06</v>
          </cell>
          <cell r="E1774">
            <v>71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0</v>
          </cell>
          <cell r="P1774">
            <v>0</v>
          </cell>
          <cell r="Q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0</v>
          </cell>
          <cell r="V1774">
            <v>0</v>
          </cell>
          <cell r="W1774">
            <v>0</v>
          </cell>
        </row>
        <row r="1775">
          <cell r="A1775" t="str">
            <v>450351</v>
          </cell>
          <cell r="B1775" t="str">
            <v>1251</v>
          </cell>
          <cell r="C1775" t="str">
            <v>12</v>
          </cell>
          <cell r="D1775" t="str">
            <v>06</v>
          </cell>
          <cell r="E1775">
            <v>76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0</v>
          </cell>
          <cell r="V1775">
            <v>0</v>
          </cell>
          <cell r="W1775">
            <v>0</v>
          </cell>
        </row>
        <row r="1776">
          <cell r="A1776" t="str">
            <v>450351</v>
          </cell>
          <cell r="B1776" t="str">
            <v>1251</v>
          </cell>
          <cell r="C1776" t="str">
            <v>12</v>
          </cell>
          <cell r="D1776" t="str">
            <v>06</v>
          </cell>
          <cell r="E1776">
            <v>81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0</v>
          </cell>
          <cell r="V1776">
            <v>0</v>
          </cell>
          <cell r="W1776">
            <v>0</v>
          </cell>
        </row>
        <row r="1777">
          <cell r="A1777" t="str">
            <v>450351</v>
          </cell>
          <cell r="B1777" t="str">
            <v>1251</v>
          </cell>
          <cell r="C1777" t="str">
            <v>12</v>
          </cell>
          <cell r="D1777" t="str">
            <v>06</v>
          </cell>
          <cell r="E1777">
            <v>86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</row>
        <row r="1778">
          <cell r="A1778" t="str">
            <v>450351</v>
          </cell>
          <cell r="B1778" t="str">
            <v>1251</v>
          </cell>
          <cell r="C1778" t="str">
            <v>12</v>
          </cell>
          <cell r="D1778" t="str">
            <v>06</v>
          </cell>
          <cell r="E1778">
            <v>91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  <cell r="P1778">
            <v>0</v>
          </cell>
          <cell r="Q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0</v>
          </cell>
          <cell r="V1778">
            <v>0</v>
          </cell>
          <cell r="W1778">
            <v>0</v>
          </cell>
        </row>
        <row r="1779">
          <cell r="A1779" t="str">
            <v>450351</v>
          </cell>
          <cell r="B1779" t="str">
            <v>1251</v>
          </cell>
          <cell r="C1779" t="str">
            <v>12</v>
          </cell>
          <cell r="D1779" t="str">
            <v>06</v>
          </cell>
          <cell r="E1779">
            <v>96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0</v>
          </cell>
          <cell r="V1779">
            <v>0</v>
          </cell>
          <cell r="W1779">
            <v>0</v>
          </cell>
        </row>
        <row r="1780">
          <cell r="A1780" t="str">
            <v>450351</v>
          </cell>
          <cell r="B1780" t="str">
            <v>1251</v>
          </cell>
          <cell r="C1780" t="str">
            <v>12</v>
          </cell>
          <cell r="D1780" t="str">
            <v>06</v>
          </cell>
          <cell r="E1780">
            <v>101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0</v>
          </cell>
          <cell r="P1780">
            <v>0</v>
          </cell>
          <cell r="Q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0</v>
          </cell>
          <cell r="V1780">
            <v>0</v>
          </cell>
          <cell r="W1780">
            <v>0</v>
          </cell>
        </row>
        <row r="1781">
          <cell r="A1781" t="str">
            <v>450351</v>
          </cell>
          <cell r="B1781" t="str">
            <v>1251</v>
          </cell>
          <cell r="C1781" t="str">
            <v>12</v>
          </cell>
          <cell r="D1781" t="str">
            <v>06</v>
          </cell>
          <cell r="E1781">
            <v>106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131</v>
          </cell>
          <cell r="M1781">
            <v>0</v>
          </cell>
          <cell r="N1781">
            <v>0</v>
          </cell>
          <cell r="O1781">
            <v>3759</v>
          </cell>
          <cell r="P1781">
            <v>0</v>
          </cell>
          <cell r="Q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3890</v>
          </cell>
          <cell r="V1781">
            <v>0</v>
          </cell>
          <cell r="W1781">
            <v>0</v>
          </cell>
        </row>
        <row r="1782">
          <cell r="A1782" t="str">
            <v>450351</v>
          </cell>
          <cell r="B1782" t="str">
            <v>1251</v>
          </cell>
          <cell r="C1782" t="str">
            <v>12</v>
          </cell>
          <cell r="D1782" t="str">
            <v>07</v>
          </cell>
          <cell r="E1782">
            <v>1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0</v>
          </cell>
          <cell r="V1782">
            <v>0</v>
          </cell>
          <cell r="W1782">
            <v>0</v>
          </cell>
        </row>
        <row r="1783">
          <cell r="A1783" t="str">
            <v>450351</v>
          </cell>
          <cell r="B1783" t="str">
            <v>1251</v>
          </cell>
          <cell r="C1783" t="str">
            <v>12</v>
          </cell>
          <cell r="D1783" t="str">
            <v>07</v>
          </cell>
          <cell r="E1783">
            <v>5</v>
          </cell>
          <cell r="G1783">
            <v>93100</v>
          </cell>
          <cell r="H1783">
            <v>101812</v>
          </cell>
          <cell r="I1783">
            <v>101811</v>
          </cell>
          <cell r="J1783">
            <v>0</v>
          </cell>
          <cell r="K1783">
            <v>47150</v>
          </cell>
          <cell r="L1783">
            <v>89467</v>
          </cell>
          <cell r="M1783">
            <v>89467</v>
          </cell>
          <cell r="N1783">
            <v>0</v>
          </cell>
          <cell r="O1783">
            <v>176000</v>
          </cell>
          <cell r="P1783">
            <v>189148</v>
          </cell>
          <cell r="Q1783">
            <v>189148</v>
          </cell>
          <cell r="R1783">
            <v>0</v>
          </cell>
          <cell r="S1783">
            <v>3000</v>
          </cell>
          <cell r="T1783">
            <v>5241</v>
          </cell>
          <cell r="U1783">
            <v>5241</v>
          </cell>
          <cell r="V1783">
            <v>0</v>
          </cell>
          <cell r="W1783">
            <v>0</v>
          </cell>
        </row>
        <row r="1784">
          <cell r="A1784" t="str">
            <v>450351</v>
          </cell>
          <cell r="B1784" t="str">
            <v>1251</v>
          </cell>
          <cell r="C1784" t="str">
            <v>12</v>
          </cell>
          <cell r="D1784" t="str">
            <v>07</v>
          </cell>
          <cell r="E1784">
            <v>9</v>
          </cell>
          <cell r="G1784">
            <v>9600</v>
          </cell>
          <cell r="H1784">
            <v>10612</v>
          </cell>
          <cell r="I1784">
            <v>10612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24141</v>
          </cell>
          <cell r="P1784">
            <v>25436</v>
          </cell>
          <cell r="Q1784">
            <v>25436</v>
          </cell>
          <cell r="R1784">
            <v>0</v>
          </cell>
          <cell r="S1784">
            <v>0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</row>
        <row r="1785">
          <cell r="A1785" t="str">
            <v>450351</v>
          </cell>
          <cell r="B1785" t="str">
            <v>1251</v>
          </cell>
          <cell r="C1785" t="str">
            <v>12</v>
          </cell>
          <cell r="D1785" t="str">
            <v>07</v>
          </cell>
          <cell r="E1785">
            <v>13</v>
          </cell>
          <cell r="G1785">
            <v>0</v>
          </cell>
          <cell r="H1785">
            <v>31</v>
          </cell>
          <cell r="I1785">
            <v>31</v>
          </cell>
          <cell r="J1785">
            <v>0</v>
          </cell>
          <cell r="K1785">
            <v>352991</v>
          </cell>
          <cell r="L1785">
            <v>421747</v>
          </cell>
          <cell r="M1785">
            <v>421746</v>
          </cell>
          <cell r="N1785">
            <v>0</v>
          </cell>
          <cell r="O1785">
            <v>0</v>
          </cell>
          <cell r="P1785">
            <v>0</v>
          </cell>
          <cell r="Q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</row>
        <row r="1786">
          <cell r="A1786" t="str">
            <v>450351</v>
          </cell>
          <cell r="B1786" t="str">
            <v>1251</v>
          </cell>
          <cell r="C1786" t="str">
            <v>12</v>
          </cell>
          <cell r="D1786" t="str">
            <v>07</v>
          </cell>
          <cell r="E1786">
            <v>17</v>
          </cell>
          <cell r="G1786">
            <v>10580</v>
          </cell>
          <cell r="H1786">
            <v>21793</v>
          </cell>
          <cell r="I1786">
            <v>21793</v>
          </cell>
          <cell r="J1786">
            <v>0</v>
          </cell>
          <cell r="K1786">
            <v>0</v>
          </cell>
          <cell r="L1786">
            <v>135</v>
          </cell>
          <cell r="M1786">
            <v>135</v>
          </cell>
          <cell r="N1786">
            <v>0</v>
          </cell>
          <cell r="O1786">
            <v>10580</v>
          </cell>
          <cell r="P1786">
            <v>21928</v>
          </cell>
          <cell r="Q1786">
            <v>21928</v>
          </cell>
          <cell r="R1786">
            <v>0</v>
          </cell>
          <cell r="S1786">
            <v>0</v>
          </cell>
          <cell r="T1786">
            <v>0</v>
          </cell>
          <cell r="U1786">
            <v>0</v>
          </cell>
          <cell r="V1786">
            <v>0</v>
          </cell>
          <cell r="W1786">
            <v>0</v>
          </cell>
        </row>
        <row r="1787">
          <cell r="A1787" t="str">
            <v>450351</v>
          </cell>
          <cell r="B1787" t="str">
            <v>1251</v>
          </cell>
          <cell r="C1787" t="str">
            <v>12</v>
          </cell>
          <cell r="D1787" t="str">
            <v>07</v>
          </cell>
          <cell r="E1787">
            <v>21</v>
          </cell>
          <cell r="G1787">
            <v>500</v>
          </cell>
          <cell r="H1787">
            <v>401</v>
          </cell>
          <cell r="I1787">
            <v>401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500</v>
          </cell>
          <cell r="P1787">
            <v>401</v>
          </cell>
          <cell r="Q1787">
            <v>401</v>
          </cell>
          <cell r="R1787">
            <v>0</v>
          </cell>
          <cell r="S1787">
            <v>0</v>
          </cell>
          <cell r="T1787">
            <v>40</v>
          </cell>
          <cell r="U1787">
            <v>40</v>
          </cell>
          <cell r="V1787">
            <v>0</v>
          </cell>
          <cell r="W1787">
            <v>0</v>
          </cell>
        </row>
        <row r="1788">
          <cell r="A1788" t="str">
            <v>450351</v>
          </cell>
          <cell r="B1788" t="str">
            <v>1251</v>
          </cell>
          <cell r="C1788" t="str">
            <v>12</v>
          </cell>
          <cell r="D1788" t="str">
            <v>07</v>
          </cell>
          <cell r="E1788">
            <v>25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2086</v>
          </cell>
          <cell r="M1788">
            <v>2302</v>
          </cell>
          <cell r="N1788">
            <v>0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0</v>
          </cell>
          <cell r="V1788">
            <v>0</v>
          </cell>
          <cell r="W1788">
            <v>0</v>
          </cell>
        </row>
        <row r="1789">
          <cell r="A1789" t="str">
            <v>450351</v>
          </cell>
          <cell r="B1789" t="str">
            <v>1251</v>
          </cell>
          <cell r="C1789" t="str">
            <v>12</v>
          </cell>
          <cell r="D1789" t="str">
            <v>07</v>
          </cell>
          <cell r="E1789">
            <v>29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2126</v>
          </cell>
          <cell r="M1789">
            <v>2342</v>
          </cell>
          <cell r="N1789">
            <v>0</v>
          </cell>
          <cell r="O1789">
            <v>364071</v>
          </cell>
          <cell r="P1789">
            <v>446202</v>
          </cell>
          <cell r="Q1789">
            <v>446417</v>
          </cell>
          <cell r="R1789">
            <v>0</v>
          </cell>
          <cell r="S1789">
            <v>0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</row>
        <row r="1790">
          <cell r="A1790" t="str">
            <v>450351</v>
          </cell>
          <cell r="B1790" t="str">
            <v>1251</v>
          </cell>
          <cell r="C1790" t="str">
            <v>12</v>
          </cell>
          <cell r="D1790" t="str">
            <v>08</v>
          </cell>
          <cell r="E1790">
            <v>1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  <cell r="O1790">
            <v>0</v>
          </cell>
          <cell r="P1790">
            <v>0</v>
          </cell>
          <cell r="Q1790">
            <v>92</v>
          </cell>
          <cell r="R1790">
            <v>92</v>
          </cell>
          <cell r="S1790">
            <v>0</v>
          </cell>
          <cell r="T1790">
            <v>583</v>
          </cell>
          <cell r="U1790">
            <v>583</v>
          </cell>
          <cell r="V1790">
            <v>0</v>
          </cell>
          <cell r="W1790">
            <v>0</v>
          </cell>
        </row>
        <row r="1791">
          <cell r="A1791" t="str">
            <v>450351</v>
          </cell>
          <cell r="B1791" t="str">
            <v>1251</v>
          </cell>
          <cell r="C1791" t="str">
            <v>12</v>
          </cell>
          <cell r="D1791" t="str">
            <v>08</v>
          </cell>
          <cell r="E1791">
            <v>6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675</v>
          </cell>
          <cell r="R1791">
            <v>675</v>
          </cell>
          <cell r="S1791">
            <v>0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</row>
        <row r="1792">
          <cell r="A1792" t="str">
            <v>450351</v>
          </cell>
          <cell r="B1792" t="str">
            <v>1251</v>
          </cell>
          <cell r="C1792" t="str">
            <v>12</v>
          </cell>
          <cell r="D1792" t="str">
            <v>08</v>
          </cell>
          <cell r="E1792">
            <v>11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</row>
        <row r="1793">
          <cell r="A1793" t="str">
            <v>450351</v>
          </cell>
          <cell r="B1793" t="str">
            <v>1251</v>
          </cell>
          <cell r="C1793" t="str">
            <v>12</v>
          </cell>
          <cell r="D1793" t="str">
            <v>08</v>
          </cell>
          <cell r="E1793">
            <v>16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629</v>
          </cell>
          <cell r="O1793">
            <v>629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</row>
        <row r="1794">
          <cell r="A1794" t="str">
            <v>450351</v>
          </cell>
          <cell r="B1794" t="str">
            <v>1251</v>
          </cell>
          <cell r="C1794" t="str">
            <v>12</v>
          </cell>
          <cell r="D1794" t="str">
            <v>08</v>
          </cell>
          <cell r="E1794">
            <v>21</v>
          </cell>
          <cell r="G1794">
            <v>0</v>
          </cell>
          <cell r="H1794">
            <v>629</v>
          </cell>
          <cell r="I1794">
            <v>629</v>
          </cell>
          <cell r="J1794">
            <v>0</v>
          </cell>
          <cell r="K1794">
            <v>1304</v>
          </cell>
          <cell r="L1794">
            <v>1304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V1794">
            <v>0</v>
          </cell>
          <cell r="W1794">
            <v>0</v>
          </cell>
        </row>
        <row r="1795">
          <cell r="A1795" t="str">
            <v>450351</v>
          </cell>
          <cell r="B1795" t="str">
            <v>1251</v>
          </cell>
          <cell r="C1795" t="str">
            <v>12</v>
          </cell>
          <cell r="D1795" t="str">
            <v>09</v>
          </cell>
          <cell r="E1795">
            <v>1</v>
          </cell>
          <cell r="G1795">
            <v>25000</v>
          </cell>
          <cell r="H1795">
            <v>7000</v>
          </cell>
          <cell r="I1795">
            <v>7000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25000</v>
          </cell>
          <cell r="T1795">
            <v>7000</v>
          </cell>
          <cell r="U1795">
            <v>7000</v>
          </cell>
          <cell r="V1795">
            <v>0</v>
          </cell>
          <cell r="W1795">
            <v>0</v>
          </cell>
        </row>
        <row r="1796">
          <cell r="A1796" t="str">
            <v>450351</v>
          </cell>
          <cell r="B1796" t="str">
            <v>1251</v>
          </cell>
          <cell r="C1796" t="str">
            <v>12</v>
          </cell>
          <cell r="D1796" t="str">
            <v>09</v>
          </cell>
          <cell r="E1796">
            <v>6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2792791</v>
          </cell>
          <cell r="Q1796">
            <v>2781577</v>
          </cell>
          <cell r="R1796">
            <v>2781577</v>
          </cell>
          <cell r="S1796">
            <v>0</v>
          </cell>
          <cell r="T1796">
            <v>0</v>
          </cell>
          <cell r="U1796">
            <v>0</v>
          </cell>
          <cell r="V1796">
            <v>0</v>
          </cell>
          <cell r="W1796">
            <v>0</v>
          </cell>
        </row>
        <row r="1797">
          <cell r="A1797" t="str">
            <v>450351</v>
          </cell>
          <cell r="B1797" t="str">
            <v>1251</v>
          </cell>
          <cell r="C1797" t="str">
            <v>12</v>
          </cell>
          <cell r="D1797" t="str">
            <v>09</v>
          </cell>
          <cell r="E1797">
            <v>11</v>
          </cell>
          <cell r="G1797">
            <v>0</v>
          </cell>
          <cell r="H1797">
            <v>16312</v>
          </cell>
          <cell r="I1797">
            <v>16096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0</v>
          </cell>
          <cell r="P1797">
            <v>2792791</v>
          </cell>
          <cell r="Q1797">
            <v>2797889</v>
          </cell>
          <cell r="R1797">
            <v>2797673</v>
          </cell>
          <cell r="S1797">
            <v>0</v>
          </cell>
          <cell r="T1797">
            <v>1100</v>
          </cell>
          <cell r="U1797">
            <v>1100</v>
          </cell>
          <cell r="V1797">
            <v>0</v>
          </cell>
          <cell r="W1797">
            <v>0</v>
          </cell>
        </row>
        <row r="1798">
          <cell r="A1798" t="str">
            <v>450351</v>
          </cell>
          <cell r="B1798" t="str">
            <v>1251</v>
          </cell>
          <cell r="C1798" t="str">
            <v>12</v>
          </cell>
          <cell r="D1798" t="str">
            <v>09</v>
          </cell>
          <cell r="E1798">
            <v>16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3300</v>
          </cell>
          <cell r="R1798">
            <v>3300</v>
          </cell>
          <cell r="S1798">
            <v>0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</row>
        <row r="1799">
          <cell r="A1799" t="str">
            <v>450351</v>
          </cell>
          <cell r="B1799" t="str">
            <v>1251</v>
          </cell>
          <cell r="C1799" t="str">
            <v>12</v>
          </cell>
          <cell r="D1799" t="str">
            <v>09</v>
          </cell>
          <cell r="E1799">
            <v>21</v>
          </cell>
          <cell r="G1799">
            <v>0</v>
          </cell>
          <cell r="H1799">
            <v>4400</v>
          </cell>
          <cell r="I1799">
            <v>4400</v>
          </cell>
          <cell r="J1799">
            <v>2792791</v>
          </cell>
          <cell r="K1799">
            <v>2802289</v>
          </cell>
          <cell r="L1799">
            <v>2802073</v>
          </cell>
          <cell r="M1799">
            <v>0</v>
          </cell>
          <cell r="N1799">
            <v>0</v>
          </cell>
          <cell r="O1799">
            <v>0</v>
          </cell>
          <cell r="P1799">
            <v>0</v>
          </cell>
          <cell r="Q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</row>
        <row r="1800">
          <cell r="A1800" t="str">
            <v>450351</v>
          </cell>
          <cell r="B1800" t="str">
            <v>1251</v>
          </cell>
          <cell r="C1800" t="str">
            <v>12</v>
          </cell>
          <cell r="D1800" t="str">
            <v>09</v>
          </cell>
          <cell r="E1800">
            <v>26</v>
          </cell>
          <cell r="G1800">
            <v>0</v>
          </cell>
          <cell r="H1800">
            <v>0</v>
          </cell>
          <cell r="I1800">
            <v>0</v>
          </cell>
          <cell r="J1800">
            <v>2817791</v>
          </cell>
          <cell r="K1800">
            <v>2809289</v>
          </cell>
          <cell r="L1800">
            <v>2809073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0</v>
          </cell>
          <cell r="V1800">
            <v>0</v>
          </cell>
          <cell r="W1800">
            <v>0</v>
          </cell>
        </row>
        <row r="1801">
          <cell r="A1801" t="str">
            <v>450351</v>
          </cell>
          <cell r="B1801" t="str">
            <v>1251</v>
          </cell>
          <cell r="C1801" t="str">
            <v>12</v>
          </cell>
          <cell r="D1801" t="str">
            <v>10</v>
          </cell>
          <cell r="E1801">
            <v>1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0</v>
          </cell>
          <cell r="Q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0</v>
          </cell>
          <cell r="V1801">
            <v>0</v>
          </cell>
          <cell r="W1801">
            <v>0</v>
          </cell>
        </row>
        <row r="1802">
          <cell r="A1802" t="str">
            <v>450351</v>
          </cell>
          <cell r="B1802" t="str">
            <v>1251</v>
          </cell>
          <cell r="C1802" t="str">
            <v>12</v>
          </cell>
          <cell r="D1802" t="str">
            <v>10</v>
          </cell>
          <cell r="E1802">
            <v>6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0</v>
          </cell>
          <cell r="V1802">
            <v>0</v>
          </cell>
          <cell r="W1802">
            <v>0</v>
          </cell>
        </row>
        <row r="1803">
          <cell r="A1803" t="str">
            <v>450351</v>
          </cell>
          <cell r="B1803" t="str">
            <v>1251</v>
          </cell>
          <cell r="C1803" t="str">
            <v>12</v>
          </cell>
          <cell r="D1803" t="str">
            <v>10</v>
          </cell>
          <cell r="E1803">
            <v>11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>
            <v>0</v>
          </cell>
          <cell r="W1803">
            <v>0</v>
          </cell>
        </row>
        <row r="1804">
          <cell r="A1804" t="str">
            <v>450351</v>
          </cell>
          <cell r="B1804" t="str">
            <v>1251</v>
          </cell>
          <cell r="C1804" t="str">
            <v>12</v>
          </cell>
          <cell r="D1804" t="str">
            <v>10</v>
          </cell>
          <cell r="E1804">
            <v>16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0</v>
          </cell>
          <cell r="V1804">
            <v>0</v>
          </cell>
          <cell r="W1804">
            <v>0</v>
          </cell>
        </row>
        <row r="1805">
          <cell r="A1805" t="str">
            <v>450351</v>
          </cell>
          <cell r="B1805" t="str">
            <v>1251</v>
          </cell>
          <cell r="C1805" t="str">
            <v>12</v>
          </cell>
          <cell r="D1805" t="str">
            <v>10</v>
          </cell>
          <cell r="E1805">
            <v>21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0</v>
          </cell>
          <cell r="V1805">
            <v>0</v>
          </cell>
          <cell r="W1805">
            <v>0</v>
          </cell>
        </row>
        <row r="1806">
          <cell r="A1806" t="str">
            <v>450351</v>
          </cell>
          <cell r="B1806" t="str">
            <v>1251</v>
          </cell>
          <cell r="C1806" t="str">
            <v>12</v>
          </cell>
          <cell r="D1806" t="str">
            <v>10</v>
          </cell>
          <cell r="E1806">
            <v>26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0</v>
          </cell>
          <cell r="V1806">
            <v>0</v>
          </cell>
          <cell r="W1806">
            <v>0</v>
          </cell>
        </row>
        <row r="1807">
          <cell r="A1807" t="str">
            <v>450351</v>
          </cell>
          <cell r="B1807" t="str">
            <v>1251</v>
          </cell>
          <cell r="C1807" t="str">
            <v>12</v>
          </cell>
          <cell r="D1807" t="str">
            <v>10</v>
          </cell>
          <cell r="E1807">
            <v>31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0</v>
          </cell>
          <cell r="Q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0</v>
          </cell>
          <cell r="V1807">
            <v>0</v>
          </cell>
          <cell r="W1807">
            <v>0</v>
          </cell>
        </row>
        <row r="1808">
          <cell r="A1808" t="str">
            <v>450351</v>
          </cell>
          <cell r="B1808" t="str">
            <v>1251</v>
          </cell>
          <cell r="C1808" t="str">
            <v>12</v>
          </cell>
          <cell r="D1808" t="str">
            <v>10</v>
          </cell>
          <cell r="E1808">
            <v>36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0</v>
          </cell>
          <cell r="V1808">
            <v>0</v>
          </cell>
          <cell r="W1808">
            <v>0</v>
          </cell>
        </row>
        <row r="1809">
          <cell r="A1809" t="str">
            <v>450351</v>
          </cell>
          <cell r="B1809" t="str">
            <v>1251</v>
          </cell>
          <cell r="C1809" t="str">
            <v>12</v>
          </cell>
          <cell r="D1809" t="str">
            <v>10</v>
          </cell>
          <cell r="E1809">
            <v>41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0</v>
          </cell>
          <cell r="Q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0</v>
          </cell>
          <cell r="V1809">
            <v>0</v>
          </cell>
          <cell r="W1809">
            <v>0</v>
          </cell>
        </row>
        <row r="1810">
          <cell r="A1810" t="str">
            <v>450351</v>
          </cell>
          <cell r="B1810" t="str">
            <v>1251</v>
          </cell>
          <cell r="C1810" t="str">
            <v>12</v>
          </cell>
          <cell r="D1810" t="str">
            <v>10</v>
          </cell>
          <cell r="E1810">
            <v>46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>
            <v>0</v>
          </cell>
          <cell r="W1810">
            <v>0</v>
          </cell>
        </row>
        <row r="1811">
          <cell r="A1811" t="str">
            <v>450351</v>
          </cell>
          <cell r="B1811" t="str">
            <v>1251</v>
          </cell>
          <cell r="C1811" t="str">
            <v>12</v>
          </cell>
          <cell r="D1811" t="str">
            <v>10</v>
          </cell>
          <cell r="E1811">
            <v>51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  <cell r="Q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0</v>
          </cell>
          <cell r="V1811">
            <v>0</v>
          </cell>
          <cell r="W1811">
            <v>0</v>
          </cell>
        </row>
        <row r="1812">
          <cell r="A1812" t="str">
            <v>450351</v>
          </cell>
          <cell r="B1812" t="str">
            <v>1251</v>
          </cell>
          <cell r="C1812" t="str">
            <v>12</v>
          </cell>
          <cell r="D1812" t="str">
            <v>10</v>
          </cell>
          <cell r="E1812">
            <v>56</v>
          </cell>
          <cell r="G1812">
            <v>0</v>
          </cell>
          <cell r="H1812">
            <v>212</v>
          </cell>
          <cell r="I1812">
            <v>212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212</v>
          </cell>
          <cell r="R1812">
            <v>212</v>
          </cell>
          <cell r="S1812">
            <v>0</v>
          </cell>
          <cell r="T1812">
            <v>0</v>
          </cell>
          <cell r="U1812">
            <v>0</v>
          </cell>
          <cell r="V1812">
            <v>0</v>
          </cell>
          <cell r="W1812">
            <v>0</v>
          </cell>
        </row>
        <row r="1813">
          <cell r="A1813" t="str">
            <v>450351</v>
          </cell>
          <cell r="B1813" t="str">
            <v>1251</v>
          </cell>
          <cell r="C1813" t="str">
            <v>12</v>
          </cell>
          <cell r="D1813" t="str">
            <v>10</v>
          </cell>
          <cell r="E1813">
            <v>61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0</v>
          </cell>
          <cell r="Q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0</v>
          </cell>
          <cell r="V1813">
            <v>0</v>
          </cell>
          <cell r="W1813">
            <v>0</v>
          </cell>
        </row>
        <row r="1814">
          <cell r="A1814" t="str">
            <v>450351</v>
          </cell>
          <cell r="B1814" t="str">
            <v>1251</v>
          </cell>
          <cell r="C1814" t="str">
            <v>12</v>
          </cell>
          <cell r="D1814" t="str">
            <v>10</v>
          </cell>
          <cell r="E1814">
            <v>66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0</v>
          </cell>
          <cell r="V1814">
            <v>0</v>
          </cell>
          <cell r="W1814">
            <v>0</v>
          </cell>
        </row>
        <row r="1815">
          <cell r="A1815" t="str">
            <v>450351</v>
          </cell>
          <cell r="B1815" t="str">
            <v>1251</v>
          </cell>
          <cell r="C1815" t="str">
            <v>12</v>
          </cell>
          <cell r="D1815" t="str">
            <v>10</v>
          </cell>
          <cell r="E1815">
            <v>71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0</v>
          </cell>
          <cell r="Q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0</v>
          </cell>
          <cell r="V1815">
            <v>0</v>
          </cell>
          <cell r="W1815">
            <v>0</v>
          </cell>
        </row>
        <row r="1816">
          <cell r="A1816" t="str">
            <v>450351</v>
          </cell>
          <cell r="B1816" t="str">
            <v>1251</v>
          </cell>
          <cell r="C1816" t="str">
            <v>12</v>
          </cell>
          <cell r="D1816" t="str">
            <v>10</v>
          </cell>
          <cell r="E1816">
            <v>76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0</v>
          </cell>
          <cell r="Q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0</v>
          </cell>
          <cell r="V1816">
            <v>0</v>
          </cell>
          <cell r="W1816">
            <v>0</v>
          </cell>
        </row>
        <row r="1817">
          <cell r="A1817" t="str">
            <v>450351</v>
          </cell>
          <cell r="B1817" t="str">
            <v>1251</v>
          </cell>
          <cell r="C1817" t="str">
            <v>12</v>
          </cell>
          <cell r="D1817" t="str">
            <v>10</v>
          </cell>
          <cell r="E1817">
            <v>81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0</v>
          </cell>
          <cell r="Q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0</v>
          </cell>
          <cell r="V1817">
            <v>0</v>
          </cell>
          <cell r="W1817">
            <v>0</v>
          </cell>
        </row>
        <row r="1818">
          <cell r="A1818" t="str">
            <v>450351</v>
          </cell>
          <cell r="B1818" t="str">
            <v>1251</v>
          </cell>
          <cell r="C1818" t="str">
            <v>12</v>
          </cell>
          <cell r="D1818" t="str">
            <v>10</v>
          </cell>
          <cell r="E1818">
            <v>86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0</v>
          </cell>
          <cell r="V1818">
            <v>0</v>
          </cell>
          <cell r="W1818">
            <v>0</v>
          </cell>
        </row>
        <row r="1819">
          <cell r="A1819" t="str">
            <v>450351</v>
          </cell>
          <cell r="B1819" t="str">
            <v>1251</v>
          </cell>
          <cell r="C1819" t="str">
            <v>12</v>
          </cell>
          <cell r="D1819" t="str">
            <v>10</v>
          </cell>
          <cell r="E1819">
            <v>91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0</v>
          </cell>
          <cell r="Q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0</v>
          </cell>
          <cell r="V1819">
            <v>0</v>
          </cell>
          <cell r="W1819">
            <v>0</v>
          </cell>
        </row>
        <row r="1820">
          <cell r="A1820" t="str">
            <v>450351</v>
          </cell>
          <cell r="B1820" t="str">
            <v>1251</v>
          </cell>
          <cell r="C1820" t="str">
            <v>12</v>
          </cell>
          <cell r="D1820" t="str">
            <v>10</v>
          </cell>
          <cell r="E1820">
            <v>96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0</v>
          </cell>
          <cell r="Q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</row>
        <row r="1821">
          <cell r="A1821" t="str">
            <v>450351</v>
          </cell>
          <cell r="B1821" t="str">
            <v>1251</v>
          </cell>
          <cell r="C1821" t="str">
            <v>12</v>
          </cell>
          <cell r="D1821" t="str">
            <v>10</v>
          </cell>
          <cell r="E1821">
            <v>101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0</v>
          </cell>
          <cell r="Q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0</v>
          </cell>
          <cell r="V1821">
            <v>0</v>
          </cell>
          <cell r="W1821">
            <v>0</v>
          </cell>
        </row>
        <row r="1822">
          <cell r="A1822" t="str">
            <v>450351</v>
          </cell>
          <cell r="B1822" t="str">
            <v>1251</v>
          </cell>
          <cell r="C1822" t="str">
            <v>12</v>
          </cell>
          <cell r="D1822" t="str">
            <v>10</v>
          </cell>
          <cell r="E1822">
            <v>106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0</v>
          </cell>
          <cell r="R1822">
            <v>949</v>
          </cell>
          <cell r="S1822">
            <v>0</v>
          </cell>
          <cell r="T1822">
            <v>0</v>
          </cell>
          <cell r="U1822">
            <v>0</v>
          </cell>
          <cell r="V1822">
            <v>0</v>
          </cell>
          <cell r="W1822">
            <v>0</v>
          </cell>
        </row>
        <row r="1823">
          <cell r="A1823" t="str">
            <v>450351</v>
          </cell>
          <cell r="B1823" t="str">
            <v>1251</v>
          </cell>
          <cell r="C1823" t="str">
            <v>12</v>
          </cell>
          <cell r="D1823" t="str">
            <v>10</v>
          </cell>
          <cell r="E1823">
            <v>111</v>
          </cell>
          <cell r="G1823">
            <v>0</v>
          </cell>
          <cell r="H1823">
            <v>0</v>
          </cell>
          <cell r="I1823">
            <v>949</v>
          </cell>
          <cell r="J1823">
            <v>0</v>
          </cell>
          <cell r="K1823">
            <v>212</v>
          </cell>
          <cell r="L1823">
            <v>1161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0</v>
          </cell>
          <cell r="V1823">
            <v>0</v>
          </cell>
          <cell r="W1823">
            <v>0</v>
          </cell>
        </row>
        <row r="1824">
          <cell r="A1824" t="str">
            <v>450351</v>
          </cell>
          <cell r="B1824" t="str">
            <v>1251</v>
          </cell>
          <cell r="C1824" t="str">
            <v>12</v>
          </cell>
          <cell r="D1824" t="str">
            <v>21</v>
          </cell>
          <cell r="E1824">
            <v>1</v>
          </cell>
          <cell r="G1824">
            <v>552411</v>
          </cell>
          <cell r="H1824">
            <v>5784</v>
          </cell>
          <cell r="I1824">
            <v>9874</v>
          </cell>
          <cell r="J1824">
            <v>0</v>
          </cell>
          <cell r="K1824">
            <v>15658</v>
          </cell>
          <cell r="L1824">
            <v>2109</v>
          </cell>
          <cell r="M1824">
            <v>15197</v>
          </cell>
          <cell r="N1824">
            <v>6</v>
          </cell>
          <cell r="O1824">
            <v>0</v>
          </cell>
          <cell r="P1824">
            <v>0</v>
          </cell>
          <cell r="Q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0</v>
          </cell>
          <cell r="V1824">
            <v>0</v>
          </cell>
          <cell r="W1824">
            <v>0</v>
          </cell>
        </row>
        <row r="1825">
          <cell r="A1825" t="str">
            <v>450351</v>
          </cell>
          <cell r="B1825" t="str">
            <v>1251</v>
          </cell>
          <cell r="C1825" t="str">
            <v>12</v>
          </cell>
          <cell r="D1825" t="str">
            <v>21</v>
          </cell>
          <cell r="E1825">
            <v>1</v>
          </cell>
          <cell r="G1825">
            <v>851121</v>
          </cell>
          <cell r="H1825">
            <v>697968</v>
          </cell>
          <cell r="I1825">
            <v>202326</v>
          </cell>
          <cell r="J1825">
            <v>13247</v>
          </cell>
          <cell r="K1825">
            <v>913541</v>
          </cell>
          <cell r="L1825">
            <v>302904</v>
          </cell>
          <cell r="M1825">
            <v>934372</v>
          </cell>
          <cell r="N1825">
            <v>9858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0</v>
          </cell>
          <cell r="V1825">
            <v>0</v>
          </cell>
          <cell r="W1825">
            <v>0</v>
          </cell>
        </row>
        <row r="1826">
          <cell r="A1826" t="str">
            <v>450351</v>
          </cell>
          <cell r="B1826" t="str">
            <v>1251</v>
          </cell>
          <cell r="C1826" t="str">
            <v>12</v>
          </cell>
          <cell r="D1826" t="str">
            <v>21</v>
          </cell>
          <cell r="E1826">
            <v>1</v>
          </cell>
          <cell r="G1826">
            <v>851143</v>
          </cell>
          <cell r="H1826">
            <v>152259</v>
          </cell>
          <cell r="I1826">
            <v>28643</v>
          </cell>
          <cell r="J1826">
            <v>486</v>
          </cell>
          <cell r="K1826">
            <v>181388</v>
          </cell>
          <cell r="L1826">
            <v>60914</v>
          </cell>
          <cell r="M1826">
            <v>118895</v>
          </cell>
          <cell r="N1826">
            <v>1781</v>
          </cell>
          <cell r="O1826">
            <v>0</v>
          </cell>
          <cell r="P1826">
            <v>0</v>
          </cell>
          <cell r="Q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0</v>
          </cell>
          <cell r="V1826">
            <v>0</v>
          </cell>
          <cell r="W1826">
            <v>0</v>
          </cell>
        </row>
        <row r="1827">
          <cell r="A1827" t="str">
            <v>450351</v>
          </cell>
          <cell r="B1827" t="str">
            <v>1251</v>
          </cell>
          <cell r="C1827" t="str">
            <v>12</v>
          </cell>
          <cell r="D1827" t="str">
            <v>21</v>
          </cell>
          <cell r="E1827">
            <v>1</v>
          </cell>
          <cell r="G1827">
            <v>851253</v>
          </cell>
          <cell r="H1827">
            <v>2092</v>
          </cell>
          <cell r="I1827">
            <v>171</v>
          </cell>
          <cell r="J1827">
            <v>448</v>
          </cell>
          <cell r="K1827">
            <v>2711</v>
          </cell>
          <cell r="L1827">
            <v>883</v>
          </cell>
          <cell r="M1827">
            <v>3737</v>
          </cell>
          <cell r="N1827">
            <v>25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</row>
        <row r="1828">
          <cell r="A1828" t="str">
            <v>450351</v>
          </cell>
          <cell r="B1828" t="str">
            <v>1251</v>
          </cell>
          <cell r="C1828" t="str">
            <v>12</v>
          </cell>
          <cell r="D1828" t="str">
            <v>21</v>
          </cell>
          <cell r="E1828">
            <v>1</v>
          </cell>
          <cell r="G1828">
            <v>851275</v>
          </cell>
          <cell r="H1828">
            <v>259715</v>
          </cell>
          <cell r="I1828">
            <v>28434</v>
          </cell>
          <cell r="J1828">
            <v>9317</v>
          </cell>
          <cell r="K1828">
            <v>297466</v>
          </cell>
          <cell r="L1828">
            <v>97829</v>
          </cell>
          <cell r="M1828">
            <v>202314</v>
          </cell>
          <cell r="N1828">
            <v>3010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</row>
        <row r="1829">
          <cell r="A1829" t="str">
            <v>450351</v>
          </cell>
          <cell r="B1829" t="str">
            <v>1251</v>
          </cell>
          <cell r="C1829" t="str">
            <v>12</v>
          </cell>
          <cell r="D1829" t="str">
            <v>21</v>
          </cell>
          <cell r="E1829">
            <v>1</v>
          </cell>
          <cell r="G1829">
            <v>851286</v>
          </cell>
          <cell r="H1829">
            <v>1534</v>
          </cell>
          <cell r="I1829">
            <v>298</v>
          </cell>
          <cell r="J1829">
            <v>3</v>
          </cell>
          <cell r="K1829">
            <v>1835</v>
          </cell>
          <cell r="L1829">
            <v>597</v>
          </cell>
          <cell r="M1829">
            <v>1847</v>
          </cell>
          <cell r="N1829">
            <v>30</v>
          </cell>
          <cell r="O1829">
            <v>0</v>
          </cell>
          <cell r="P1829">
            <v>0</v>
          </cell>
          <cell r="Q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</row>
        <row r="1830">
          <cell r="A1830" t="str">
            <v>450351</v>
          </cell>
          <cell r="B1830" t="str">
            <v>1251</v>
          </cell>
          <cell r="C1830" t="str">
            <v>12</v>
          </cell>
          <cell r="D1830" t="str">
            <v>21</v>
          </cell>
          <cell r="E1830">
            <v>1</v>
          </cell>
          <cell r="G1830">
            <v>851967</v>
          </cell>
          <cell r="H1830">
            <v>22856</v>
          </cell>
          <cell r="I1830">
            <v>7659</v>
          </cell>
          <cell r="J1830">
            <v>4459</v>
          </cell>
          <cell r="K1830">
            <v>34974</v>
          </cell>
          <cell r="L1830">
            <v>11634</v>
          </cell>
          <cell r="M1830">
            <v>22127</v>
          </cell>
          <cell r="N1830">
            <v>910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</row>
        <row r="1831">
          <cell r="A1831" t="str">
            <v>450351</v>
          </cell>
          <cell r="B1831" t="str">
            <v>1251</v>
          </cell>
          <cell r="C1831" t="str">
            <v>12</v>
          </cell>
          <cell r="D1831" t="str">
            <v>21</v>
          </cell>
          <cell r="E1831">
            <v>1</v>
          </cell>
          <cell r="G1831">
            <v>999999</v>
          </cell>
          <cell r="H1831">
            <v>1142208</v>
          </cell>
          <cell r="I1831">
            <v>277405</v>
          </cell>
          <cell r="J1831">
            <v>27960</v>
          </cell>
          <cell r="K1831">
            <v>1447573</v>
          </cell>
          <cell r="L1831">
            <v>476870</v>
          </cell>
          <cell r="M1831">
            <v>1298489</v>
          </cell>
          <cell r="N1831">
            <v>15620</v>
          </cell>
          <cell r="O1831">
            <v>0</v>
          </cell>
          <cell r="P1831">
            <v>0</v>
          </cell>
          <cell r="Q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</row>
        <row r="1832">
          <cell r="A1832" t="str">
            <v>450351</v>
          </cell>
          <cell r="B1832" t="str">
            <v>1251</v>
          </cell>
          <cell r="C1832" t="str">
            <v>12</v>
          </cell>
          <cell r="D1832" t="str">
            <v>21</v>
          </cell>
          <cell r="E1832">
            <v>17</v>
          </cell>
          <cell r="G1832">
            <v>552411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  <cell r="O1832">
            <v>0</v>
          </cell>
          <cell r="P1832">
            <v>0</v>
          </cell>
          <cell r="Q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</row>
        <row r="1833">
          <cell r="A1833" t="str">
            <v>450351</v>
          </cell>
          <cell r="B1833" t="str">
            <v>1251</v>
          </cell>
          <cell r="C1833" t="str">
            <v>12</v>
          </cell>
          <cell r="D1833" t="str">
            <v>21</v>
          </cell>
          <cell r="E1833">
            <v>17</v>
          </cell>
          <cell r="G1833">
            <v>851121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</row>
        <row r="1834">
          <cell r="A1834" t="str">
            <v>450351</v>
          </cell>
          <cell r="B1834" t="str">
            <v>1251</v>
          </cell>
          <cell r="C1834" t="str">
            <v>12</v>
          </cell>
          <cell r="D1834" t="str">
            <v>21</v>
          </cell>
          <cell r="E1834">
            <v>17</v>
          </cell>
          <cell r="G1834">
            <v>851143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  <cell r="N1834">
            <v>0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</row>
        <row r="1835">
          <cell r="A1835" t="str">
            <v>450351</v>
          </cell>
          <cell r="B1835" t="str">
            <v>1251</v>
          </cell>
          <cell r="C1835" t="str">
            <v>12</v>
          </cell>
          <cell r="D1835" t="str">
            <v>21</v>
          </cell>
          <cell r="E1835">
            <v>17</v>
          </cell>
          <cell r="G1835">
            <v>851253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</row>
        <row r="1836">
          <cell r="A1836" t="str">
            <v>450351</v>
          </cell>
          <cell r="B1836" t="str">
            <v>1251</v>
          </cell>
          <cell r="C1836" t="str">
            <v>12</v>
          </cell>
          <cell r="D1836" t="str">
            <v>21</v>
          </cell>
          <cell r="E1836">
            <v>17</v>
          </cell>
          <cell r="G1836">
            <v>851275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0</v>
          </cell>
          <cell r="V1836">
            <v>0</v>
          </cell>
          <cell r="W1836">
            <v>0</v>
          </cell>
        </row>
        <row r="1837">
          <cell r="A1837" t="str">
            <v>450351</v>
          </cell>
          <cell r="B1837" t="str">
            <v>1251</v>
          </cell>
          <cell r="C1837" t="str">
            <v>12</v>
          </cell>
          <cell r="D1837" t="str">
            <v>21</v>
          </cell>
          <cell r="E1837">
            <v>17</v>
          </cell>
          <cell r="G1837">
            <v>851286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0</v>
          </cell>
          <cell r="V1837">
            <v>0</v>
          </cell>
          <cell r="W1837">
            <v>0</v>
          </cell>
        </row>
        <row r="1838">
          <cell r="A1838" t="str">
            <v>450351</v>
          </cell>
          <cell r="B1838" t="str">
            <v>1251</v>
          </cell>
          <cell r="C1838" t="str">
            <v>12</v>
          </cell>
          <cell r="D1838" t="str">
            <v>21</v>
          </cell>
          <cell r="E1838">
            <v>17</v>
          </cell>
          <cell r="G1838">
            <v>851967</v>
          </cell>
          <cell r="H1838">
            <v>0</v>
          </cell>
          <cell r="I1838">
            <v>0</v>
          </cell>
          <cell r="J1838">
            <v>0</v>
          </cell>
          <cell r="K1838">
            <v>700</v>
          </cell>
          <cell r="L1838">
            <v>0</v>
          </cell>
          <cell r="M1838">
            <v>700</v>
          </cell>
          <cell r="N1838">
            <v>700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0</v>
          </cell>
          <cell r="V1838">
            <v>0</v>
          </cell>
          <cell r="W1838">
            <v>0</v>
          </cell>
        </row>
        <row r="1839">
          <cell r="A1839" t="str">
            <v>450351</v>
          </cell>
          <cell r="B1839" t="str">
            <v>1251</v>
          </cell>
          <cell r="C1839" t="str">
            <v>12</v>
          </cell>
          <cell r="D1839" t="str">
            <v>21</v>
          </cell>
          <cell r="E1839">
            <v>17</v>
          </cell>
          <cell r="G1839">
            <v>999999</v>
          </cell>
          <cell r="H1839">
            <v>0</v>
          </cell>
          <cell r="I1839">
            <v>0</v>
          </cell>
          <cell r="J1839">
            <v>0</v>
          </cell>
          <cell r="K1839">
            <v>700</v>
          </cell>
          <cell r="L1839">
            <v>0</v>
          </cell>
          <cell r="M1839">
            <v>700</v>
          </cell>
          <cell r="N1839">
            <v>700</v>
          </cell>
          <cell r="O1839">
            <v>0</v>
          </cell>
          <cell r="P1839">
            <v>0</v>
          </cell>
          <cell r="Q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</row>
        <row r="1840">
          <cell r="A1840" t="str">
            <v>450351</v>
          </cell>
          <cell r="B1840" t="str">
            <v>1251</v>
          </cell>
          <cell r="C1840" t="str">
            <v>12</v>
          </cell>
          <cell r="D1840" t="str">
            <v>21</v>
          </cell>
          <cell r="E1840">
            <v>33</v>
          </cell>
          <cell r="G1840">
            <v>552411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0</v>
          </cell>
          <cell r="V1840">
            <v>0</v>
          </cell>
          <cell r="W1840">
            <v>0</v>
          </cell>
        </row>
        <row r="1841">
          <cell r="A1841" t="str">
            <v>450351</v>
          </cell>
          <cell r="B1841" t="str">
            <v>1251</v>
          </cell>
          <cell r="C1841" t="str">
            <v>12</v>
          </cell>
          <cell r="D1841" t="str">
            <v>21</v>
          </cell>
          <cell r="E1841">
            <v>33</v>
          </cell>
          <cell r="G1841">
            <v>851121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</row>
        <row r="1842">
          <cell r="A1842" t="str">
            <v>450351</v>
          </cell>
          <cell r="B1842" t="str">
            <v>1251</v>
          </cell>
          <cell r="C1842" t="str">
            <v>12</v>
          </cell>
          <cell r="D1842" t="str">
            <v>21</v>
          </cell>
          <cell r="E1842">
            <v>33</v>
          </cell>
          <cell r="G1842">
            <v>851143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0</v>
          </cell>
          <cell r="V1842">
            <v>0</v>
          </cell>
          <cell r="W1842">
            <v>0</v>
          </cell>
        </row>
        <row r="1843">
          <cell r="A1843" t="str">
            <v>450351</v>
          </cell>
          <cell r="B1843" t="str">
            <v>1251</v>
          </cell>
          <cell r="C1843" t="str">
            <v>12</v>
          </cell>
          <cell r="D1843" t="str">
            <v>21</v>
          </cell>
          <cell r="E1843">
            <v>33</v>
          </cell>
          <cell r="G1843">
            <v>851253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0</v>
          </cell>
          <cell r="P1843">
            <v>0</v>
          </cell>
          <cell r="Q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0</v>
          </cell>
          <cell r="V1843">
            <v>0</v>
          </cell>
          <cell r="W1843">
            <v>0</v>
          </cell>
        </row>
        <row r="1844">
          <cell r="A1844" t="str">
            <v>450351</v>
          </cell>
          <cell r="B1844" t="str">
            <v>1251</v>
          </cell>
          <cell r="C1844" t="str">
            <v>12</v>
          </cell>
          <cell r="D1844" t="str">
            <v>21</v>
          </cell>
          <cell r="E1844">
            <v>33</v>
          </cell>
          <cell r="G1844">
            <v>851275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</row>
        <row r="1845">
          <cell r="A1845" t="str">
            <v>450351</v>
          </cell>
          <cell r="B1845" t="str">
            <v>1251</v>
          </cell>
          <cell r="C1845" t="str">
            <v>12</v>
          </cell>
          <cell r="D1845" t="str">
            <v>21</v>
          </cell>
          <cell r="E1845">
            <v>33</v>
          </cell>
          <cell r="G1845">
            <v>851286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</row>
        <row r="1846">
          <cell r="A1846" t="str">
            <v>450351</v>
          </cell>
          <cell r="B1846" t="str">
            <v>1251</v>
          </cell>
          <cell r="C1846" t="str">
            <v>12</v>
          </cell>
          <cell r="D1846" t="str">
            <v>21</v>
          </cell>
          <cell r="E1846">
            <v>33</v>
          </cell>
          <cell r="G1846">
            <v>851967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0</v>
          </cell>
          <cell r="V1846">
            <v>0</v>
          </cell>
          <cell r="W1846">
            <v>0</v>
          </cell>
        </row>
        <row r="1847">
          <cell r="A1847" t="str">
            <v>450351</v>
          </cell>
          <cell r="B1847" t="str">
            <v>1251</v>
          </cell>
          <cell r="C1847" t="str">
            <v>12</v>
          </cell>
          <cell r="D1847" t="str">
            <v>21</v>
          </cell>
          <cell r="E1847">
            <v>33</v>
          </cell>
          <cell r="G1847">
            <v>999999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</row>
        <row r="1848">
          <cell r="A1848" t="str">
            <v>450351</v>
          </cell>
          <cell r="B1848" t="str">
            <v>1251</v>
          </cell>
          <cell r="C1848" t="str">
            <v>12</v>
          </cell>
          <cell r="D1848" t="str">
            <v>21</v>
          </cell>
          <cell r="E1848">
            <v>49</v>
          </cell>
          <cell r="G1848">
            <v>552411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0</v>
          </cell>
          <cell r="V1848">
            <v>0</v>
          </cell>
          <cell r="W1848">
            <v>0</v>
          </cell>
        </row>
        <row r="1849">
          <cell r="A1849" t="str">
            <v>450351</v>
          </cell>
          <cell r="B1849" t="str">
            <v>1251</v>
          </cell>
          <cell r="C1849" t="str">
            <v>12</v>
          </cell>
          <cell r="D1849" t="str">
            <v>21</v>
          </cell>
          <cell r="E1849">
            <v>49</v>
          </cell>
          <cell r="G1849">
            <v>851121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>
            <v>0</v>
          </cell>
          <cell r="W1849">
            <v>21367</v>
          </cell>
        </row>
        <row r="1850">
          <cell r="A1850" t="str">
            <v>450351</v>
          </cell>
          <cell r="B1850" t="str">
            <v>1251</v>
          </cell>
          <cell r="C1850" t="str">
            <v>12</v>
          </cell>
          <cell r="D1850" t="str">
            <v>21</v>
          </cell>
          <cell r="E1850">
            <v>49</v>
          </cell>
          <cell r="G1850">
            <v>851143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0</v>
          </cell>
          <cell r="V1850">
            <v>0</v>
          </cell>
          <cell r="W1850">
            <v>30</v>
          </cell>
        </row>
        <row r="1851">
          <cell r="A1851" t="str">
            <v>450351</v>
          </cell>
          <cell r="B1851" t="str">
            <v>1251</v>
          </cell>
          <cell r="C1851" t="str">
            <v>12</v>
          </cell>
          <cell r="D1851" t="str">
            <v>21</v>
          </cell>
          <cell r="E1851">
            <v>49</v>
          </cell>
          <cell r="G1851">
            <v>851253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0</v>
          </cell>
          <cell r="V1851">
            <v>0</v>
          </cell>
          <cell r="W1851">
            <v>279</v>
          </cell>
        </row>
        <row r="1852">
          <cell r="A1852" t="str">
            <v>450351</v>
          </cell>
          <cell r="B1852" t="str">
            <v>1251</v>
          </cell>
          <cell r="C1852" t="str">
            <v>12</v>
          </cell>
          <cell r="D1852" t="str">
            <v>21</v>
          </cell>
          <cell r="E1852">
            <v>49</v>
          </cell>
          <cell r="G1852">
            <v>851275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0</v>
          </cell>
          <cell r="V1852">
            <v>0</v>
          </cell>
          <cell r="W1852">
            <v>249</v>
          </cell>
        </row>
        <row r="1853">
          <cell r="A1853" t="str">
            <v>450351</v>
          </cell>
          <cell r="B1853" t="str">
            <v>1251</v>
          </cell>
          <cell r="C1853" t="str">
            <v>12</v>
          </cell>
          <cell r="D1853" t="str">
            <v>21</v>
          </cell>
          <cell r="E1853">
            <v>49</v>
          </cell>
          <cell r="G1853">
            <v>851286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0</v>
          </cell>
          <cell r="V1853">
            <v>0</v>
          </cell>
          <cell r="W1853">
            <v>0</v>
          </cell>
        </row>
        <row r="1854">
          <cell r="A1854" t="str">
            <v>450351</v>
          </cell>
          <cell r="B1854" t="str">
            <v>1251</v>
          </cell>
          <cell r="C1854" t="str">
            <v>12</v>
          </cell>
          <cell r="D1854" t="str">
            <v>21</v>
          </cell>
          <cell r="E1854">
            <v>49</v>
          </cell>
          <cell r="G1854">
            <v>851967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0</v>
          </cell>
          <cell r="V1854">
            <v>0</v>
          </cell>
          <cell r="W1854">
            <v>0</v>
          </cell>
        </row>
        <row r="1855">
          <cell r="A1855" t="str">
            <v>450351</v>
          </cell>
          <cell r="B1855" t="str">
            <v>1251</v>
          </cell>
          <cell r="C1855" t="str">
            <v>12</v>
          </cell>
          <cell r="D1855" t="str">
            <v>21</v>
          </cell>
          <cell r="E1855">
            <v>49</v>
          </cell>
          <cell r="G1855">
            <v>999999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0</v>
          </cell>
          <cell r="V1855">
            <v>0</v>
          </cell>
          <cell r="W1855">
            <v>21925</v>
          </cell>
        </row>
        <row r="1856">
          <cell r="A1856" t="str">
            <v>450351</v>
          </cell>
          <cell r="B1856" t="str">
            <v>1251</v>
          </cell>
          <cell r="C1856" t="str">
            <v>12</v>
          </cell>
          <cell r="D1856" t="str">
            <v>21</v>
          </cell>
          <cell r="E1856">
            <v>65</v>
          </cell>
          <cell r="G1856">
            <v>552411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32970</v>
          </cell>
          <cell r="M1856">
            <v>0</v>
          </cell>
          <cell r="N1856">
            <v>32970</v>
          </cell>
          <cell r="O1856">
            <v>0</v>
          </cell>
          <cell r="P1856">
            <v>32970</v>
          </cell>
          <cell r="Q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0</v>
          </cell>
          <cell r="V1856">
            <v>0</v>
          </cell>
          <cell r="W1856">
            <v>0</v>
          </cell>
        </row>
        <row r="1857">
          <cell r="A1857" t="str">
            <v>450351</v>
          </cell>
          <cell r="B1857" t="str">
            <v>1251</v>
          </cell>
          <cell r="C1857" t="str">
            <v>12</v>
          </cell>
          <cell r="D1857" t="str">
            <v>21</v>
          </cell>
          <cell r="E1857">
            <v>65</v>
          </cell>
          <cell r="G1857">
            <v>851121</v>
          </cell>
          <cell r="H1857">
            <v>0</v>
          </cell>
          <cell r="I1857">
            <v>4386</v>
          </cell>
          <cell r="J1857">
            <v>270</v>
          </cell>
          <cell r="K1857">
            <v>0</v>
          </cell>
          <cell r="L1857">
            <v>2186698</v>
          </cell>
          <cell r="M1857">
            <v>0</v>
          </cell>
          <cell r="N1857">
            <v>2186698</v>
          </cell>
          <cell r="O1857">
            <v>0</v>
          </cell>
          <cell r="P1857">
            <v>2186698</v>
          </cell>
          <cell r="Q1857">
            <v>182</v>
          </cell>
          <cell r="R1857">
            <v>178</v>
          </cell>
          <cell r="S1857">
            <v>455</v>
          </cell>
          <cell r="T1857">
            <v>426</v>
          </cell>
          <cell r="U1857">
            <v>0</v>
          </cell>
          <cell r="V1857">
            <v>0</v>
          </cell>
          <cell r="W1857">
            <v>0</v>
          </cell>
        </row>
        <row r="1858">
          <cell r="A1858" t="str">
            <v>450351</v>
          </cell>
          <cell r="B1858" t="str">
            <v>1251</v>
          </cell>
          <cell r="C1858" t="str">
            <v>12</v>
          </cell>
          <cell r="D1858" t="str">
            <v>21</v>
          </cell>
          <cell r="E1858">
            <v>65</v>
          </cell>
          <cell r="G1858">
            <v>851143</v>
          </cell>
          <cell r="H1858">
            <v>0</v>
          </cell>
          <cell r="I1858">
            <v>6</v>
          </cell>
          <cell r="J1858">
            <v>0</v>
          </cell>
          <cell r="K1858">
            <v>0</v>
          </cell>
          <cell r="L1858">
            <v>363014</v>
          </cell>
          <cell r="M1858">
            <v>0</v>
          </cell>
          <cell r="N1858">
            <v>363014</v>
          </cell>
          <cell r="O1858">
            <v>0</v>
          </cell>
          <cell r="P1858">
            <v>363014</v>
          </cell>
          <cell r="Q1858">
            <v>8</v>
          </cell>
          <cell r="R1858">
            <v>5</v>
          </cell>
          <cell r="S1858">
            <v>93</v>
          </cell>
          <cell r="T1858">
            <v>81</v>
          </cell>
          <cell r="U1858">
            <v>0</v>
          </cell>
          <cell r="V1858">
            <v>0</v>
          </cell>
          <cell r="W1858">
            <v>0</v>
          </cell>
        </row>
        <row r="1859">
          <cell r="A1859" t="str">
            <v>450351</v>
          </cell>
          <cell r="B1859" t="str">
            <v>1251</v>
          </cell>
          <cell r="C1859" t="str">
            <v>12</v>
          </cell>
          <cell r="D1859" t="str">
            <v>21</v>
          </cell>
          <cell r="E1859">
            <v>65</v>
          </cell>
          <cell r="G1859">
            <v>851253</v>
          </cell>
          <cell r="H1859">
            <v>0</v>
          </cell>
          <cell r="I1859">
            <v>56</v>
          </cell>
          <cell r="J1859">
            <v>0</v>
          </cell>
          <cell r="K1859">
            <v>0</v>
          </cell>
          <cell r="L1859">
            <v>7691</v>
          </cell>
          <cell r="M1859">
            <v>0</v>
          </cell>
          <cell r="N1859">
            <v>7691</v>
          </cell>
          <cell r="O1859">
            <v>0</v>
          </cell>
          <cell r="P1859">
            <v>7691</v>
          </cell>
          <cell r="Q1859">
            <v>0</v>
          </cell>
          <cell r="R1859">
            <v>0</v>
          </cell>
          <cell r="S1859">
            <v>1</v>
          </cell>
          <cell r="T1859">
            <v>1</v>
          </cell>
          <cell r="U1859">
            <v>0</v>
          </cell>
          <cell r="V1859">
            <v>0</v>
          </cell>
          <cell r="W1859">
            <v>0</v>
          </cell>
        </row>
        <row r="1860">
          <cell r="A1860" t="str">
            <v>450351</v>
          </cell>
          <cell r="B1860" t="str">
            <v>1251</v>
          </cell>
          <cell r="C1860" t="str">
            <v>12</v>
          </cell>
          <cell r="D1860" t="str">
            <v>21</v>
          </cell>
          <cell r="E1860">
            <v>65</v>
          </cell>
          <cell r="G1860">
            <v>851275</v>
          </cell>
          <cell r="H1860">
            <v>0</v>
          </cell>
          <cell r="I1860">
            <v>50</v>
          </cell>
          <cell r="J1860">
            <v>0</v>
          </cell>
          <cell r="K1860">
            <v>0</v>
          </cell>
          <cell r="L1860">
            <v>600918</v>
          </cell>
          <cell r="M1860">
            <v>0</v>
          </cell>
          <cell r="N1860">
            <v>600918</v>
          </cell>
          <cell r="O1860">
            <v>0</v>
          </cell>
          <cell r="P1860">
            <v>600918</v>
          </cell>
          <cell r="Q1860">
            <v>7</v>
          </cell>
          <cell r="R1860">
            <v>6</v>
          </cell>
          <cell r="S1860">
            <v>51</v>
          </cell>
          <cell r="T1860">
            <v>42</v>
          </cell>
          <cell r="U1860">
            <v>0</v>
          </cell>
          <cell r="V1860">
            <v>0</v>
          </cell>
          <cell r="W1860">
            <v>0</v>
          </cell>
        </row>
        <row r="1861">
          <cell r="A1861" t="str">
            <v>450351</v>
          </cell>
          <cell r="B1861" t="str">
            <v>1251</v>
          </cell>
          <cell r="C1861" t="str">
            <v>12</v>
          </cell>
          <cell r="D1861" t="str">
            <v>21</v>
          </cell>
          <cell r="E1861">
            <v>65</v>
          </cell>
          <cell r="G1861">
            <v>851286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4309</v>
          </cell>
          <cell r="M1861">
            <v>0</v>
          </cell>
          <cell r="N1861">
            <v>4309</v>
          </cell>
          <cell r="O1861">
            <v>0</v>
          </cell>
          <cell r="P1861">
            <v>4309</v>
          </cell>
          <cell r="Q1861">
            <v>0</v>
          </cell>
          <cell r="R1861">
            <v>0</v>
          </cell>
          <cell r="S1861">
            <v>2</v>
          </cell>
          <cell r="T1861">
            <v>1</v>
          </cell>
          <cell r="U1861">
            <v>0</v>
          </cell>
          <cell r="V1861">
            <v>0</v>
          </cell>
          <cell r="W1861">
            <v>0</v>
          </cell>
        </row>
        <row r="1862">
          <cell r="A1862" t="str">
            <v>450351</v>
          </cell>
          <cell r="B1862" t="str">
            <v>1251</v>
          </cell>
          <cell r="C1862" t="str">
            <v>12</v>
          </cell>
          <cell r="D1862" t="str">
            <v>21</v>
          </cell>
          <cell r="E1862">
            <v>65</v>
          </cell>
          <cell r="G1862">
            <v>851967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70345</v>
          </cell>
          <cell r="M1862">
            <v>0</v>
          </cell>
          <cell r="N1862">
            <v>70345</v>
          </cell>
          <cell r="O1862">
            <v>0</v>
          </cell>
          <cell r="P1862">
            <v>70345</v>
          </cell>
          <cell r="Q1862">
            <v>6</v>
          </cell>
          <cell r="R1862">
            <v>6</v>
          </cell>
          <cell r="S1862">
            <v>7</v>
          </cell>
          <cell r="T1862">
            <v>7</v>
          </cell>
          <cell r="U1862">
            <v>0</v>
          </cell>
          <cell r="V1862">
            <v>0</v>
          </cell>
          <cell r="W1862">
            <v>0</v>
          </cell>
        </row>
        <row r="1863">
          <cell r="A1863" t="str">
            <v>450351</v>
          </cell>
          <cell r="B1863" t="str">
            <v>1251</v>
          </cell>
          <cell r="C1863" t="str">
            <v>12</v>
          </cell>
          <cell r="D1863" t="str">
            <v>21</v>
          </cell>
          <cell r="E1863">
            <v>65</v>
          </cell>
          <cell r="G1863">
            <v>999999</v>
          </cell>
          <cell r="H1863">
            <v>0</v>
          </cell>
          <cell r="I1863">
            <v>4498</v>
          </cell>
          <cell r="J1863">
            <v>270</v>
          </cell>
          <cell r="K1863">
            <v>0</v>
          </cell>
          <cell r="L1863">
            <v>3265945</v>
          </cell>
          <cell r="M1863">
            <v>0</v>
          </cell>
          <cell r="N1863">
            <v>3265945</v>
          </cell>
          <cell r="O1863">
            <v>0</v>
          </cell>
          <cell r="P1863">
            <v>3265945</v>
          </cell>
          <cell r="Q1863">
            <v>203</v>
          </cell>
          <cell r="R1863">
            <v>195</v>
          </cell>
          <cell r="S1863">
            <v>609</v>
          </cell>
          <cell r="T1863">
            <v>558</v>
          </cell>
          <cell r="U1863">
            <v>0</v>
          </cell>
          <cell r="V1863">
            <v>0</v>
          </cell>
          <cell r="W1863">
            <v>0</v>
          </cell>
        </row>
        <row r="1864">
          <cell r="A1864" t="str">
            <v>450351</v>
          </cell>
          <cell r="B1864" t="str">
            <v>1251</v>
          </cell>
          <cell r="C1864" t="str">
            <v>12</v>
          </cell>
          <cell r="D1864" t="str">
            <v>22</v>
          </cell>
          <cell r="E1864">
            <v>1</v>
          </cell>
          <cell r="G1864">
            <v>552411</v>
          </cell>
          <cell r="H1864">
            <v>0</v>
          </cell>
          <cell r="I1864">
            <v>23309</v>
          </cell>
          <cell r="J1864">
            <v>3899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>
            <v>0</v>
          </cell>
          <cell r="W1864">
            <v>0</v>
          </cell>
        </row>
        <row r="1865">
          <cell r="A1865" t="str">
            <v>450351</v>
          </cell>
          <cell r="B1865" t="str">
            <v>1251</v>
          </cell>
          <cell r="C1865" t="str">
            <v>12</v>
          </cell>
          <cell r="D1865" t="str">
            <v>22</v>
          </cell>
          <cell r="E1865">
            <v>1</v>
          </cell>
          <cell r="G1865">
            <v>701015</v>
          </cell>
          <cell r="H1865">
            <v>0</v>
          </cell>
          <cell r="I1865">
            <v>10612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>
            <v>0</v>
          </cell>
          <cell r="W1865">
            <v>0</v>
          </cell>
        </row>
        <row r="1866">
          <cell r="A1866" t="str">
            <v>450351</v>
          </cell>
          <cell r="B1866" t="str">
            <v>1251</v>
          </cell>
          <cell r="C1866" t="str">
            <v>12</v>
          </cell>
          <cell r="D1866" t="str">
            <v>22</v>
          </cell>
          <cell r="E1866">
            <v>1</v>
          </cell>
          <cell r="G1866">
            <v>751922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0</v>
          </cell>
          <cell r="V1866">
            <v>0</v>
          </cell>
          <cell r="W1866">
            <v>0</v>
          </cell>
        </row>
        <row r="1867">
          <cell r="A1867" t="str">
            <v>450351</v>
          </cell>
          <cell r="B1867" t="str">
            <v>1251</v>
          </cell>
          <cell r="C1867" t="str">
            <v>12</v>
          </cell>
          <cell r="D1867" t="str">
            <v>22</v>
          </cell>
          <cell r="E1867">
            <v>1</v>
          </cell>
          <cell r="G1867">
            <v>851121</v>
          </cell>
          <cell r="H1867">
            <v>0</v>
          </cell>
          <cell r="I1867">
            <v>334101</v>
          </cell>
          <cell r="J1867">
            <v>17758</v>
          </cell>
          <cell r="K1867">
            <v>401</v>
          </cell>
          <cell r="L1867">
            <v>0</v>
          </cell>
          <cell r="M1867">
            <v>0</v>
          </cell>
          <cell r="N1867">
            <v>1786256</v>
          </cell>
          <cell r="O1867">
            <v>0</v>
          </cell>
          <cell r="P1867">
            <v>8718</v>
          </cell>
          <cell r="Q1867">
            <v>0</v>
          </cell>
          <cell r="R1867">
            <v>1794974</v>
          </cell>
          <cell r="S1867">
            <v>0</v>
          </cell>
          <cell r="T1867">
            <v>40</v>
          </cell>
          <cell r="U1867">
            <v>0</v>
          </cell>
          <cell r="V1867">
            <v>1984</v>
          </cell>
          <cell r="W1867">
            <v>0</v>
          </cell>
        </row>
        <row r="1868">
          <cell r="A1868" t="str">
            <v>450351</v>
          </cell>
          <cell r="B1868" t="str">
            <v>1251</v>
          </cell>
          <cell r="C1868" t="str">
            <v>12</v>
          </cell>
          <cell r="D1868" t="str">
            <v>22</v>
          </cell>
          <cell r="E1868">
            <v>1</v>
          </cell>
          <cell r="G1868">
            <v>851143</v>
          </cell>
          <cell r="H1868">
            <v>0</v>
          </cell>
          <cell r="I1868">
            <v>10948</v>
          </cell>
          <cell r="J1868">
            <v>14</v>
          </cell>
          <cell r="K1868">
            <v>0</v>
          </cell>
          <cell r="L1868">
            <v>0</v>
          </cell>
          <cell r="M1868">
            <v>0</v>
          </cell>
          <cell r="N1868">
            <v>409775</v>
          </cell>
          <cell r="O1868">
            <v>0</v>
          </cell>
          <cell r="P1868">
            <v>6210</v>
          </cell>
          <cell r="Q1868">
            <v>0</v>
          </cell>
          <cell r="R1868">
            <v>415985</v>
          </cell>
          <cell r="S1868">
            <v>0</v>
          </cell>
          <cell r="T1868">
            <v>0</v>
          </cell>
          <cell r="U1868">
            <v>0</v>
          </cell>
          <cell r="V1868">
            <v>0</v>
          </cell>
          <cell r="W1868">
            <v>0</v>
          </cell>
        </row>
        <row r="1869">
          <cell r="A1869" t="str">
            <v>450351</v>
          </cell>
          <cell r="B1869" t="str">
            <v>1251</v>
          </cell>
          <cell r="C1869" t="str">
            <v>12</v>
          </cell>
          <cell r="D1869" t="str">
            <v>22</v>
          </cell>
          <cell r="E1869">
            <v>1</v>
          </cell>
          <cell r="G1869">
            <v>851253</v>
          </cell>
          <cell r="H1869">
            <v>0</v>
          </cell>
          <cell r="I1869">
            <v>13928</v>
          </cell>
          <cell r="J1869">
            <v>3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0</v>
          </cell>
          <cell r="V1869">
            <v>0</v>
          </cell>
          <cell r="W1869">
            <v>0</v>
          </cell>
        </row>
        <row r="1870">
          <cell r="A1870" t="str">
            <v>450351</v>
          </cell>
          <cell r="B1870" t="str">
            <v>1251</v>
          </cell>
          <cell r="C1870" t="str">
            <v>12</v>
          </cell>
          <cell r="D1870" t="str">
            <v>22</v>
          </cell>
          <cell r="E1870">
            <v>1</v>
          </cell>
          <cell r="G1870">
            <v>851275</v>
          </cell>
          <cell r="H1870">
            <v>0</v>
          </cell>
          <cell r="I1870">
            <v>13448</v>
          </cell>
          <cell r="J1870">
            <v>252</v>
          </cell>
          <cell r="K1870">
            <v>0</v>
          </cell>
          <cell r="L1870">
            <v>0</v>
          </cell>
          <cell r="M1870">
            <v>0</v>
          </cell>
          <cell r="N1870">
            <v>516942</v>
          </cell>
          <cell r="O1870">
            <v>0</v>
          </cell>
          <cell r="P1870">
            <v>1168</v>
          </cell>
          <cell r="Q1870">
            <v>0</v>
          </cell>
          <cell r="R1870">
            <v>518110</v>
          </cell>
          <cell r="S1870">
            <v>0</v>
          </cell>
          <cell r="T1870">
            <v>0</v>
          </cell>
          <cell r="U1870">
            <v>0</v>
          </cell>
          <cell r="V1870">
            <v>318</v>
          </cell>
          <cell r="W1870">
            <v>0</v>
          </cell>
        </row>
        <row r="1871">
          <cell r="A1871" t="str">
            <v>450351</v>
          </cell>
          <cell r="B1871" t="str">
            <v>1251</v>
          </cell>
          <cell r="C1871" t="str">
            <v>12</v>
          </cell>
          <cell r="D1871" t="str">
            <v>22</v>
          </cell>
          <cell r="E1871">
            <v>1</v>
          </cell>
          <cell r="G1871">
            <v>851286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7606</v>
          </cell>
          <cell r="O1871">
            <v>0</v>
          </cell>
          <cell r="P1871">
            <v>0</v>
          </cell>
          <cell r="Q1871">
            <v>0</v>
          </cell>
          <cell r="R1871">
            <v>7606</v>
          </cell>
          <cell r="S1871">
            <v>0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</row>
        <row r="1872">
          <cell r="A1872" t="str">
            <v>450351</v>
          </cell>
          <cell r="B1872" t="str">
            <v>1251</v>
          </cell>
          <cell r="C1872" t="str">
            <v>12</v>
          </cell>
          <cell r="D1872" t="str">
            <v>22</v>
          </cell>
          <cell r="E1872">
            <v>1</v>
          </cell>
          <cell r="G1872">
            <v>851967</v>
          </cell>
          <cell r="H1872">
            <v>0</v>
          </cell>
          <cell r="I1872">
            <v>15400</v>
          </cell>
          <cell r="J1872">
            <v>2</v>
          </cell>
          <cell r="K1872">
            <v>0</v>
          </cell>
          <cell r="L1872">
            <v>0</v>
          </cell>
          <cell r="M1872">
            <v>0</v>
          </cell>
          <cell r="N1872">
            <v>60998</v>
          </cell>
          <cell r="O1872">
            <v>0</v>
          </cell>
          <cell r="P1872">
            <v>0</v>
          </cell>
          <cell r="Q1872">
            <v>0</v>
          </cell>
          <cell r="R1872">
            <v>60998</v>
          </cell>
          <cell r="S1872">
            <v>0</v>
          </cell>
          <cell r="T1872">
            <v>0</v>
          </cell>
          <cell r="U1872">
            <v>0</v>
          </cell>
          <cell r="V1872">
            <v>0</v>
          </cell>
          <cell r="W1872">
            <v>0</v>
          </cell>
        </row>
        <row r="1873">
          <cell r="A1873" t="str">
            <v>450351</v>
          </cell>
          <cell r="B1873" t="str">
            <v>1251</v>
          </cell>
          <cell r="C1873" t="str">
            <v>12</v>
          </cell>
          <cell r="D1873" t="str">
            <v>22</v>
          </cell>
          <cell r="E1873">
            <v>1</v>
          </cell>
          <cell r="G1873">
            <v>999999</v>
          </cell>
          <cell r="H1873">
            <v>0</v>
          </cell>
          <cell r="I1873">
            <v>421746</v>
          </cell>
          <cell r="J1873">
            <v>21928</v>
          </cell>
          <cell r="K1873">
            <v>401</v>
          </cell>
          <cell r="L1873">
            <v>0</v>
          </cell>
          <cell r="M1873">
            <v>0</v>
          </cell>
          <cell r="N1873">
            <v>2781577</v>
          </cell>
          <cell r="O1873">
            <v>0</v>
          </cell>
          <cell r="P1873">
            <v>16096</v>
          </cell>
          <cell r="Q1873">
            <v>0</v>
          </cell>
          <cell r="R1873">
            <v>2797673</v>
          </cell>
          <cell r="S1873">
            <v>0</v>
          </cell>
          <cell r="T1873">
            <v>40</v>
          </cell>
          <cell r="U1873">
            <v>0</v>
          </cell>
          <cell r="V1873">
            <v>2302</v>
          </cell>
          <cell r="W1873">
            <v>0</v>
          </cell>
        </row>
        <row r="1874">
          <cell r="A1874" t="str">
            <v>450351</v>
          </cell>
          <cell r="B1874" t="str">
            <v>1251</v>
          </cell>
          <cell r="C1874" t="str">
            <v>12</v>
          </cell>
          <cell r="D1874" t="str">
            <v>22</v>
          </cell>
          <cell r="E1874">
            <v>17</v>
          </cell>
          <cell r="G1874">
            <v>552411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27208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</row>
        <row r="1875">
          <cell r="A1875" t="str">
            <v>450351</v>
          </cell>
          <cell r="B1875" t="str">
            <v>1251</v>
          </cell>
          <cell r="C1875" t="str">
            <v>12</v>
          </cell>
          <cell r="D1875" t="str">
            <v>22</v>
          </cell>
          <cell r="E1875">
            <v>17</v>
          </cell>
          <cell r="G1875">
            <v>701015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0</v>
          </cell>
          <cell r="Q1875">
            <v>10612</v>
          </cell>
          <cell r="R1875">
            <v>0</v>
          </cell>
          <cell r="S1875">
            <v>0</v>
          </cell>
          <cell r="T1875">
            <v>0</v>
          </cell>
          <cell r="U1875">
            <v>0</v>
          </cell>
          <cell r="V1875">
            <v>0</v>
          </cell>
          <cell r="W1875">
            <v>0</v>
          </cell>
        </row>
        <row r="1876">
          <cell r="A1876" t="str">
            <v>450351</v>
          </cell>
          <cell r="B1876" t="str">
            <v>1251</v>
          </cell>
          <cell r="C1876" t="str">
            <v>12</v>
          </cell>
          <cell r="D1876" t="str">
            <v>22</v>
          </cell>
          <cell r="E1876">
            <v>17</v>
          </cell>
          <cell r="G1876">
            <v>751922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</row>
        <row r="1877">
          <cell r="A1877" t="str">
            <v>450351</v>
          </cell>
          <cell r="B1877" t="str">
            <v>1251</v>
          </cell>
          <cell r="C1877" t="str">
            <v>12</v>
          </cell>
          <cell r="D1877" t="str">
            <v>22</v>
          </cell>
          <cell r="E1877">
            <v>17</v>
          </cell>
          <cell r="G1877">
            <v>851121</v>
          </cell>
          <cell r="H1877">
            <v>2024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2024</v>
          </cell>
          <cell r="O1877">
            <v>0</v>
          </cell>
          <cell r="P1877">
            <v>0</v>
          </cell>
          <cell r="Q1877">
            <v>2149258</v>
          </cell>
          <cell r="R1877">
            <v>655</v>
          </cell>
          <cell r="S1877">
            <v>0</v>
          </cell>
          <cell r="T1877">
            <v>1100</v>
          </cell>
          <cell r="U1877">
            <v>0</v>
          </cell>
          <cell r="V1877">
            <v>0</v>
          </cell>
          <cell r="W1877">
            <v>0</v>
          </cell>
        </row>
        <row r="1878">
          <cell r="A1878" t="str">
            <v>450351</v>
          </cell>
          <cell r="B1878" t="str">
            <v>1251</v>
          </cell>
          <cell r="C1878" t="str">
            <v>12</v>
          </cell>
          <cell r="D1878" t="str">
            <v>22</v>
          </cell>
          <cell r="E1878">
            <v>17</v>
          </cell>
          <cell r="G1878">
            <v>851143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426947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</row>
        <row r="1879">
          <cell r="A1879" t="str">
            <v>450351</v>
          </cell>
          <cell r="B1879" t="str">
            <v>1251</v>
          </cell>
          <cell r="C1879" t="str">
            <v>12</v>
          </cell>
          <cell r="D1879" t="str">
            <v>22</v>
          </cell>
          <cell r="E1879">
            <v>17</v>
          </cell>
          <cell r="G1879">
            <v>851253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0</v>
          </cell>
          <cell r="Q1879">
            <v>13931</v>
          </cell>
          <cell r="R1879">
            <v>0</v>
          </cell>
          <cell r="S1879">
            <v>0</v>
          </cell>
          <cell r="T1879">
            <v>0</v>
          </cell>
          <cell r="U1879">
            <v>0</v>
          </cell>
          <cell r="V1879">
            <v>0</v>
          </cell>
          <cell r="W1879">
            <v>0</v>
          </cell>
        </row>
        <row r="1880">
          <cell r="A1880" t="str">
            <v>450351</v>
          </cell>
          <cell r="B1880" t="str">
            <v>1251</v>
          </cell>
          <cell r="C1880" t="str">
            <v>12</v>
          </cell>
          <cell r="D1880" t="str">
            <v>22</v>
          </cell>
          <cell r="E1880">
            <v>17</v>
          </cell>
          <cell r="G1880">
            <v>851275</v>
          </cell>
          <cell r="H1880">
            <v>318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318</v>
          </cell>
          <cell r="O1880">
            <v>0</v>
          </cell>
          <cell r="P1880">
            <v>0</v>
          </cell>
          <cell r="Q1880">
            <v>532128</v>
          </cell>
          <cell r="R1880">
            <v>20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</row>
        <row r="1881">
          <cell r="A1881" t="str">
            <v>450351</v>
          </cell>
          <cell r="B1881" t="str">
            <v>1251</v>
          </cell>
          <cell r="C1881" t="str">
            <v>12</v>
          </cell>
          <cell r="D1881" t="str">
            <v>22</v>
          </cell>
          <cell r="E1881">
            <v>17</v>
          </cell>
          <cell r="G1881">
            <v>851286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0</v>
          </cell>
          <cell r="Q1881">
            <v>7606</v>
          </cell>
          <cell r="R1881">
            <v>0</v>
          </cell>
          <cell r="S1881">
            <v>0</v>
          </cell>
          <cell r="T1881">
            <v>0</v>
          </cell>
          <cell r="U1881">
            <v>0</v>
          </cell>
          <cell r="V1881">
            <v>0</v>
          </cell>
          <cell r="W1881">
            <v>0</v>
          </cell>
        </row>
        <row r="1882">
          <cell r="A1882" t="str">
            <v>450351</v>
          </cell>
          <cell r="B1882" t="str">
            <v>1251</v>
          </cell>
          <cell r="C1882" t="str">
            <v>12</v>
          </cell>
          <cell r="D1882" t="str">
            <v>22</v>
          </cell>
          <cell r="E1882">
            <v>17</v>
          </cell>
          <cell r="G1882">
            <v>851967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0</v>
          </cell>
          <cell r="Q1882">
            <v>76400</v>
          </cell>
          <cell r="R1882">
            <v>0</v>
          </cell>
          <cell r="S1882">
            <v>0</v>
          </cell>
          <cell r="T1882">
            <v>0</v>
          </cell>
          <cell r="U1882">
            <v>0</v>
          </cell>
          <cell r="V1882">
            <v>0</v>
          </cell>
          <cell r="W1882">
            <v>0</v>
          </cell>
        </row>
        <row r="1883">
          <cell r="A1883" t="str">
            <v>450351</v>
          </cell>
          <cell r="B1883" t="str">
            <v>1251</v>
          </cell>
          <cell r="C1883" t="str">
            <v>12</v>
          </cell>
          <cell r="D1883" t="str">
            <v>22</v>
          </cell>
          <cell r="E1883">
            <v>17</v>
          </cell>
          <cell r="G1883">
            <v>999999</v>
          </cell>
          <cell r="H1883">
            <v>2342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2342</v>
          </cell>
          <cell r="O1883">
            <v>0</v>
          </cell>
          <cell r="P1883">
            <v>0</v>
          </cell>
          <cell r="Q1883">
            <v>3244090</v>
          </cell>
          <cell r="R1883">
            <v>675</v>
          </cell>
          <cell r="S1883">
            <v>0</v>
          </cell>
          <cell r="T1883">
            <v>1100</v>
          </cell>
          <cell r="U1883">
            <v>0</v>
          </cell>
          <cell r="V1883">
            <v>0</v>
          </cell>
          <cell r="W1883">
            <v>0</v>
          </cell>
        </row>
        <row r="1884">
          <cell r="A1884" t="str">
            <v>450351</v>
          </cell>
          <cell r="B1884" t="str">
            <v>1251</v>
          </cell>
          <cell r="C1884" t="str">
            <v>12</v>
          </cell>
          <cell r="D1884" t="str">
            <v>22</v>
          </cell>
          <cell r="E1884">
            <v>33</v>
          </cell>
          <cell r="G1884">
            <v>552411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0</v>
          </cell>
          <cell r="V1884">
            <v>0</v>
          </cell>
          <cell r="W1884">
            <v>0</v>
          </cell>
        </row>
        <row r="1885">
          <cell r="A1885" t="str">
            <v>450351</v>
          </cell>
          <cell r="B1885" t="str">
            <v>1251</v>
          </cell>
          <cell r="C1885" t="str">
            <v>12</v>
          </cell>
          <cell r="D1885" t="str">
            <v>22</v>
          </cell>
          <cell r="E1885">
            <v>33</v>
          </cell>
          <cell r="G1885">
            <v>701015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0</v>
          </cell>
          <cell r="V1885">
            <v>0</v>
          </cell>
          <cell r="W1885">
            <v>0</v>
          </cell>
        </row>
        <row r="1886">
          <cell r="A1886" t="str">
            <v>450351</v>
          </cell>
          <cell r="B1886" t="str">
            <v>1251</v>
          </cell>
          <cell r="C1886" t="str">
            <v>12</v>
          </cell>
          <cell r="D1886" t="str">
            <v>22</v>
          </cell>
          <cell r="E1886">
            <v>33</v>
          </cell>
          <cell r="G1886">
            <v>751922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0</v>
          </cell>
          <cell r="V1886">
            <v>0</v>
          </cell>
          <cell r="W1886">
            <v>0</v>
          </cell>
        </row>
        <row r="1887">
          <cell r="A1887" t="str">
            <v>450351</v>
          </cell>
          <cell r="B1887" t="str">
            <v>1251</v>
          </cell>
          <cell r="C1887" t="str">
            <v>12</v>
          </cell>
          <cell r="D1887" t="str">
            <v>22</v>
          </cell>
          <cell r="E1887">
            <v>33</v>
          </cell>
          <cell r="G1887">
            <v>851121</v>
          </cell>
          <cell r="H1887">
            <v>3276</v>
          </cell>
          <cell r="I1887">
            <v>0</v>
          </cell>
          <cell r="J1887">
            <v>4376</v>
          </cell>
          <cell r="K1887">
            <v>0</v>
          </cell>
          <cell r="L1887">
            <v>388</v>
          </cell>
          <cell r="M1887">
            <v>0</v>
          </cell>
          <cell r="N1887">
            <v>0</v>
          </cell>
          <cell r="O1887">
            <v>388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388</v>
          </cell>
          <cell r="V1887">
            <v>0</v>
          </cell>
          <cell r="W1887">
            <v>5419</v>
          </cell>
        </row>
        <row r="1888">
          <cell r="A1888" t="str">
            <v>450351</v>
          </cell>
          <cell r="B1888" t="str">
            <v>1251</v>
          </cell>
          <cell r="C1888" t="str">
            <v>12</v>
          </cell>
          <cell r="D1888" t="str">
            <v>22</v>
          </cell>
          <cell r="E1888">
            <v>33</v>
          </cell>
          <cell r="G1888">
            <v>851143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0</v>
          </cell>
          <cell r="V1888">
            <v>0</v>
          </cell>
          <cell r="W1888">
            <v>0</v>
          </cell>
        </row>
        <row r="1889">
          <cell r="A1889" t="str">
            <v>450351</v>
          </cell>
          <cell r="B1889" t="str">
            <v>1251</v>
          </cell>
          <cell r="C1889" t="str">
            <v>12</v>
          </cell>
          <cell r="D1889" t="str">
            <v>22</v>
          </cell>
          <cell r="E1889">
            <v>33</v>
          </cell>
          <cell r="G1889">
            <v>851253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0</v>
          </cell>
          <cell r="V1889">
            <v>0</v>
          </cell>
          <cell r="W1889">
            <v>0</v>
          </cell>
        </row>
        <row r="1890">
          <cell r="A1890" t="str">
            <v>450351</v>
          </cell>
          <cell r="B1890" t="str">
            <v>1251</v>
          </cell>
          <cell r="C1890" t="str">
            <v>12</v>
          </cell>
          <cell r="D1890" t="str">
            <v>22</v>
          </cell>
          <cell r="E1890">
            <v>33</v>
          </cell>
          <cell r="G1890">
            <v>851275</v>
          </cell>
          <cell r="H1890">
            <v>24</v>
          </cell>
          <cell r="I1890">
            <v>0</v>
          </cell>
          <cell r="J1890">
            <v>24</v>
          </cell>
          <cell r="K1890">
            <v>0</v>
          </cell>
          <cell r="L1890">
            <v>241</v>
          </cell>
          <cell r="M1890">
            <v>0</v>
          </cell>
          <cell r="N1890">
            <v>0</v>
          </cell>
          <cell r="O1890">
            <v>241</v>
          </cell>
          <cell r="P1890">
            <v>0</v>
          </cell>
          <cell r="Q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241</v>
          </cell>
          <cell r="V1890">
            <v>0</v>
          </cell>
          <cell r="W1890">
            <v>285</v>
          </cell>
        </row>
        <row r="1891">
          <cell r="A1891" t="str">
            <v>450351</v>
          </cell>
          <cell r="B1891" t="str">
            <v>1251</v>
          </cell>
          <cell r="C1891" t="str">
            <v>12</v>
          </cell>
          <cell r="D1891" t="str">
            <v>22</v>
          </cell>
          <cell r="E1891">
            <v>33</v>
          </cell>
          <cell r="G1891">
            <v>851286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0</v>
          </cell>
          <cell r="V1891">
            <v>0</v>
          </cell>
          <cell r="W1891">
            <v>0</v>
          </cell>
        </row>
        <row r="1892">
          <cell r="A1892" t="str">
            <v>450351</v>
          </cell>
          <cell r="B1892" t="str">
            <v>1251</v>
          </cell>
          <cell r="C1892" t="str">
            <v>12</v>
          </cell>
          <cell r="D1892" t="str">
            <v>22</v>
          </cell>
          <cell r="E1892">
            <v>33</v>
          </cell>
          <cell r="G1892">
            <v>851967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0</v>
          </cell>
          <cell r="V1892">
            <v>0</v>
          </cell>
          <cell r="W1892">
            <v>0</v>
          </cell>
        </row>
        <row r="1893">
          <cell r="A1893" t="str">
            <v>450351</v>
          </cell>
          <cell r="B1893" t="str">
            <v>1251</v>
          </cell>
          <cell r="C1893" t="str">
            <v>12</v>
          </cell>
          <cell r="D1893" t="str">
            <v>22</v>
          </cell>
          <cell r="E1893">
            <v>33</v>
          </cell>
          <cell r="G1893">
            <v>999999</v>
          </cell>
          <cell r="H1893">
            <v>3300</v>
          </cell>
          <cell r="I1893">
            <v>0</v>
          </cell>
          <cell r="J1893">
            <v>4400</v>
          </cell>
          <cell r="K1893">
            <v>0</v>
          </cell>
          <cell r="L1893">
            <v>629</v>
          </cell>
          <cell r="M1893">
            <v>0</v>
          </cell>
          <cell r="N1893">
            <v>0</v>
          </cell>
          <cell r="O1893">
            <v>629</v>
          </cell>
          <cell r="P1893">
            <v>0</v>
          </cell>
          <cell r="Q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629</v>
          </cell>
          <cell r="V1893">
            <v>0</v>
          </cell>
          <cell r="W1893">
            <v>5704</v>
          </cell>
        </row>
        <row r="1894">
          <cell r="A1894" t="str">
            <v>450351</v>
          </cell>
          <cell r="B1894" t="str">
            <v>1251</v>
          </cell>
          <cell r="C1894" t="str">
            <v>12</v>
          </cell>
          <cell r="D1894" t="str">
            <v>22</v>
          </cell>
          <cell r="E1894">
            <v>49</v>
          </cell>
          <cell r="G1894">
            <v>552411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27208</v>
          </cell>
          <cell r="P1894">
            <v>0</v>
          </cell>
          <cell r="Q1894">
            <v>27208</v>
          </cell>
          <cell r="R1894">
            <v>0</v>
          </cell>
          <cell r="S1894">
            <v>27208</v>
          </cell>
          <cell r="T1894">
            <v>0</v>
          </cell>
          <cell r="U1894">
            <v>0</v>
          </cell>
          <cell r="V1894">
            <v>0</v>
          </cell>
          <cell r="W1894">
            <v>0</v>
          </cell>
        </row>
        <row r="1895">
          <cell r="A1895" t="str">
            <v>450351</v>
          </cell>
          <cell r="B1895" t="str">
            <v>1251</v>
          </cell>
          <cell r="C1895" t="str">
            <v>12</v>
          </cell>
          <cell r="D1895" t="str">
            <v>22</v>
          </cell>
          <cell r="E1895">
            <v>49</v>
          </cell>
          <cell r="G1895">
            <v>701015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10612</v>
          </cell>
          <cell r="P1895">
            <v>0</v>
          </cell>
          <cell r="Q1895">
            <v>10612</v>
          </cell>
          <cell r="R1895">
            <v>0</v>
          </cell>
          <cell r="S1895">
            <v>10612</v>
          </cell>
          <cell r="T1895">
            <v>0</v>
          </cell>
          <cell r="U1895">
            <v>0</v>
          </cell>
          <cell r="V1895">
            <v>0</v>
          </cell>
          <cell r="W1895">
            <v>0</v>
          </cell>
        </row>
        <row r="1896">
          <cell r="A1896" t="str">
            <v>450351</v>
          </cell>
          <cell r="B1896" t="str">
            <v>1251</v>
          </cell>
          <cell r="C1896" t="str">
            <v>12</v>
          </cell>
          <cell r="D1896" t="str">
            <v>22</v>
          </cell>
          <cell r="E1896">
            <v>49</v>
          </cell>
          <cell r="G1896">
            <v>751922</v>
          </cell>
          <cell r="H1896">
            <v>7000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7000</v>
          </cell>
          <cell r="P1896">
            <v>0</v>
          </cell>
          <cell r="Q1896">
            <v>7000</v>
          </cell>
          <cell r="R1896">
            <v>0</v>
          </cell>
          <cell r="S1896">
            <v>7000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</row>
        <row r="1897">
          <cell r="A1897" t="str">
            <v>450351</v>
          </cell>
          <cell r="B1897" t="str">
            <v>1251</v>
          </cell>
          <cell r="C1897" t="str">
            <v>12</v>
          </cell>
          <cell r="D1897" t="str">
            <v>22</v>
          </cell>
          <cell r="E1897">
            <v>49</v>
          </cell>
          <cell r="G1897">
            <v>851121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2154677</v>
          </cell>
          <cell r="P1897">
            <v>212</v>
          </cell>
          <cell r="Q1897">
            <v>2154889</v>
          </cell>
          <cell r="R1897">
            <v>0</v>
          </cell>
          <cell r="S1897">
            <v>2154889</v>
          </cell>
          <cell r="T1897">
            <v>0</v>
          </cell>
          <cell r="U1897">
            <v>0</v>
          </cell>
          <cell r="V1897">
            <v>0</v>
          </cell>
          <cell r="W1897">
            <v>0</v>
          </cell>
        </row>
        <row r="1898">
          <cell r="A1898" t="str">
            <v>450351</v>
          </cell>
          <cell r="B1898" t="str">
            <v>1251</v>
          </cell>
          <cell r="C1898" t="str">
            <v>12</v>
          </cell>
          <cell r="D1898" t="str">
            <v>22</v>
          </cell>
          <cell r="E1898">
            <v>49</v>
          </cell>
          <cell r="G1898">
            <v>851143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426947</v>
          </cell>
          <cell r="P1898">
            <v>0</v>
          </cell>
          <cell r="Q1898">
            <v>426947</v>
          </cell>
          <cell r="R1898">
            <v>0</v>
          </cell>
          <cell r="S1898">
            <v>426947</v>
          </cell>
          <cell r="T1898">
            <v>0</v>
          </cell>
          <cell r="U1898">
            <v>0</v>
          </cell>
          <cell r="V1898">
            <v>0</v>
          </cell>
          <cell r="W1898">
            <v>0</v>
          </cell>
        </row>
        <row r="1899">
          <cell r="A1899" t="str">
            <v>450351</v>
          </cell>
          <cell r="B1899" t="str">
            <v>1251</v>
          </cell>
          <cell r="C1899" t="str">
            <v>12</v>
          </cell>
          <cell r="D1899" t="str">
            <v>22</v>
          </cell>
          <cell r="E1899">
            <v>49</v>
          </cell>
          <cell r="G1899">
            <v>851253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13931</v>
          </cell>
          <cell r="P1899">
            <v>0</v>
          </cell>
          <cell r="Q1899">
            <v>13931</v>
          </cell>
          <cell r="R1899">
            <v>0</v>
          </cell>
          <cell r="S1899">
            <v>13931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</row>
        <row r="1900">
          <cell r="A1900" t="str">
            <v>450351</v>
          </cell>
          <cell r="B1900" t="str">
            <v>1251</v>
          </cell>
          <cell r="C1900" t="str">
            <v>12</v>
          </cell>
          <cell r="D1900" t="str">
            <v>22</v>
          </cell>
          <cell r="E1900">
            <v>49</v>
          </cell>
          <cell r="G1900">
            <v>851275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532413</v>
          </cell>
          <cell r="P1900">
            <v>0</v>
          </cell>
          <cell r="Q1900">
            <v>532413</v>
          </cell>
          <cell r="R1900">
            <v>0</v>
          </cell>
          <cell r="S1900">
            <v>532413</v>
          </cell>
          <cell r="T1900">
            <v>0</v>
          </cell>
          <cell r="U1900">
            <v>0</v>
          </cell>
          <cell r="V1900">
            <v>0</v>
          </cell>
          <cell r="W1900">
            <v>0</v>
          </cell>
        </row>
        <row r="1901">
          <cell r="A1901" t="str">
            <v>450351</v>
          </cell>
          <cell r="B1901" t="str">
            <v>1251</v>
          </cell>
          <cell r="C1901" t="str">
            <v>12</v>
          </cell>
          <cell r="D1901" t="str">
            <v>22</v>
          </cell>
          <cell r="E1901">
            <v>49</v>
          </cell>
          <cell r="G1901">
            <v>851286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7606</v>
          </cell>
          <cell r="P1901">
            <v>0</v>
          </cell>
          <cell r="Q1901">
            <v>7606</v>
          </cell>
          <cell r="R1901">
            <v>0</v>
          </cell>
          <cell r="S1901">
            <v>7606</v>
          </cell>
          <cell r="T1901">
            <v>0</v>
          </cell>
          <cell r="U1901">
            <v>0</v>
          </cell>
          <cell r="V1901">
            <v>0</v>
          </cell>
          <cell r="W1901">
            <v>0</v>
          </cell>
        </row>
        <row r="1902">
          <cell r="A1902" t="str">
            <v>450351</v>
          </cell>
          <cell r="B1902" t="str">
            <v>1251</v>
          </cell>
          <cell r="C1902" t="str">
            <v>12</v>
          </cell>
          <cell r="D1902" t="str">
            <v>22</v>
          </cell>
          <cell r="E1902">
            <v>49</v>
          </cell>
          <cell r="G1902">
            <v>851967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76400</v>
          </cell>
          <cell r="P1902">
            <v>0</v>
          </cell>
          <cell r="Q1902">
            <v>76400</v>
          </cell>
          <cell r="R1902">
            <v>0</v>
          </cell>
          <cell r="S1902">
            <v>76400</v>
          </cell>
          <cell r="T1902">
            <v>0</v>
          </cell>
          <cell r="U1902">
            <v>0</v>
          </cell>
          <cell r="V1902">
            <v>0</v>
          </cell>
          <cell r="W1902">
            <v>0</v>
          </cell>
        </row>
        <row r="1903">
          <cell r="A1903" t="str">
            <v>450351</v>
          </cell>
          <cell r="B1903" t="str">
            <v>1251</v>
          </cell>
          <cell r="C1903" t="str">
            <v>12</v>
          </cell>
          <cell r="D1903" t="str">
            <v>22</v>
          </cell>
          <cell r="E1903">
            <v>49</v>
          </cell>
          <cell r="G1903">
            <v>999999</v>
          </cell>
          <cell r="H1903">
            <v>7000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3256794</v>
          </cell>
          <cell r="P1903">
            <v>212</v>
          </cell>
          <cell r="Q1903">
            <v>3257006</v>
          </cell>
          <cell r="R1903">
            <v>0</v>
          </cell>
          <cell r="S1903">
            <v>3257006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</row>
        <row r="1904">
          <cell r="A1904" t="str">
            <v>450351</v>
          </cell>
          <cell r="B1904" t="str">
            <v>1251</v>
          </cell>
          <cell r="C1904" t="str">
            <v>12</v>
          </cell>
          <cell r="D1904" t="str">
            <v>23</v>
          </cell>
          <cell r="E1904">
            <v>1</v>
          </cell>
          <cell r="G1904">
            <v>1407000</v>
          </cell>
          <cell r="H1904">
            <v>0</v>
          </cell>
          <cell r="I1904">
            <v>0</v>
          </cell>
          <cell r="J1904">
            <v>32615</v>
          </cell>
          <cell r="K1904">
            <v>0</v>
          </cell>
          <cell r="L1904">
            <v>32615</v>
          </cell>
          <cell r="M1904">
            <v>1439615</v>
          </cell>
          <cell r="N1904">
            <v>1447573</v>
          </cell>
          <cell r="O1904">
            <v>0</v>
          </cell>
          <cell r="P1904">
            <v>0</v>
          </cell>
          <cell r="Q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0</v>
          </cell>
          <cell r="V1904">
            <v>0</v>
          </cell>
          <cell r="W1904">
            <v>0</v>
          </cell>
        </row>
        <row r="1905">
          <cell r="A1905" t="str">
            <v>450351</v>
          </cell>
          <cell r="B1905" t="str">
            <v>1251</v>
          </cell>
          <cell r="C1905" t="str">
            <v>12</v>
          </cell>
          <cell r="D1905" t="str">
            <v>23</v>
          </cell>
          <cell r="E1905">
            <v>2</v>
          </cell>
          <cell r="G1905">
            <v>460000</v>
          </cell>
          <cell r="H1905">
            <v>0</v>
          </cell>
          <cell r="I1905">
            <v>0</v>
          </cell>
          <cell r="J1905">
            <v>15875</v>
          </cell>
          <cell r="K1905">
            <v>0</v>
          </cell>
          <cell r="L1905">
            <v>15875</v>
          </cell>
          <cell r="M1905">
            <v>475875</v>
          </cell>
          <cell r="N1905">
            <v>476870</v>
          </cell>
          <cell r="O1905">
            <v>0</v>
          </cell>
          <cell r="P1905">
            <v>0</v>
          </cell>
          <cell r="Q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0</v>
          </cell>
          <cell r="V1905">
            <v>0</v>
          </cell>
          <cell r="W1905">
            <v>0</v>
          </cell>
        </row>
        <row r="1906">
          <cell r="A1906" t="str">
            <v>450351</v>
          </cell>
          <cell r="B1906" t="str">
            <v>1251</v>
          </cell>
          <cell r="C1906" t="str">
            <v>12</v>
          </cell>
          <cell r="D1906" t="str">
            <v>23</v>
          </cell>
          <cell r="E1906">
            <v>3</v>
          </cell>
          <cell r="G1906">
            <v>1314082</v>
          </cell>
          <cell r="H1906">
            <v>0</v>
          </cell>
          <cell r="I1906">
            <v>0</v>
          </cell>
          <cell r="J1906">
            <v>-2484</v>
          </cell>
          <cell r="K1906">
            <v>0</v>
          </cell>
          <cell r="L1906">
            <v>-2484</v>
          </cell>
          <cell r="M1906">
            <v>1311598</v>
          </cell>
          <cell r="N1906">
            <v>1311584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>
            <v>0</v>
          </cell>
          <cell r="W1906">
            <v>0</v>
          </cell>
        </row>
        <row r="1907">
          <cell r="A1907" t="str">
            <v>450351</v>
          </cell>
          <cell r="B1907" t="str">
            <v>1251</v>
          </cell>
          <cell r="C1907" t="str">
            <v>12</v>
          </cell>
          <cell r="D1907" t="str">
            <v>23</v>
          </cell>
          <cell r="E1907">
            <v>4</v>
          </cell>
          <cell r="G1907">
            <v>780</v>
          </cell>
          <cell r="H1907">
            <v>0</v>
          </cell>
          <cell r="I1907">
            <v>0</v>
          </cell>
          <cell r="J1907">
            <v>1745</v>
          </cell>
          <cell r="K1907">
            <v>0</v>
          </cell>
          <cell r="L1907">
            <v>1745</v>
          </cell>
          <cell r="M1907">
            <v>2525</v>
          </cell>
          <cell r="N1907">
            <v>2525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>
            <v>0</v>
          </cell>
          <cell r="W1907">
            <v>0</v>
          </cell>
        </row>
        <row r="1908">
          <cell r="A1908" t="str">
            <v>450351</v>
          </cell>
          <cell r="B1908" t="str">
            <v>1251</v>
          </cell>
          <cell r="C1908" t="str">
            <v>12</v>
          </cell>
          <cell r="D1908" t="str">
            <v>23</v>
          </cell>
          <cell r="E1908">
            <v>5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</row>
        <row r="1909">
          <cell r="A1909" t="str">
            <v>450351</v>
          </cell>
          <cell r="B1909" t="str">
            <v>1251</v>
          </cell>
          <cell r="C1909" t="str">
            <v>12</v>
          </cell>
          <cell r="D1909" t="str">
            <v>23</v>
          </cell>
          <cell r="E1909">
            <v>6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</row>
        <row r="1910">
          <cell r="A1910" t="str">
            <v>450351</v>
          </cell>
          <cell r="B1910" t="str">
            <v>1251</v>
          </cell>
          <cell r="C1910" t="str">
            <v>12</v>
          </cell>
          <cell r="D1910" t="str">
            <v>23</v>
          </cell>
          <cell r="E1910">
            <v>7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0</v>
          </cell>
          <cell r="V1910">
            <v>0</v>
          </cell>
          <cell r="W1910">
            <v>0</v>
          </cell>
        </row>
        <row r="1911">
          <cell r="A1911" t="str">
            <v>450351</v>
          </cell>
          <cell r="B1911" t="str">
            <v>1251</v>
          </cell>
          <cell r="C1911" t="str">
            <v>12</v>
          </cell>
          <cell r="D1911" t="str">
            <v>23</v>
          </cell>
          <cell r="E1911">
            <v>8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0</v>
          </cell>
          <cell r="V1911">
            <v>0</v>
          </cell>
          <cell r="W1911">
            <v>0</v>
          </cell>
        </row>
        <row r="1912">
          <cell r="A1912" t="str">
            <v>450351</v>
          </cell>
          <cell r="B1912" t="str">
            <v>1251</v>
          </cell>
          <cell r="C1912" t="str">
            <v>12</v>
          </cell>
          <cell r="D1912" t="str">
            <v>23</v>
          </cell>
          <cell r="E1912">
            <v>9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0</v>
          </cell>
          <cell r="P1912">
            <v>0</v>
          </cell>
          <cell r="Q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V1912">
            <v>0</v>
          </cell>
          <cell r="W1912">
            <v>0</v>
          </cell>
        </row>
        <row r="1913">
          <cell r="A1913" t="str">
            <v>450351</v>
          </cell>
          <cell r="B1913" t="str">
            <v>1251</v>
          </cell>
          <cell r="C1913" t="str">
            <v>12</v>
          </cell>
          <cell r="D1913" t="str">
            <v>23</v>
          </cell>
          <cell r="E1913">
            <v>10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</row>
        <row r="1914">
          <cell r="A1914" t="str">
            <v>450351</v>
          </cell>
          <cell r="B1914" t="str">
            <v>1251</v>
          </cell>
          <cell r="C1914" t="str">
            <v>12</v>
          </cell>
          <cell r="D1914" t="str">
            <v>23</v>
          </cell>
          <cell r="E1914">
            <v>11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0</v>
          </cell>
          <cell r="P1914">
            <v>0</v>
          </cell>
          <cell r="Q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0</v>
          </cell>
          <cell r="V1914">
            <v>0</v>
          </cell>
          <cell r="W1914">
            <v>0</v>
          </cell>
        </row>
        <row r="1915">
          <cell r="A1915" t="str">
            <v>450351</v>
          </cell>
          <cell r="B1915" t="str">
            <v>1251</v>
          </cell>
          <cell r="C1915" t="str">
            <v>12</v>
          </cell>
          <cell r="D1915" t="str">
            <v>23</v>
          </cell>
          <cell r="E1915">
            <v>12</v>
          </cell>
          <cell r="G1915">
            <v>3181862</v>
          </cell>
          <cell r="H1915">
            <v>0</v>
          </cell>
          <cell r="I1915">
            <v>0</v>
          </cell>
          <cell r="J1915">
            <v>47751</v>
          </cell>
          <cell r="K1915">
            <v>0</v>
          </cell>
          <cell r="L1915">
            <v>47751</v>
          </cell>
          <cell r="M1915">
            <v>3229613</v>
          </cell>
          <cell r="N1915">
            <v>3238552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</row>
        <row r="1916">
          <cell r="A1916" t="str">
            <v>450351</v>
          </cell>
          <cell r="B1916" t="str">
            <v>1251</v>
          </cell>
          <cell r="C1916" t="str">
            <v>12</v>
          </cell>
          <cell r="D1916" t="str">
            <v>23</v>
          </cell>
          <cell r="E1916">
            <v>13</v>
          </cell>
          <cell r="G1916">
            <v>0</v>
          </cell>
          <cell r="H1916">
            <v>0</v>
          </cell>
          <cell r="I1916">
            <v>0</v>
          </cell>
          <cell r="J1916">
            <v>26424</v>
          </cell>
          <cell r="K1916">
            <v>0</v>
          </cell>
          <cell r="L1916">
            <v>26424</v>
          </cell>
          <cell r="M1916">
            <v>26424</v>
          </cell>
          <cell r="N1916">
            <v>26423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0</v>
          </cell>
          <cell r="V1916">
            <v>0</v>
          </cell>
          <cell r="W1916">
            <v>0</v>
          </cell>
        </row>
        <row r="1917">
          <cell r="A1917" t="str">
            <v>450351</v>
          </cell>
          <cell r="B1917" t="str">
            <v>1251</v>
          </cell>
          <cell r="C1917" t="str">
            <v>12</v>
          </cell>
          <cell r="D1917" t="str">
            <v>23</v>
          </cell>
          <cell r="E1917">
            <v>14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0</v>
          </cell>
          <cell r="P1917">
            <v>0</v>
          </cell>
          <cell r="Q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0</v>
          </cell>
          <cell r="V1917">
            <v>0</v>
          </cell>
          <cell r="W1917">
            <v>0</v>
          </cell>
        </row>
        <row r="1918">
          <cell r="A1918" t="str">
            <v>450351</v>
          </cell>
          <cell r="B1918" t="str">
            <v>1251</v>
          </cell>
          <cell r="C1918" t="str">
            <v>12</v>
          </cell>
          <cell r="D1918" t="str">
            <v>23</v>
          </cell>
          <cell r="E1918">
            <v>15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0</v>
          </cell>
          <cell r="Q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0</v>
          </cell>
          <cell r="V1918">
            <v>0</v>
          </cell>
          <cell r="W1918">
            <v>0</v>
          </cell>
        </row>
        <row r="1919">
          <cell r="A1919" t="str">
            <v>450351</v>
          </cell>
          <cell r="B1919" t="str">
            <v>1251</v>
          </cell>
          <cell r="C1919" t="str">
            <v>12</v>
          </cell>
          <cell r="D1919" t="str">
            <v>23</v>
          </cell>
          <cell r="E1919">
            <v>16</v>
          </cell>
          <cell r="G1919">
            <v>0</v>
          </cell>
          <cell r="H1919">
            <v>0</v>
          </cell>
          <cell r="I1919">
            <v>0</v>
          </cell>
          <cell r="J1919">
            <v>700</v>
          </cell>
          <cell r="K1919">
            <v>0</v>
          </cell>
          <cell r="L1919">
            <v>700</v>
          </cell>
          <cell r="M1919">
            <v>700</v>
          </cell>
          <cell r="N1919">
            <v>700</v>
          </cell>
          <cell r="O1919">
            <v>0</v>
          </cell>
          <cell r="P1919">
            <v>0</v>
          </cell>
          <cell r="Q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0</v>
          </cell>
          <cell r="V1919">
            <v>0</v>
          </cell>
          <cell r="W1919">
            <v>0</v>
          </cell>
        </row>
        <row r="1920">
          <cell r="A1920" t="str">
            <v>450351</v>
          </cell>
          <cell r="B1920" t="str">
            <v>1251</v>
          </cell>
          <cell r="C1920" t="str">
            <v>12</v>
          </cell>
          <cell r="D1920" t="str">
            <v>23</v>
          </cell>
          <cell r="E1920">
            <v>17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0</v>
          </cell>
          <cell r="P1920">
            <v>0</v>
          </cell>
          <cell r="Q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0</v>
          </cell>
          <cell r="V1920">
            <v>0</v>
          </cell>
          <cell r="W1920">
            <v>0</v>
          </cell>
        </row>
        <row r="1921">
          <cell r="A1921" t="str">
            <v>450351</v>
          </cell>
          <cell r="B1921" t="str">
            <v>1251</v>
          </cell>
          <cell r="C1921" t="str">
            <v>12</v>
          </cell>
          <cell r="D1921" t="str">
            <v>23</v>
          </cell>
          <cell r="E1921">
            <v>18</v>
          </cell>
          <cell r="G1921">
            <v>0</v>
          </cell>
          <cell r="H1921">
            <v>0</v>
          </cell>
          <cell r="I1921">
            <v>0</v>
          </cell>
          <cell r="J1921">
            <v>270</v>
          </cell>
          <cell r="K1921">
            <v>0</v>
          </cell>
          <cell r="L1921">
            <v>270</v>
          </cell>
          <cell r="M1921">
            <v>270</v>
          </cell>
          <cell r="N1921">
            <v>270</v>
          </cell>
          <cell r="O1921">
            <v>0</v>
          </cell>
          <cell r="P1921">
            <v>0</v>
          </cell>
          <cell r="Q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0</v>
          </cell>
          <cell r="V1921">
            <v>0</v>
          </cell>
          <cell r="W1921">
            <v>0</v>
          </cell>
        </row>
        <row r="1922">
          <cell r="A1922" t="str">
            <v>450351</v>
          </cell>
          <cell r="B1922" t="str">
            <v>1251</v>
          </cell>
          <cell r="C1922" t="str">
            <v>12</v>
          </cell>
          <cell r="D1922" t="str">
            <v>23</v>
          </cell>
          <cell r="E1922">
            <v>19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P1922">
            <v>0</v>
          </cell>
          <cell r="Q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0</v>
          </cell>
          <cell r="V1922">
            <v>0</v>
          </cell>
          <cell r="W1922">
            <v>0</v>
          </cell>
        </row>
        <row r="1923">
          <cell r="A1923" t="str">
            <v>450351</v>
          </cell>
          <cell r="B1923" t="str">
            <v>1251</v>
          </cell>
          <cell r="C1923" t="str">
            <v>12</v>
          </cell>
          <cell r="D1923" t="str">
            <v>23</v>
          </cell>
          <cell r="E1923">
            <v>20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0</v>
          </cell>
          <cell r="Q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0</v>
          </cell>
          <cell r="V1923">
            <v>0</v>
          </cell>
          <cell r="W1923">
            <v>0</v>
          </cell>
        </row>
        <row r="1924">
          <cell r="A1924" t="str">
            <v>450351</v>
          </cell>
          <cell r="B1924" t="str">
            <v>1251</v>
          </cell>
          <cell r="C1924" t="str">
            <v>12</v>
          </cell>
          <cell r="D1924" t="str">
            <v>23</v>
          </cell>
          <cell r="E1924">
            <v>21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0</v>
          </cell>
          <cell r="P1924">
            <v>0</v>
          </cell>
          <cell r="Q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0</v>
          </cell>
          <cell r="V1924">
            <v>0</v>
          </cell>
          <cell r="W1924">
            <v>0</v>
          </cell>
        </row>
        <row r="1925">
          <cell r="A1925" t="str">
            <v>450351</v>
          </cell>
          <cell r="B1925" t="str">
            <v>1251</v>
          </cell>
          <cell r="C1925" t="str">
            <v>12</v>
          </cell>
          <cell r="D1925" t="str">
            <v>23</v>
          </cell>
          <cell r="E1925">
            <v>22</v>
          </cell>
          <cell r="G1925">
            <v>0</v>
          </cell>
          <cell r="H1925">
            <v>0</v>
          </cell>
          <cell r="I1925">
            <v>0</v>
          </cell>
          <cell r="J1925">
            <v>27394</v>
          </cell>
          <cell r="K1925">
            <v>0</v>
          </cell>
          <cell r="L1925">
            <v>27394</v>
          </cell>
          <cell r="M1925">
            <v>27394</v>
          </cell>
          <cell r="N1925">
            <v>27393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</row>
        <row r="1926">
          <cell r="A1926" t="str">
            <v>450351</v>
          </cell>
          <cell r="B1926" t="str">
            <v>1251</v>
          </cell>
          <cell r="C1926" t="str">
            <v>12</v>
          </cell>
          <cell r="D1926" t="str">
            <v>23</v>
          </cell>
          <cell r="E1926">
            <v>23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  <cell r="M1926">
            <v>0</v>
          </cell>
          <cell r="N1926">
            <v>0</v>
          </cell>
          <cell r="O1926">
            <v>0</v>
          </cell>
          <cell r="P1926">
            <v>0</v>
          </cell>
          <cell r="Q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0</v>
          </cell>
          <cell r="V1926">
            <v>0</v>
          </cell>
          <cell r="W1926">
            <v>0</v>
          </cell>
        </row>
        <row r="1927">
          <cell r="A1927" t="str">
            <v>450351</v>
          </cell>
          <cell r="B1927" t="str">
            <v>1251</v>
          </cell>
          <cell r="C1927" t="str">
            <v>12</v>
          </cell>
          <cell r="D1927" t="str">
            <v>23</v>
          </cell>
          <cell r="E1927">
            <v>24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0</v>
          </cell>
          <cell r="Q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0</v>
          </cell>
          <cell r="V1927">
            <v>0</v>
          </cell>
          <cell r="W1927">
            <v>0</v>
          </cell>
        </row>
        <row r="1928">
          <cell r="A1928" t="str">
            <v>450351</v>
          </cell>
          <cell r="B1928" t="str">
            <v>1251</v>
          </cell>
          <cell r="C1928" t="str">
            <v>12</v>
          </cell>
          <cell r="D1928" t="str">
            <v>23</v>
          </cell>
          <cell r="E1928">
            <v>25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0</v>
          </cell>
          <cell r="Q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0</v>
          </cell>
          <cell r="V1928">
            <v>0</v>
          </cell>
          <cell r="W1928">
            <v>0</v>
          </cell>
        </row>
        <row r="1929">
          <cell r="A1929" t="str">
            <v>450351</v>
          </cell>
          <cell r="B1929" t="str">
            <v>1251</v>
          </cell>
          <cell r="C1929" t="str">
            <v>12</v>
          </cell>
          <cell r="D1929" t="str">
            <v>23</v>
          </cell>
          <cell r="E1929">
            <v>26</v>
          </cell>
          <cell r="G1929">
            <v>3181862</v>
          </cell>
          <cell r="H1929">
            <v>0</v>
          </cell>
          <cell r="I1929">
            <v>0</v>
          </cell>
          <cell r="J1929">
            <v>75145</v>
          </cell>
          <cell r="K1929">
            <v>0</v>
          </cell>
          <cell r="L1929">
            <v>75145</v>
          </cell>
          <cell r="M1929">
            <v>3257007</v>
          </cell>
          <cell r="N1929">
            <v>3265945</v>
          </cell>
          <cell r="O1929">
            <v>0</v>
          </cell>
          <cell r="P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</row>
        <row r="1930">
          <cell r="A1930" t="str">
            <v>450351</v>
          </cell>
          <cell r="B1930" t="str">
            <v>1251</v>
          </cell>
          <cell r="C1930" t="str">
            <v>12</v>
          </cell>
          <cell r="D1930" t="str">
            <v>23</v>
          </cell>
          <cell r="E1930">
            <v>27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  <cell r="P1930">
            <v>0</v>
          </cell>
          <cell r="Q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0</v>
          </cell>
          <cell r="V1930">
            <v>0</v>
          </cell>
          <cell r="W1930">
            <v>0</v>
          </cell>
        </row>
        <row r="1931">
          <cell r="A1931" t="str">
            <v>450351</v>
          </cell>
          <cell r="B1931" t="str">
            <v>1251</v>
          </cell>
          <cell r="C1931" t="str">
            <v>12</v>
          </cell>
          <cell r="D1931" t="str">
            <v>23</v>
          </cell>
          <cell r="E1931">
            <v>28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3890</v>
          </cell>
          <cell r="O1931">
            <v>0</v>
          </cell>
          <cell r="P1931">
            <v>0</v>
          </cell>
          <cell r="Q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0</v>
          </cell>
          <cell r="V1931">
            <v>0</v>
          </cell>
          <cell r="W1931">
            <v>0</v>
          </cell>
        </row>
        <row r="1932">
          <cell r="A1932" t="str">
            <v>450351</v>
          </cell>
          <cell r="B1932" t="str">
            <v>1251</v>
          </cell>
          <cell r="C1932" t="str">
            <v>12</v>
          </cell>
          <cell r="D1932" t="str">
            <v>23</v>
          </cell>
          <cell r="E1932">
            <v>29</v>
          </cell>
          <cell r="G1932">
            <v>3181862</v>
          </cell>
          <cell r="H1932">
            <v>0</v>
          </cell>
          <cell r="I1932">
            <v>0</v>
          </cell>
          <cell r="J1932">
            <v>75145</v>
          </cell>
          <cell r="K1932">
            <v>0</v>
          </cell>
          <cell r="L1932">
            <v>75145</v>
          </cell>
          <cell r="M1932">
            <v>3257007</v>
          </cell>
          <cell r="N1932">
            <v>3269835</v>
          </cell>
          <cell r="O1932">
            <v>0</v>
          </cell>
          <cell r="P1932">
            <v>0</v>
          </cell>
          <cell r="Q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0</v>
          </cell>
          <cell r="V1932">
            <v>0</v>
          </cell>
          <cell r="W1932">
            <v>0</v>
          </cell>
        </row>
        <row r="1933">
          <cell r="A1933" t="str">
            <v>450351</v>
          </cell>
          <cell r="B1933" t="str">
            <v>1251</v>
          </cell>
          <cell r="C1933" t="str">
            <v>12</v>
          </cell>
          <cell r="D1933" t="str">
            <v>23</v>
          </cell>
          <cell r="E1933">
            <v>30</v>
          </cell>
          <cell r="G1933">
            <v>3156862</v>
          </cell>
          <cell r="H1933">
            <v>0</v>
          </cell>
          <cell r="I1933">
            <v>0</v>
          </cell>
          <cell r="J1933">
            <v>87229</v>
          </cell>
          <cell r="K1933">
            <v>0</v>
          </cell>
          <cell r="L1933">
            <v>87229</v>
          </cell>
          <cell r="M1933">
            <v>3244091</v>
          </cell>
          <cell r="N1933">
            <v>3244090</v>
          </cell>
          <cell r="O1933">
            <v>0</v>
          </cell>
          <cell r="P1933">
            <v>0</v>
          </cell>
          <cell r="Q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0</v>
          </cell>
          <cell r="V1933">
            <v>0</v>
          </cell>
          <cell r="W1933">
            <v>0</v>
          </cell>
        </row>
        <row r="1934">
          <cell r="A1934" t="str">
            <v>450351</v>
          </cell>
          <cell r="B1934" t="str">
            <v>1251</v>
          </cell>
          <cell r="C1934" t="str">
            <v>12</v>
          </cell>
          <cell r="D1934" t="str">
            <v>23</v>
          </cell>
          <cell r="E1934">
            <v>31</v>
          </cell>
          <cell r="G1934">
            <v>0</v>
          </cell>
          <cell r="H1934">
            <v>0</v>
          </cell>
          <cell r="I1934">
            <v>0</v>
          </cell>
          <cell r="J1934">
            <v>5704</v>
          </cell>
          <cell r="K1934">
            <v>0</v>
          </cell>
          <cell r="L1934">
            <v>5704</v>
          </cell>
          <cell r="M1934">
            <v>5704</v>
          </cell>
          <cell r="N1934">
            <v>5704</v>
          </cell>
          <cell r="O1934">
            <v>0</v>
          </cell>
          <cell r="P1934">
            <v>0</v>
          </cell>
          <cell r="Q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</row>
        <row r="1935">
          <cell r="A1935" t="str">
            <v>450351</v>
          </cell>
          <cell r="B1935" t="str">
            <v>1251</v>
          </cell>
          <cell r="C1935" t="str">
            <v>12</v>
          </cell>
          <cell r="D1935" t="str">
            <v>23</v>
          </cell>
          <cell r="E1935">
            <v>32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</row>
        <row r="1936">
          <cell r="A1936" t="str">
            <v>450351</v>
          </cell>
          <cell r="B1936" t="str">
            <v>1251</v>
          </cell>
          <cell r="C1936" t="str">
            <v>12</v>
          </cell>
          <cell r="D1936" t="str">
            <v>23</v>
          </cell>
          <cell r="E1936">
            <v>33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0</v>
          </cell>
          <cell r="Q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0</v>
          </cell>
          <cell r="V1936">
            <v>0</v>
          </cell>
          <cell r="W1936">
            <v>0</v>
          </cell>
        </row>
        <row r="1937">
          <cell r="A1937" t="str">
            <v>450351</v>
          </cell>
          <cell r="B1937" t="str">
            <v>1251</v>
          </cell>
          <cell r="C1937" t="str">
            <v>12</v>
          </cell>
          <cell r="D1937" t="str">
            <v>23</v>
          </cell>
          <cell r="E1937">
            <v>34</v>
          </cell>
          <cell r="G1937">
            <v>25000</v>
          </cell>
          <cell r="H1937">
            <v>0</v>
          </cell>
          <cell r="I1937">
            <v>0</v>
          </cell>
          <cell r="J1937">
            <v>-18000</v>
          </cell>
          <cell r="K1937">
            <v>0</v>
          </cell>
          <cell r="L1937">
            <v>-18000</v>
          </cell>
          <cell r="M1937">
            <v>7000</v>
          </cell>
          <cell r="N1937">
            <v>7000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V1937">
            <v>0</v>
          </cell>
          <cell r="W1937">
            <v>0</v>
          </cell>
        </row>
        <row r="1938">
          <cell r="A1938" t="str">
            <v>450351</v>
          </cell>
          <cell r="B1938" t="str">
            <v>1251</v>
          </cell>
          <cell r="C1938" t="str">
            <v>12</v>
          </cell>
          <cell r="D1938" t="str">
            <v>23</v>
          </cell>
          <cell r="E1938">
            <v>35</v>
          </cell>
          <cell r="G1938">
            <v>0</v>
          </cell>
          <cell r="H1938">
            <v>0</v>
          </cell>
          <cell r="I1938">
            <v>0</v>
          </cell>
          <cell r="J1938">
            <v>212</v>
          </cell>
          <cell r="K1938">
            <v>0</v>
          </cell>
          <cell r="L1938">
            <v>212</v>
          </cell>
          <cell r="M1938">
            <v>212</v>
          </cell>
          <cell r="N1938">
            <v>212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V1938">
            <v>0</v>
          </cell>
          <cell r="W1938">
            <v>0</v>
          </cell>
        </row>
        <row r="1939">
          <cell r="A1939" t="str">
            <v>450351</v>
          </cell>
          <cell r="B1939" t="str">
            <v>1251</v>
          </cell>
          <cell r="C1939" t="str">
            <v>12</v>
          </cell>
          <cell r="D1939" t="str">
            <v>23</v>
          </cell>
          <cell r="E1939">
            <v>36</v>
          </cell>
          <cell r="G1939">
            <v>3181862</v>
          </cell>
          <cell r="H1939">
            <v>0</v>
          </cell>
          <cell r="I1939">
            <v>0</v>
          </cell>
          <cell r="J1939">
            <v>75145</v>
          </cell>
          <cell r="K1939">
            <v>0</v>
          </cell>
          <cell r="L1939">
            <v>75145</v>
          </cell>
          <cell r="M1939">
            <v>3257007</v>
          </cell>
          <cell r="N1939">
            <v>3257006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0</v>
          </cell>
          <cell r="V1939">
            <v>0</v>
          </cell>
          <cell r="W1939">
            <v>0</v>
          </cell>
        </row>
        <row r="1940">
          <cell r="A1940" t="str">
            <v>450351</v>
          </cell>
          <cell r="B1940" t="str">
            <v>1251</v>
          </cell>
          <cell r="C1940" t="str">
            <v>12</v>
          </cell>
          <cell r="D1940" t="str">
            <v>23</v>
          </cell>
          <cell r="E1940">
            <v>37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0</v>
          </cell>
          <cell r="Q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0</v>
          </cell>
          <cell r="V1940">
            <v>0</v>
          </cell>
          <cell r="W1940">
            <v>0</v>
          </cell>
        </row>
        <row r="1941">
          <cell r="A1941" t="str">
            <v>450351</v>
          </cell>
          <cell r="B1941" t="str">
            <v>1251</v>
          </cell>
          <cell r="C1941" t="str">
            <v>12</v>
          </cell>
          <cell r="D1941" t="str">
            <v>23</v>
          </cell>
          <cell r="E1941">
            <v>38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949</v>
          </cell>
          <cell r="O1941">
            <v>0</v>
          </cell>
          <cell r="P1941">
            <v>0</v>
          </cell>
          <cell r="Q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0</v>
          </cell>
          <cell r="V1941">
            <v>0</v>
          </cell>
          <cell r="W1941">
            <v>0</v>
          </cell>
        </row>
        <row r="1942">
          <cell r="A1942" t="str">
            <v>450351</v>
          </cell>
          <cell r="B1942" t="str">
            <v>1251</v>
          </cell>
          <cell r="C1942" t="str">
            <v>12</v>
          </cell>
          <cell r="D1942" t="str">
            <v>23</v>
          </cell>
          <cell r="E1942">
            <v>39</v>
          </cell>
          <cell r="G1942">
            <v>3181862</v>
          </cell>
          <cell r="H1942">
            <v>0</v>
          </cell>
          <cell r="I1942">
            <v>0</v>
          </cell>
          <cell r="J1942">
            <v>75145</v>
          </cell>
          <cell r="K1942">
            <v>0</v>
          </cell>
          <cell r="L1942">
            <v>75145</v>
          </cell>
          <cell r="M1942">
            <v>3257007</v>
          </cell>
          <cell r="N1942">
            <v>3257955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</row>
        <row r="1943">
          <cell r="A1943" t="str">
            <v>450351</v>
          </cell>
          <cell r="B1943" t="str">
            <v>1251</v>
          </cell>
          <cell r="C1943" t="str">
            <v>12</v>
          </cell>
          <cell r="D1943" t="str">
            <v>24</v>
          </cell>
          <cell r="E1943">
            <v>1</v>
          </cell>
          <cell r="G1943">
            <v>13101</v>
          </cell>
          <cell r="H1943">
            <v>0</v>
          </cell>
          <cell r="I1943">
            <v>0</v>
          </cell>
          <cell r="J1943">
            <v>0</v>
          </cell>
          <cell r="K1943">
            <v>13101</v>
          </cell>
          <cell r="L1943">
            <v>3257743</v>
          </cell>
          <cell r="M1943">
            <v>3269835</v>
          </cell>
          <cell r="N1943">
            <v>1009</v>
          </cell>
          <cell r="O1943">
            <v>0</v>
          </cell>
          <cell r="P1943">
            <v>0</v>
          </cell>
          <cell r="Q1943">
            <v>0</v>
          </cell>
          <cell r="R1943">
            <v>1009</v>
          </cell>
          <cell r="S1943">
            <v>0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</row>
        <row r="1944">
          <cell r="A1944" t="str">
            <v>450351</v>
          </cell>
          <cell r="B1944" t="str">
            <v>1251</v>
          </cell>
          <cell r="C1944" t="str">
            <v>12</v>
          </cell>
          <cell r="D1944" t="str">
            <v>27</v>
          </cell>
          <cell r="E1944">
            <v>1</v>
          </cell>
          <cell r="G1944">
            <v>424</v>
          </cell>
          <cell r="H1944">
            <v>0</v>
          </cell>
          <cell r="I1944">
            <v>0</v>
          </cell>
          <cell r="J1944">
            <v>0</v>
          </cell>
          <cell r="K1944">
            <v>1417</v>
          </cell>
          <cell r="L1944">
            <v>1417</v>
          </cell>
          <cell r="M1944">
            <v>0</v>
          </cell>
          <cell r="N1944">
            <v>0</v>
          </cell>
          <cell r="O1944">
            <v>0</v>
          </cell>
          <cell r="P1944">
            <v>568</v>
          </cell>
          <cell r="Q1944">
            <v>568</v>
          </cell>
          <cell r="R1944">
            <v>1273</v>
          </cell>
          <cell r="S1944">
            <v>0</v>
          </cell>
          <cell r="T1944">
            <v>0</v>
          </cell>
          <cell r="U1944">
            <v>0</v>
          </cell>
          <cell r="V1944">
            <v>0</v>
          </cell>
          <cell r="W1944">
            <v>0</v>
          </cell>
        </row>
        <row r="1945">
          <cell r="A1945" t="str">
            <v>450351</v>
          </cell>
          <cell r="B1945" t="str">
            <v>1251</v>
          </cell>
          <cell r="C1945" t="str">
            <v>12</v>
          </cell>
          <cell r="D1945" t="str">
            <v>29</v>
          </cell>
          <cell r="E1945">
            <v>1</v>
          </cell>
          <cell r="G1945">
            <v>13101</v>
          </cell>
          <cell r="H1945">
            <v>1009</v>
          </cell>
          <cell r="I1945">
            <v>0</v>
          </cell>
          <cell r="J1945">
            <v>0</v>
          </cell>
          <cell r="K1945">
            <v>13101</v>
          </cell>
          <cell r="L1945">
            <v>1009</v>
          </cell>
          <cell r="M1945">
            <v>0</v>
          </cell>
          <cell r="N1945">
            <v>0</v>
          </cell>
          <cell r="O1945">
            <v>0</v>
          </cell>
          <cell r="P1945">
            <v>0</v>
          </cell>
          <cell r="Q1945">
            <v>78156</v>
          </cell>
          <cell r="R1945">
            <v>81915</v>
          </cell>
          <cell r="S1945">
            <v>91047</v>
          </cell>
          <cell r="T1945">
            <v>91996</v>
          </cell>
          <cell r="U1945">
            <v>2</v>
          </cell>
          <cell r="V1945">
            <v>133</v>
          </cell>
          <cell r="W1945">
            <v>0</v>
          </cell>
        </row>
        <row r="1946">
          <cell r="A1946" t="str">
            <v>450351</v>
          </cell>
          <cell r="B1946" t="str">
            <v>1251</v>
          </cell>
          <cell r="C1946" t="str">
            <v>12</v>
          </cell>
          <cell r="D1946" t="str">
            <v>29</v>
          </cell>
          <cell r="E1946">
            <v>9</v>
          </cell>
          <cell r="G1946">
            <v>0</v>
          </cell>
          <cell r="H1946">
            <v>0</v>
          </cell>
          <cell r="I1946">
            <v>-12889</v>
          </cell>
          <cell r="J1946">
            <v>-9948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212</v>
          </cell>
          <cell r="P1946">
            <v>-8939</v>
          </cell>
          <cell r="Q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0</v>
          </cell>
          <cell r="V1946">
            <v>0</v>
          </cell>
          <cell r="W1946">
            <v>0</v>
          </cell>
        </row>
        <row r="1947">
          <cell r="A1947" t="str">
            <v>450351</v>
          </cell>
          <cell r="B1947" t="str">
            <v>1251</v>
          </cell>
          <cell r="C1947" t="str">
            <v>12</v>
          </cell>
          <cell r="D1947" t="str">
            <v>29</v>
          </cell>
          <cell r="E1947">
            <v>17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212</v>
          </cell>
          <cell r="L1947">
            <v>-8939</v>
          </cell>
          <cell r="M1947">
            <v>0</v>
          </cell>
          <cell r="N1947">
            <v>0</v>
          </cell>
          <cell r="O1947">
            <v>0</v>
          </cell>
          <cell r="P1947">
            <v>0</v>
          </cell>
          <cell r="Q1947">
            <v>212</v>
          </cell>
          <cell r="R1947">
            <v>-8939</v>
          </cell>
          <cell r="S1947">
            <v>212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</row>
        <row r="1948">
          <cell r="A1948" t="str">
            <v>450351</v>
          </cell>
          <cell r="B1948" t="str">
            <v>1251</v>
          </cell>
          <cell r="C1948" t="str">
            <v>12</v>
          </cell>
          <cell r="D1948" t="str">
            <v>29</v>
          </cell>
          <cell r="E1948">
            <v>25</v>
          </cell>
          <cell r="G1948">
            <v>0</v>
          </cell>
          <cell r="H1948">
            <v>0</v>
          </cell>
          <cell r="I1948">
            <v>424</v>
          </cell>
          <cell r="J1948">
            <v>-8939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  <cell r="O1948">
            <v>0</v>
          </cell>
          <cell r="P1948">
            <v>0</v>
          </cell>
          <cell r="Q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</row>
        <row r="1949">
          <cell r="A1949" t="str">
            <v>450351</v>
          </cell>
          <cell r="B1949" t="str">
            <v>1251</v>
          </cell>
          <cell r="C1949" t="str">
            <v>12</v>
          </cell>
          <cell r="D1949" t="str">
            <v>34</v>
          </cell>
          <cell r="E1949">
            <v>0</v>
          </cell>
          <cell r="G1949">
            <v>84</v>
          </cell>
          <cell r="H1949">
            <v>5974</v>
          </cell>
          <cell r="I1949">
            <v>0</v>
          </cell>
          <cell r="J1949">
            <v>0</v>
          </cell>
          <cell r="K1949">
            <v>583</v>
          </cell>
          <cell r="L1949">
            <v>0</v>
          </cell>
          <cell r="M1949">
            <v>0</v>
          </cell>
          <cell r="N1949">
            <v>497</v>
          </cell>
          <cell r="O1949">
            <v>6557</v>
          </cell>
          <cell r="P1949">
            <v>3955</v>
          </cell>
          <cell r="Q1949">
            <v>1</v>
          </cell>
          <cell r="R1949">
            <v>0</v>
          </cell>
          <cell r="S1949">
            <v>0</v>
          </cell>
          <cell r="T1949">
            <v>0</v>
          </cell>
          <cell r="U1949">
            <v>0</v>
          </cell>
          <cell r="V1949">
            <v>0</v>
          </cell>
          <cell r="W1949">
            <v>0</v>
          </cell>
        </row>
        <row r="1950">
          <cell r="A1950" t="str">
            <v>450351</v>
          </cell>
          <cell r="B1950" t="str">
            <v>1251</v>
          </cell>
          <cell r="C1950" t="str">
            <v>12</v>
          </cell>
          <cell r="D1950" t="str">
            <v>34</v>
          </cell>
          <cell r="E1950">
            <v>0</v>
          </cell>
          <cell r="G1950">
            <v>85</v>
          </cell>
          <cell r="H1950">
            <v>12179</v>
          </cell>
          <cell r="I1950">
            <v>0</v>
          </cell>
          <cell r="J1950">
            <v>0</v>
          </cell>
          <cell r="K1950">
            <v>3305</v>
          </cell>
          <cell r="L1950">
            <v>0</v>
          </cell>
          <cell r="M1950">
            <v>0</v>
          </cell>
          <cell r="N1950">
            <v>980</v>
          </cell>
          <cell r="O1950">
            <v>15484</v>
          </cell>
          <cell r="P1950">
            <v>3348</v>
          </cell>
          <cell r="Q1950">
            <v>3</v>
          </cell>
          <cell r="R1950">
            <v>0</v>
          </cell>
          <cell r="S1950">
            <v>0</v>
          </cell>
          <cell r="T1950">
            <v>0</v>
          </cell>
          <cell r="U1950">
            <v>0</v>
          </cell>
          <cell r="V1950">
            <v>0</v>
          </cell>
          <cell r="W1950">
            <v>0</v>
          </cell>
        </row>
        <row r="1951">
          <cell r="A1951" t="str">
            <v>450351</v>
          </cell>
          <cell r="B1951" t="str">
            <v>1251</v>
          </cell>
          <cell r="C1951" t="str">
            <v>12</v>
          </cell>
          <cell r="D1951" t="str">
            <v>34</v>
          </cell>
          <cell r="E1951">
            <v>0</v>
          </cell>
          <cell r="G1951">
            <v>88</v>
          </cell>
          <cell r="H1951">
            <v>61436</v>
          </cell>
          <cell r="I1951">
            <v>0</v>
          </cell>
          <cell r="J1951">
            <v>0</v>
          </cell>
          <cell r="K1951">
            <v>7315</v>
          </cell>
          <cell r="L1951">
            <v>0</v>
          </cell>
          <cell r="M1951">
            <v>0</v>
          </cell>
          <cell r="N1951">
            <v>5120</v>
          </cell>
          <cell r="O1951">
            <v>68751</v>
          </cell>
          <cell r="P1951">
            <v>4901</v>
          </cell>
          <cell r="Q1951">
            <v>20</v>
          </cell>
          <cell r="R1951">
            <v>0</v>
          </cell>
          <cell r="S1951">
            <v>0</v>
          </cell>
          <cell r="T1951">
            <v>0</v>
          </cell>
          <cell r="U1951">
            <v>0</v>
          </cell>
          <cell r="V1951">
            <v>0</v>
          </cell>
          <cell r="W1951">
            <v>0</v>
          </cell>
        </row>
        <row r="1952">
          <cell r="A1952" t="str">
            <v>450351</v>
          </cell>
          <cell r="B1952" t="str">
            <v>1251</v>
          </cell>
          <cell r="C1952" t="str">
            <v>12</v>
          </cell>
          <cell r="D1952" t="str">
            <v>34</v>
          </cell>
          <cell r="E1952">
            <v>0</v>
          </cell>
          <cell r="G1952">
            <v>94</v>
          </cell>
          <cell r="H1952">
            <v>64260</v>
          </cell>
          <cell r="I1952">
            <v>0</v>
          </cell>
          <cell r="J1952">
            <v>0</v>
          </cell>
          <cell r="K1952">
            <v>1387</v>
          </cell>
          <cell r="L1952">
            <v>0</v>
          </cell>
          <cell r="M1952">
            <v>0</v>
          </cell>
          <cell r="N1952">
            <v>5532</v>
          </cell>
          <cell r="O1952">
            <v>65647</v>
          </cell>
          <cell r="P1952">
            <v>11054</v>
          </cell>
          <cell r="Q1952">
            <v>76</v>
          </cell>
          <cell r="R1952">
            <v>0</v>
          </cell>
          <cell r="S1952">
            <v>0</v>
          </cell>
          <cell r="T1952">
            <v>0</v>
          </cell>
          <cell r="U1952">
            <v>0</v>
          </cell>
          <cell r="V1952">
            <v>0</v>
          </cell>
          <cell r="W1952">
            <v>0</v>
          </cell>
        </row>
        <row r="1953">
          <cell r="A1953" t="str">
            <v>450351</v>
          </cell>
          <cell r="B1953" t="str">
            <v>1251</v>
          </cell>
          <cell r="C1953" t="str">
            <v>12</v>
          </cell>
          <cell r="D1953" t="str">
            <v>34</v>
          </cell>
          <cell r="E1953">
            <v>0</v>
          </cell>
          <cell r="G1953">
            <v>95</v>
          </cell>
          <cell r="H1953">
            <v>56731</v>
          </cell>
          <cell r="I1953">
            <v>0</v>
          </cell>
          <cell r="J1953">
            <v>0</v>
          </cell>
          <cell r="K1953">
            <v>5318</v>
          </cell>
          <cell r="L1953">
            <v>0</v>
          </cell>
          <cell r="M1953">
            <v>0</v>
          </cell>
          <cell r="N1953">
            <v>4862</v>
          </cell>
          <cell r="O1953">
            <v>62049</v>
          </cell>
          <cell r="P1953">
            <v>12923</v>
          </cell>
          <cell r="Q1953">
            <v>57</v>
          </cell>
          <cell r="R1953">
            <v>0</v>
          </cell>
          <cell r="S1953">
            <v>0</v>
          </cell>
          <cell r="T1953">
            <v>0</v>
          </cell>
          <cell r="U1953">
            <v>0</v>
          </cell>
          <cell r="V1953">
            <v>0</v>
          </cell>
          <cell r="W1953">
            <v>0</v>
          </cell>
        </row>
        <row r="1954">
          <cell r="A1954" t="str">
            <v>450351</v>
          </cell>
          <cell r="B1954" t="str">
            <v>1251</v>
          </cell>
          <cell r="C1954" t="str">
            <v>12</v>
          </cell>
          <cell r="D1954" t="str">
            <v>34</v>
          </cell>
          <cell r="E1954">
            <v>0</v>
          </cell>
          <cell r="G1954">
            <v>96</v>
          </cell>
          <cell r="H1954">
            <v>84904</v>
          </cell>
          <cell r="I1954">
            <v>0</v>
          </cell>
          <cell r="J1954">
            <v>0</v>
          </cell>
          <cell r="K1954">
            <v>9285</v>
          </cell>
          <cell r="L1954">
            <v>0</v>
          </cell>
          <cell r="M1954">
            <v>0</v>
          </cell>
          <cell r="N1954">
            <v>7310</v>
          </cell>
          <cell r="O1954">
            <v>94189</v>
          </cell>
          <cell r="P1954">
            <v>13074</v>
          </cell>
          <cell r="Q1954">
            <v>84</v>
          </cell>
          <cell r="R1954">
            <v>0</v>
          </cell>
          <cell r="S1954">
            <v>0</v>
          </cell>
          <cell r="T1954">
            <v>0</v>
          </cell>
          <cell r="U1954">
            <v>0</v>
          </cell>
          <cell r="V1954">
            <v>0</v>
          </cell>
          <cell r="W1954">
            <v>0</v>
          </cell>
        </row>
        <row r="1955">
          <cell r="A1955" t="str">
            <v>450351</v>
          </cell>
          <cell r="B1955" t="str">
            <v>1251</v>
          </cell>
          <cell r="C1955" t="str">
            <v>12</v>
          </cell>
          <cell r="D1955" t="str">
            <v>34</v>
          </cell>
          <cell r="E1955">
            <v>0</v>
          </cell>
          <cell r="G1955">
            <v>97</v>
          </cell>
          <cell r="H1955">
            <v>125279</v>
          </cell>
          <cell r="I1955">
            <v>0</v>
          </cell>
          <cell r="J1955">
            <v>0</v>
          </cell>
          <cell r="K1955">
            <v>19716</v>
          </cell>
          <cell r="L1955">
            <v>0</v>
          </cell>
          <cell r="M1955">
            <v>0</v>
          </cell>
          <cell r="N1955">
            <v>10545</v>
          </cell>
          <cell r="O1955">
            <v>144995</v>
          </cell>
          <cell r="P1955">
            <v>26473</v>
          </cell>
          <cell r="Q1955">
            <v>117</v>
          </cell>
          <cell r="R1955">
            <v>0</v>
          </cell>
          <cell r="S1955">
            <v>0</v>
          </cell>
          <cell r="T1955">
            <v>0</v>
          </cell>
          <cell r="U1955">
            <v>0</v>
          </cell>
          <cell r="V1955">
            <v>0</v>
          </cell>
          <cell r="W1955">
            <v>0</v>
          </cell>
        </row>
        <row r="1956">
          <cell r="A1956" t="str">
            <v>450351</v>
          </cell>
          <cell r="B1956" t="str">
            <v>1251</v>
          </cell>
          <cell r="C1956" t="str">
            <v>12</v>
          </cell>
          <cell r="D1956" t="str">
            <v>34</v>
          </cell>
          <cell r="E1956">
            <v>0</v>
          </cell>
          <cell r="G1956">
            <v>98</v>
          </cell>
          <cell r="H1956">
            <v>324165</v>
          </cell>
          <cell r="I1956">
            <v>0</v>
          </cell>
          <cell r="J1956">
            <v>0</v>
          </cell>
          <cell r="K1956">
            <v>59995</v>
          </cell>
          <cell r="L1956">
            <v>0</v>
          </cell>
          <cell r="M1956">
            <v>0</v>
          </cell>
          <cell r="N1956">
            <v>27405</v>
          </cell>
          <cell r="O1956">
            <v>384160</v>
          </cell>
          <cell r="P1956">
            <v>83308</v>
          </cell>
          <cell r="Q1956">
            <v>279</v>
          </cell>
          <cell r="R1956">
            <v>0</v>
          </cell>
          <cell r="S1956">
            <v>0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</row>
        <row r="1957">
          <cell r="A1957" t="str">
            <v>450351</v>
          </cell>
          <cell r="B1957" t="str">
            <v>1251</v>
          </cell>
          <cell r="C1957" t="str">
            <v>12</v>
          </cell>
          <cell r="D1957" t="str">
            <v>34</v>
          </cell>
          <cell r="E1957">
            <v>0</v>
          </cell>
          <cell r="G1957">
            <v>99</v>
          </cell>
          <cell r="H1957">
            <v>67255</v>
          </cell>
          <cell r="I1957">
            <v>0</v>
          </cell>
          <cell r="J1957">
            <v>0</v>
          </cell>
          <cell r="K1957">
            <v>5457</v>
          </cell>
          <cell r="L1957">
            <v>0</v>
          </cell>
          <cell r="M1957">
            <v>0</v>
          </cell>
          <cell r="N1957">
            <v>5856</v>
          </cell>
          <cell r="O1957">
            <v>72712</v>
          </cell>
          <cell r="P1957">
            <v>9473</v>
          </cell>
          <cell r="Q1957">
            <v>41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</row>
        <row r="1958">
          <cell r="A1958" t="str">
            <v>450351</v>
          </cell>
          <cell r="B1958" t="str">
            <v>1251</v>
          </cell>
          <cell r="C1958" t="str">
            <v>12</v>
          </cell>
          <cell r="D1958" t="str">
            <v>34</v>
          </cell>
          <cell r="E1958">
            <v>0</v>
          </cell>
          <cell r="G1958">
            <v>100</v>
          </cell>
          <cell r="H1958">
            <v>8930</v>
          </cell>
          <cell r="I1958">
            <v>0</v>
          </cell>
          <cell r="J1958">
            <v>0</v>
          </cell>
          <cell r="K1958">
            <v>289</v>
          </cell>
          <cell r="L1958">
            <v>0</v>
          </cell>
          <cell r="M1958">
            <v>0</v>
          </cell>
          <cell r="N1958">
            <v>779</v>
          </cell>
          <cell r="O1958">
            <v>9219</v>
          </cell>
          <cell r="P1958">
            <v>1974</v>
          </cell>
          <cell r="Q1958">
            <v>5</v>
          </cell>
          <cell r="R1958">
            <v>0</v>
          </cell>
          <cell r="S1958">
            <v>0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</row>
        <row r="1959">
          <cell r="A1959" t="str">
            <v>450351</v>
          </cell>
          <cell r="B1959" t="str">
            <v>1251</v>
          </cell>
          <cell r="C1959" t="str">
            <v>12</v>
          </cell>
          <cell r="D1959" t="str">
            <v>34</v>
          </cell>
          <cell r="E1959">
            <v>0</v>
          </cell>
          <cell r="G1959">
            <v>101</v>
          </cell>
          <cell r="H1959">
            <v>28045</v>
          </cell>
          <cell r="I1959">
            <v>0</v>
          </cell>
          <cell r="J1959">
            <v>0</v>
          </cell>
          <cell r="K1959">
            <v>1908</v>
          </cell>
          <cell r="L1959">
            <v>0</v>
          </cell>
          <cell r="M1959">
            <v>0</v>
          </cell>
          <cell r="N1959">
            <v>2303</v>
          </cell>
          <cell r="O1959">
            <v>29953</v>
          </cell>
          <cell r="P1959">
            <v>8341</v>
          </cell>
          <cell r="Q1959">
            <v>16</v>
          </cell>
          <cell r="R1959">
            <v>0</v>
          </cell>
          <cell r="S1959">
            <v>0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</row>
        <row r="1960">
          <cell r="A1960" t="str">
            <v>450351</v>
          </cell>
          <cell r="B1960" t="str">
            <v>1251</v>
          </cell>
          <cell r="C1960" t="str">
            <v>12</v>
          </cell>
          <cell r="D1960" t="str">
            <v>34</v>
          </cell>
          <cell r="E1960">
            <v>0</v>
          </cell>
          <cell r="G1960">
            <v>102</v>
          </cell>
          <cell r="H1960">
            <v>138514</v>
          </cell>
          <cell r="I1960">
            <v>0</v>
          </cell>
          <cell r="J1960">
            <v>0</v>
          </cell>
          <cell r="K1960">
            <v>9598</v>
          </cell>
          <cell r="L1960">
            <v>0</v>
          </cell>
          <cell r="M1960">
            <v>0</v>
          </cell>
          <cell r="N1960">
            <v>7153</v>
          </cell>
          <cell r="O1960">
            <v>148112</v>
          </cell>
          <cell r="P1960">
            <v>21128</v>
          </cell>
          <cell r="Q1960">
            <v>31</v>
          </cell>
          <cell r="R1960">
            <v>0</v>
          </cell>
          <cell r="S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0</v>
          </cell>
        </row>
        <row r="1961">
          <cell r="A1961" t="str">
            <v>450351</v>
          </cell>
          <cell r="B1961" t="str">
            <v>1251</v>
          </cell>
          <cell r="C1961" t="str">
            <v>12</v>
          </cell>
          <cell r="D1961" t="str">
            <v>34</v>
          </cell>
          <cell r="E1961">
            <v>0</v>
          </cell>
          <cell r="G1961">
            <v>105</v>
          </cell>
          <cell r="H1961">
            <v>977672</v>
          </cell>
          <cell r="I1961">
            <v>0</v>
          </cell>
          <cell r="J1961">
            <v>0</v>
          </cell>
          <cell r="K1961">
            <v>124156</v>
          </cell>
          <cell r="L1961">
            <v>0</v>
          </cell>
          <cell r="M1961">
            <v>0</v>
          </cell>
          <cell r="N1961">
            <v>78342</v>
          </cell>
          <cell r="O1961">
            <v>1101828</v>
          </cell>
          <cell r="P1961">
            <v>199952</v>
          </cell>
          <cell r="Q1961">
            <v>730</v>
          </cell>
          <cell r="R1961">
            <v>0</v>
          </cell>
          <cell r="S1961">
            <v>0</v>
          </cell>
          <cell r="T1961">
            <v>0</v>
          </cell>
          <cell r="U1961">
            <v>0</v>
          </cell>
          <cell r="V1961">
            <v>0</v>
          </cell>
          <cell r="W1961">
            <v>0</v>
          </cell>
        </row>
        <row r="1962">
          <cell r="A1962" t="str">
            <v>450351</v>
          </cell>
          <cell r="B1962" t="str">
            <v>1251</v>
          </cell>
          <cell r="C1962" t="str">
            <v>12</v>
          </cell>
          <cell r="D1962" t="str">
            <v>34</v>
          </cell>
          <cell r="E1962">
            <v>0</v>
          </cell>
          <cell r="G1962">
            <v>151</v>
          </cell>
          <cell r="H1962">
            <v>977672</v>
          </cell>
          <cell r="I1962">
            <v>0</v>
          </cell>
          <cell r="J1962">
            <v>0</v>
          </cell>
          <cell r="K1962">
            <v>124156</v>
          </cell>
          <cell r="L1962">
            <v>0</v>
          </cell>
          <cell r="M1962">
            <v>0</v>
          </cell>
          <cell r="N1962">
            <v>78342</v>
          </cell>
          <cell r="O1962">
            <v>1101828</v>
          </cell>
          <cell r="P1962">
            <v>199952</v>
          </cell>
          <cell r="Q1962">
            <v>730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>
            <v>0</v>
          </cell>
          <cell r="W1962">
            <v>0</v>
          </cell>
        </row>
        <row r="1963">
          <cell r="A1963" t="str">
            <v>450351</v>
          </cell>
          <cell r="B1963" t="str">
            <v>1251</v>
          </cell>
          <cell r="C1963" t="str">
            <v>12</v>
          </cell>
          <cell r="D1963" t="str">
            <v>34</v>
          </cell>
          <cell r="E1963">
            <v>0</v>
          </cell>
          <cell r="G1963">
            <v>153</v>
          </cell>
          <cell r="H1963">
            <v>40380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  <cell r="M1963">
            <v>0</v>
          </cell>
          <cell r="N1963">
            <v>3104</v>
          </cell>
          <cell r="O1963">
            <v>40380</v>
          </cell>
          <cell r="P1963">
            <v>6603</v>
          </cell>
          <cell r="Q1963">
            <v>23</v>
          </cell>
          <cell r="R1963">
            <v>0</v>
          </cell>
          <cell r="S1963">
            <v>0</v>
          </cell>
          <cell r="T1963">
            <v>0</v>
          </cell>
          <cell r="U1963">
            <v>0</v>
          </cell>
          <cell r="V1963">
            <v>0</v>
          </cell>
          <cell r="W1963">
            <v>0</v>
          </cell>
        </row>
        <row r="1964">
          <cell r="A1964" t="str">
            <v>450351</v>
          </cell>
          <cell r="B1964" t="str">
            <v>1251</v>
          </cell>
          <cell r="C1964" t="str">
            <v>12</v>
          </cell>
          <cell r="D1964" t="str">
            <v>34</v>
          </cell>
          <cell r="E1964">
            <v>0</v>
          </cell>
          <cell r="G1964">
            <v>157</v>
          </cell>
          <cell r="H1964">
            <v>40380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  <cell r="M1964">
            <v>0</v>
          </cell>
          <cell r="N1964">
            <v>3104</v>
          </cell>
          <cell r="O1964">
            <v>40380</v>
          </cell>
          <cell r="P1964">
            <v>6603</v>
          </cell>
          <cell r="Q1964">
            <v>23</v>
          </cell>
          <cell r="R1964">
            <v>0</v>
          </cell>
          <cell r="S1964">
            <v>0</v>
          </cell>
          <cell r="T1964">
            <v>0</v>
          </cell>
          <cell r="U1964">
            <v>0</v>
          </cell>
          <cell r="V1964">
            <v>0</v>
          </cell>
          <cell r="W1964">
            <v>0</v>
          </cell>
        </row>
        <row r="1965">
          <cell r="A1965" t="str">
            <v>450351</v>
          </cell>
          <cell r="B1965" t="str">
            <v>1251</v>
          </cell>
          <cell r="C1965" t="str">
            <v>12</v>
          </cell>
          <cell r="D1965" t="str">
            <v>34</v>
          </cell>
          <cell r="E1965">
            <v>0</v>
          </cell>
          <cell r="G1965">
            <v>158</v>
          </cell>
          <cell r="H1965">
            <v>1018052</v>
          </cell>
          <cell r="I1965">
            <v>0</v>
          </cell>
          <cell r="J1965">
            <v>0</v>
          </cell>
          <cell r="K1965">
            <v>124156</v>
          </cell>
          <cell r="L1965">
            <v>0</v>
          </cell>
          <cell r="M1965">
            <v>0</v>
          </cell>
          <cell r="N1965">
            <v>81446</v>
          </cell>
          <cell r="O1965">
            <v>1142208</v>
          </cell>
          <cell r="P1965">
            <v>206555</v>
          </cell>
          <cell r="Q1965">
            <v>753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</row>
        <row r="1966">
          <cell r="A1966" t="str">
            <v>450351</v>
          </cell>
          <cell r="B1966" t="str">
            <v>1251</v>
          </cell>
          <cell r="C1966" t="str">
            <v>12</v>
          </cell>
          <cell r="D1966" t="str">
            <v>35</v>
          </cell>
          <cell r="E1966">
            <v>1</v>
          </cell>
          <cell r="G1966">
            <v>1101828</v>
          </cell>
          <cell r="H1966">
            <v>40380</v>
          </cell>
          <cell r="I1966">
            <v>0</v>
          </cell>
          <cell r="J1966">
            <v>0</v>
          </cell>
          <cell r="K1966">
            <v>1142208</v>
          </cell>
          <cell r="L1966">
            <v>199952</v>
          </cell>
          <cell r="M1966">
            <v>6603</v>
          </cell>
          <cell r="N1966">
            <v>0</v>
          </cell>
          <cell r="O1966">
            <v>0</v>
          </cell>
          <cell r="P1966">
            <v>206555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</row>
        <row r="1967">
          <cell r="A1967" t="str">
            <v>450351</v>
          </cell>
          <cell r="B1967" t="str">
            <v>1251</v>
          </cell>
          <cell r="C1967" t="str">
            <v>12</v>
          </cell>
          <cell r="D1967" t="str">
            <v>35</v>
          </cell>
          <cell r="E1967">
            <v>4</v>
          </cell>
          <cell r="G1967">
            <v>36397</v>
          </cell>
          <cell r="H1967">
            <v>394</v>
          </cell>
          <cell r="I1967">
            <v>0</v>
          </cell>
          <cell r="J1967">
            <v>0</v>
          </cell>
          <cell r="K1967">
            <v>36791</v>
          </cell>
          <cell r="L1967">
            <v>33904</v>
          </cell>
          <cell r="M1967">
            <v>155</v>
          </cell>
          <cell r="N1967">
            <v>0</v>
          </cell>
          <cell r="O1967">
            <v>0</v>
          </cell>
          <cell r="P1967">
            <v>34059</v>
          </cell>
          <cell r="Q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V1967">
            <v>0</v>
          </cell>
          <cell r="W1967">
            <v>0</v>
          </cell>
        </row>
        <row r="1968">
          <cell r="A1968" t="str">
            <v>450351</v>
          </cell>
          <cell r="B1968" t="str">
            <v>1251</v>
          </cell>
          <cell r="C1968" t="str">
            <v>12</v>
          </cell>
          <cell r="D1968" t="str">
            <v>35</v>
          </cell>
          <cell r="E1968">
            <v>7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270253</v>
          </cell>
          <cell r="M1968">
            <v>7152</v>
          </cell>
          <cell r="N1968">
            <v>0</v>
          </cell>
          <cell r="O1968">
            <v>0</v>
          </cell>
          <cell r="P1968">
            <v>277405</v>
          </cell>
          <cell r="Q1968">
            <v>0</v>
          </cell>
          <cell r="R1968">
            <v>0</v>
          </cell>
          <cell r="S1968">
            <v>27960</v>
          </cell>
          <cell r="T1968">
            <v>0</v>
          </cell>
          <cell r="U1968">
            <v>27960</v>
          </cell>
          <cell r="V1968">
            <v>0</v>
          </cell>
          <cell r="W1968">
            <v>0</v>
          </cell>
        </row>
        <row r="1969">
          <cell r="A1969" t="str">
            <v>450351</v>
          </cell>
          <cell r="B1969" t="str">
            <v>1251</v>
          </cell>
          <cell r="C1969" t="str">
            <v>12</v>
          </cell>
          <cell r="D1969" t="str">
            <v>35</v>
          </cell>
          <cell r="E1969">
            <v>10</v>
          </cell>
          <cell r="G1969">
            <v>1372081</v>
          </cell>
          <cell r="H1969">
            <v>47532</v>
          </cell>
          <cell r="I1969">
            <v>27960</v>
          </cell>
          <cell r="J1969">
            <v>0</v>
          </cell>
          <cell r="K1969">
            <v>1447573</v>
          </cell>
          <cell r="L1969">
            <v>730</v>
          </cell>
          <cell r="M1969">
            <v>26</v>
          </cell>
          <cell r="N1969">
            <v>10</v>
          </cell>
          <cell r="O1969">
            <v>0</v>
          </cell>
          <cell r="P1969">
            <v>766</v>
          </cell>
          <cell r="Q1969">
            <v>746</v>
          </cell>
          <cell r="R1969">
            <v>22</v>
          </cell>
          <cell r="S1969">
            <v>0</v>
          </cell>
          <cell r="T1969">
            <v>0</v>
          </cell>
          <cell r="U1969">
            <v>768</v>
          </cell>
          <cell r="V1969">
            <v>0</v>
          </cell>
          <cell r="W1969">
            <v>0</v>
          </cell>
        </row>
        <row r="1970">
          <cell r="A1970" t="str">
            <v>450351</v>
          </cell>
          <cell r="B1970" t="str">
            <v>1251</v>
          </cell>
          <cell r="C1970" t="str">
            <v>12</v>
          </cell>
          <cell r="D1970" t="str">
            <v>35</v>
          </cell>
          <cell r="E1970">
            <v>13</v>
          </cell>
          <cell r="G1970">
            <v>766</v>
          </cell>
          <cell r="H1970">
            <v>29</v>
          </cell>
          <cell r="I1970">
            <v>17</v>
          </cell>
          <cell r="J1970">
            <v>0</v>
          </cell>
          <cell r="K1970">
            <v>812</v>
          </cell>
          <cell r="L1970">
            <v>742</v>
          </cell>
          <cell r="M1970">
            <v>23</v>
          </cell>
          <cell r="N1970">
            <v>17</v>
          </cell>
          <cell r="O1970">
            <v>0</v>
          </cell>
          <cell r="P1970">
            <v>782</v>
          </cell>
          <cell r="Q1970">
            <v>767</v>
          </cell>
          <cell r="R1970">
            <v>23</v>
          </cell>
          <cell r="S1970">
            <v>0</v>
          </cell>
          <cell r="T1970">
            <v>0</v>
          </cell>
          <cell r="U1970">
            <v>790</v>
          </cell>
          <cell r="V1970">
            <v>0</v>
          </cell>
          <cell r="W1970">
            <v>0</v>
          </cell>
        </row>
        <row r="1971">
          <cell r="A1971" t="str">
            <v>450351</v>
          </cell>
          <cell r="B1971" t="str">
            <v>1251</v>
          </cell>
          <cell r="C1971" t="str">
            <v>12</v>
          </cell>
          <cell r="D1971" t="str">
            <v>35</v>
          </cell>
          <cell r="E1971">
            <v>16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30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P1971">
            <v>22</v>
          </cell>
          <cell r="Q1971">
            <v>730</v>
          </cell>
          <cell r="R1971">
            <v>23</v>
          </cell>
          <cell r="S1971">
            <v>0</v>
          </cell>
          <cell r="T1971">
            <v>0</v>
          </cell>
          <cell r="U1971">
            <v>753</v>
          </cell>
          <cell r="V1971">
            <v>0</v>
          </cell>
          <cell r="W1971">
            <v>0</v>
          </cell>
        </row>
        <row r="1972">
          <cell r="A1972" t="str">
            <v>450351</v>
          </cell>
          <cell r="B1972" t="str">
            <v>1251</v>
          </cell>
          <cell r="C1972" t="str">
            <v>12</v>
          </cell>
          <cell r="D1972" t="str">
            <v>35</v>
          </cell>
          <cell r="E1972">
            <v>19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P1972">
            <v>0</v>
          </cell>
          <cell r="Q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0</v>
          </cell>
          <cell r="V1972">
            <v>0</v>
          </cell>
          <cell r="W1972">
            <v>0</v>
          </cell>
        </row>
        <row r="1973">
          <cell r="A1973" t="str">
            <v>450351</v>
          </cell>
          <cell r="B1973" t="str">
            <v>1251</v>
          </cell>
          <cell r="C1973" t="str">
            <v>12</v>
          </cell>
          <cell r="D1973" t="str">
            <v>37</v>
          </cell>
          <cell r="E1973">
            <v>0</v>
          </cell>
          <cell r="G1973">
            <v>85112101</v>
          </cell>
          <cell r="H1973">
            <v>529</v>
          </cell>
          <cell r="I1973">
            <v>20</v>
          </cell>
          <cell r="J1973">
            <v>529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</row>
        <row r="1974">
          <cell r="A1974" t="str">
            <v>450351</v>
          </cell>
          <cell r="B1974" t="str">
            <v>1251</v>
          </cell>
          <cell r="C1974" t="str">
            <v>12</v>
          </cell>
          <cell r="D1974" t="str">
            <v>37</v>
          </cell>
          <cell r="E1974">
            <v>0</v>
          </cell>
          <cell r="G1974">
            <v>85112102</v>
          </cell>
          <cell r="H1974">
            <v>0</v>
          </cell>
          <cell r="I1974">
            <v>0</v>
          </cell>
          <cell r="J1974">
            <v>1118746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0</v>
          </cell>
          <cell r="Q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0</v>
          </cell>
          <cell r="V1974">
            <v>0</v>
          </cell>
          <cell r="W1974">
            <v>0</v>
          </cell>
        </row>
        <row r="1975">
          <cell r="A1975" t="str">
            <v>450351</v>
          </cell>
          <cell r="B1975" t="str">
            <v>1251</v>
          </cell>
          <cell r="C1975" t="str">
            <v>12</v>
          </cell>
          <cell r="D1975" t="str">
            <v>37</v>
          </cell>
          <cell r="E1975">
            <v>0</v>
          </cell>
          <cell r="G1975">
            <v>85114301</v>
          </cell>
          <cell r="H1975">
            <v>232</v>
          </cell>
          <cell r="I1975">
            <v>0</v>
          </cell>
          <cell r="J1975">
            <v>232</v>
          </cell>
          <cell r="K1975">
            <v>0</v>
          </cell>
          <cell r="L1975">
            <v>0</v>
          </cell>
          <cell r="M1975">
            <v>0</v>
          </cell>
          <cell r="N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V1975">
            <v>0</v>
          </cell>
          <cell r="W1975">
            <v>0</v>
          </cell>
        </row>
        <row r="1976">
          <cell r="A1976" t="str">
            <v>450351</v>
          </cell>
          <cell r="B1976" t="str">
            <v>1251</v>
          </cell>
          <cell r="C1976" t="str">
            <v>12</v>
          </cell>
          <cell r="D1976" t="str">
            <v>37</v>
          </cell>
          <cell r="E1976">
            <v>0</v>
          </cell>
          <cell r="G1976">
            <v>85114302</v>
          </cell>
          <cell r="H1976">
            <v>0</v>
          </cell>
          <cell r="I1976">
            <v>0</v>
          </cell>
          <cell r="J1976">
            <v>68879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0</v>
          </cell>
          <cell r="V1976">
            <v>0</v>
          </cell>
          <cell r="W1976">
            <v>0</v>
          </cell>
        </row>
        <row r="1977">
          <cell r="A1977" t="str">
            <v>450351</v>
          </cell>
          <cell r="B1977" t="str">
            <v>1251</v>
          </cell>
          <cell r="C1977" t="str">
            <v>12</v>
          </cell>
          <cell r="D1977" t="str">
            <v>37</v>
          </cell>
          <cell r="E1977">
            <v>0</v>
          </cell>
          <cell r="G1977">
            <v>85125301</v>
          </cell>
          <cell r="H1977">
            <v>6</v>
          </cell>
          <cell r="I1977">
            <v>0</v>
          </cell>
          <cell r="J1977">
            <v>6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0</v>
          </cell>
          <cell r="V1977">
            <v>0</v>
          </cell>
          <cell r="W1977">
            <v>0</v>
          </cell>
        </row>
        <row r="1978">
          <cell r="A1978" t="str">
            <v>450351</v>
          </cell>
          <cell r="B1978" t="str">
            <v>1251</v>
          </cell>
          <cell r="C1978" t="str">
            <v>12</v>
          </cell>
          <cell r="D1978" t="str">
            <v>37</v>
          </cell>
          <cell r="E1978">
            <v>0</v>
          </cell>
          <cell r="G1978">
            <v>85127501</v>
          </cell>
          <cell r="H1978">
            <v>1185</v>
          </cell>
          <cell r="I1978">
            <v>35</v>
          </cell>
          <cell r="J1978">
            <v>1201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V1978">
            <v>0</v>
          </cell>
          <cell r="W1978">
            <v>0</v>
          </cell>
        </row>
        <row r="1979">
          <cell r="A1979" t="str">
            <v>450351</v>
          </cell>
          <cell r="B1979" t="str">
            <v>1251</v>
          </cell>
          <cell r="C1979" t="str">
            <v>12</v>
          </cell>
          <cell r="D1979" t="str">
            <v>37</v>
          </cell>
          <cell r="E1979">
            <v>0</v>
          </cell>
          <cell r="G1979">
            <v>85127502</v>
          </cell>
          <cell r="H1979">
            <v>0</v>
          </cell>
          <cell r="I1979">
            <v>0</v>
          </cell>
          <cell r="J1979">
            <v>317873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0</v>
          </cell>
          <cell r="P1979">
            <v>0</v>
          </cell>
          <cell r="Q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0</v>
          </cell>
          <cell r="V1979">
            <v>0</v>
          </cell>
          <cell r="W1979">
            <v>0</v>
          </cell>
        </row>
        <row r="1980">
          <cell r="A1980" t="str">
            <v>450351</v>
          </cell>
          <cell r="B1980" t="str">
            <v>1251</v>
          </cell>
          <cell r="C1980" t="str">
            <v>12</v>
          </cell>
          <cell r="D1980" t="str">
            <v>37</v>
          </cell>
          <cell r="E1980">
            <v>0</v>
          </cell>
          <cell r="G1980">
            <v>85128601</v>
          </cell>
          <cell r="H1980">
            <v>4</v>
          </cell>
          <cell r="I1980">
            <v>0</v>
          </cell>
          <cell r="J1980">
            <v>4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0</v>
          </cell>
          <cell r="V1980">
            <v>0</v>
          </cell>
          <cell r="W1980">
            <v>0</v>
          </cell>
        </row>
        <row r="1981">
          <cell r="A1981" t="str">
            <v>450351</v>
          </cell>
          <cell r="B1981" t="str">
            <v>1251</v>
          </cell>
          <cell r="C1981" t="str">
            <v>12</v>
          </cell>
          <cell r="D1981" t="str">
            <v>37</v>
          </cell>
          <cell r="E1981">
            <v>0</v>
          </cell>
          <cell r="G1981">
            <v>99999901</v>
          </cell>
          <cell r="H1981">
            <v>1956</v>
          </cell>
          <cell r="I1981">
            <v>55</v>
          </cell>
          <cell r="J1981">
            <v>1972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0</v>
          </cell>
          <cell r="V1981">
            <v>0</v>
          </cell>
          <cell r="W1981">
            <v>0</v>
          </cell>
        </row>
        <row r="1982">
          <cell r="A1982" t="str">
            <v>450351</v>
          </cell>
          <cell r="B1982" t="str">
            <v>1251</v>
          </cell>
          <cell r="C1982" t="str">
            <v>12</v>
          </cell>
          <cell r="D1982" t="str">
            <v>37</v>
          </cell>
          <cell r="E1982">
            <v>0</v>
          </cell>
          <cell r="G1982">
            <v>99999902</v>
          </cell>
          <cell r="H1982">
            <v>0</v>
          </cell>
          <cell r="I1982">
            <v>0</v>
          </cell>
          <cell r="J1982">
            <v>1505498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0</v>
          </cell>
          <cell r="V1982">
            <v>0</v>
          </cell>
          <cell r="W1982">
            <v>0</v>
          </cell>
        </row>
        <row r="1983">
          <cell r="A1983" t="str">
            <v>450351</v>
          </cell>
          <cell r="B1983" t="str">
            <v>1251</v>
          </cell>
          <cell r="C1983" t="str">
            <v>12</v>
          </cell>
          <cell r="D1983" t="str">
            <v>38</v>
          </cell>
          <cell r="E1983">
            <v>1</v>
          </cell>
          <cell r="G1983">
            <v>40412</v>
          </cell>
          <cell r="H1983">
            <v>2870619</v>
          </cell>
          <cell r="I1983">
            <v>1249510</v>
          </cell>
          <cell r="J1983">
            <v>12880</v>
          </cell>
          <cell r="K1983">
            <v>0</v>
          </cell>
          <cell r="L1983">
            <v>0</v>
          </cell>
          <cell r="M1983">
            <v>0</v>
          </cell>
          <cell r="N1983">
            <v>4173421</v>
          </cell>
          <cell r="O1983">
            <v>0</v>
          </cell>
          <cell r="P1983">
            <v>0</v>
          </cell>
          <cell r="Q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0</v>
          </cell>
          <cell r="V1983">
            <v>0</v>
          </cell>
          <cell r="W1983">
            <v>0</v>
          </cell>
        </row>
        <row r="1984">
          <cell r="A1984" t="str">
            <v>450351</v>
          </cell>
          <cell r="B1984" t="str">
            <v>1251</v>
          </cell>
          <cell r="C1984" t="str">
            <v>12</v>
          </cell>
          <cell r="D1984" t="str">
            <v>38</v>
          </cell>
          <cell r="E1984">
            <v>2</v>
          </cell>
          <cell r="G1984">
            <v>7614</v>
          </cell>
          <cell r="H1984">
            <v>30</v>
          </cell>
          <cell r="I1984">
            <v>14281</v>
          </cell>
          <cell r="J1984">
            <v>0</v>
          </cell>
          <cell r="K1984">
            <v>0</v>
          </cell>
          <cell r="L1984">
            <v>0</v>
          </cell>
          <cell r="M1984">
            <v>0</v>
          </cell>
          <cell r="N1984">
            <v>21925</v>
          </cell>
          <cell r="O1984">
            <v>0</v>
          </cell>
          <cell r="P1984">
            <v>0</v>
          </cell>
          <cell r="Q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0</v>
          </cell>
          <cell r="V1984">
            <v>0</v>
          </cell>
          <cell r="W1984">
            <v>0</v>
          </cell>
        </row>
        <row r="1985">
          <cell r="A1985" t="str">
            <v>450351</v>
          </cell>
          <cell r="B1985" t="str">
            <v>1251</v>
          </cell>
          <cell r="C1985" t="str">
            <v>12</v>
          </cell>
          <cell r="D1985" t="str">
            <v>38</v>
          </cell>
          <cell r="E1985">
            <v>3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</row>
        <row r="1986">
          <cell r="A1986" t="str">
            <v>450351</v>
          </cell>
          <cell r="B1986" t="str">
            <v>1251</v>
          </cell>
          <cell r="C1986" t="str">
            <v>12</v>
          </cell>
          <cell r="D1986" t="str">
            <v>38</v>
          </cell>
          <cell r="E1986">
            <v>4</v>
          </cell>
          <cell r="G1986">
            <v>1523</v>
          </cell>
          <cell r="H1986">
            <v>6</v>
          </cell>
          <cell r="I1986">
            <v>2969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4498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</row>
        <row r="1987">
          <cell r="A1987" t="str">
            <v>450351</v>
          </cell>
          <cell r="B1987" t="str">
            <v>1251</v>
          </cell>
          <cell r="C1987" t="str">
            <v>12</v>
          </cell>
          <cell r="D1987" t="str">
            <v>38</v>
          </cell>
          <cell r="E1987">
            <v>5</v>
          </cell>
          <cell r="G1987">
            <v>9137</v>
          </cell>
          <cell r="H1987">
            <v>36</v>
          </cell>
          <cell r="I1987">
            <v>17250</v>
          </cell>
          <cell r="J1987">
            <v>0</v>
          </cell>
          <cell r="K1987">
            <v>0</v>
          </cell>
          <cell r="L1987">
            <v>0</v>
          </cell>
          <cell r="M1987">
            <v>0</v>
          </cell>
          <cell r="N1987">
            <v>26423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0</v>
          </cell>
          <cell r="V1987">
            <v>0</v>
          </cell>
          <cell r="W1987">
            <v>0</v>
          </cell>
        </row>
        <row r="1988">
          <cell r="A1988" t="str">
            <v>450351</v>
          </cell>
          <cell r="B1988" t="str">
            <v>1251</v>
          </cell>
          <cell r="C1988" t="str">
            <v>12</v>
          </cell>
          <cell r="D1988" t="str">
            <v>38</v>
          </cell>
          <cell r="E1988">
            <v>6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0</v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</row>
        <row r="1989">
          <cell r="A1989" t="str">
            <v>450351</v>
          </cell>
          <cell r="B1989" t="str">
            <v>1251</v>
          </cell>
          <cell r="C1989" t="str">
            <v>12</v>
          </cell>
          <cell r="D1989" t="str">
            <v>38</v>
          </cell>
          <cell r="E1989">
            <v>7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</row>
        <row r="1990">
          <cell r="A1990" t="str">
            <v>450351</v>
          </cell>
          <cell r="B1990" t="str">
            <v>1251</v>
          </cell>
          <cell r="C1990" t="str">
            <v>12</v>
          </cell>
          <cell r="D1990" t="str">
            <v>38</v>
          </cell>
          <cell r="E1990">
            <v>8</v>
          </cell>
          <cell r="G1990">
            <v>1853</v>
          </cell>
          <cell r="H1990">
            <v>0</v>
          </cell>
          <cell r="I1990">
            <v>49797</v>
          </cell>
          <cell r="J1990">
            <v>3038</v>
          </cell>
          <cell r="K1990">
            <v>0</v>
          </cell>
          <cell r="L1990">
            <v>0</v>
          </cell>
          <cell r="M1990">
            <v>0</v>
          </cell>
          <cell r="N1990">
            <v>54688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</row>
        <row r="1991">
          <cell r="A1991" t="str">
            <v>450351</v>
          </cell>
          <cell r="B1991" t="str">
            <v>1251</v>
          </cell>
          <cell r="C1991" t="str">
            <v>12</v>
          </cell>
          <cell r="D1991" t="str">
            <v>38</v>
          </cell>
          <cell r="E1991">
            <v>9</v>
          </cell>
          <cell r="G1991">
            <v>546</v>
          </cell>
          <cell r="H1991">
            <v>13368</v>
          </cell>
          <cell r="I1991">
            <v>211958</v>
          </cell>
          <cell r="J1991">
            <v>1300</v>
          </cell>
          <cell r="K1991">
            <v>0</v>
          </cell>
          <cell r="L1991">
            <v>0</v>
          </cell>
          <cell r="M1991">
            <v>0</v>
          </cell>
          <cell r="N1991">
            <v>227172</v>
          </cell>
          <cell r="O1991">
            <v>0</v>
          </cell>
          <cell r="P1991">
            <v>0</v>
          </cell>
          <cell r="Q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0</v>
          </cell>
          <cell r="V1991">
            <v>0</v>
          </cell>
          <cell r="W1991">
            <v>0</v>
          </cell>
        </row>
        <row r="1992">
          <cell r="A1992" t="str">
            <v>450351</v>
          </cell>
          <cell r="B1992" t="str">
            <v>1251</v>
          </cell>
          <cell r="C1992" t="str">
            <v>12</v>
          </cell>
          <cell r="D1992" t="str">
            <v>38</v>
          </cell>
          <cell r="E1992">
            <v>10</v>
          </cell>
          <cell r="G1992">
            <v>2399</v>
          </cell>
          <cell r="H1992">
            <v>13368</v>
          </cell>
          <cell r="I1992">
            <v>261755</v>
          </cell>
          <cell r="J1992">
            <v>4338</v>
          </cell>
          <cell r="K1992">
            <v>0</v>
          </cell>
          <cell r="L1992">
            <v>0</v>
          </cell>
          <cell r="M1992">
            <v>0</v>
          </cell>
          <cell r="N1992">
            <v>281860</v>
          </cell>
          <cell r="O1992">
            <v>0</v>
          </cell>
          <cell r="P1992">
            <v>0</v>
          </cell>
          <cell r="Q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0</v>
          </cell>
          <cell r="V1992">
            <v>0</v>
          </cell>
          <cell r="W1992">
            <v>0</v>
          </cell>
        </row>
        <row r="1993">
          <cell r="A1993" t="str">
            <v>450351</v>
          </cell>
          <cell r="B1993" t="str">
            <v>1251</v>
          </cell>
          <cell r="C1993" t="str">
            <v>12</v>
          </cell>
          <cell r="D1993" t="str">
            <v>38</v>
          </cell>
          <cell r="E1993">
            <v>11</v>
          </cell>
          <cell r="G1993">
            <v>11536</v>
          </cell>
          <cell r="H1993">
            <v>13404</v>
          </cell>
          <cell r="I1993">
            <v>279005</v>
          </cell>
          <cell r="J1993">
            <v>4338</v>
          </cell>
          <cell r="K1993">
            <v>0</v>
          </cell>
          <cell r="L1993">
            <v>0</v>
          </cell>
          <cell r="M1993">
            <v>0</v>
          </cell>
          <cell r="N1993">
            <v>308283</v>
          </cell>
          <cell r="O1993">
            <v>0</v>
          </cell>
          <cell r="P1993">
            <v>0</v>
          </cell>
          <cell r="Q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0</v>
          </cell>
          <cell r="V1993">
            <v>0</v>
          </cell>
          <cell r="W1993">
            <v>0</v>
          </cell>
        </row>
        <row r="1994">
          <cell r="A1994" t="str">
            <v>450351</v>
          </cell>
          <cell r="B1994" t="str">
            <v>1251</v>
          </cell>
          <cell r="C1994" t="str">
            <v>12</v>
          </cell>
          <cell r="D1994" t="str">
            <v>38</v>
          </cell>
          <cell r="E1994">
            <v>12</v>
          </cell>
          <cell r="G1994">
            <v>0</v>
          </cell>
          <cell r="H1994">
            <v>0</v>
          </cell>
          <cell r="I1994">
            <v>5749</v>
          </cell>
          <cell r="J1994">
            <v>2354</v>
          </cell>
          <cell r="K1994">
            <v>0</v>
          </cell>
          <cell r="L1994">
            <v>0</v>
          </cell>
          <cell r="M1994">
            <v>0</v>
          </cell>
          <cell r="N1994">
            <v>8103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0</v>
          </cell>
          <cell r="V1994">
            <v>0</v>
          </cell>
          <cell r="W1994">
            <v>0</v>
          </cell>
        </row>
        <row r="1995">
          <cell r="A1995" t="str">
            <v>450351</v>
          </cell>
          <cell r="B1995" t="str">
            <v>1251</v>
          </cell>
          <cell r="C1995" t="str">
            <v>12</v>
          </cell>
          <cell r="D1995" t="str">
            <v>38</v>
          </cell>
          <cell r="E1995">
            <v>13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</row>
        <row r="1996">
          <cell r="A1996" t="str">
            <v>450351</v>
          </cell>
          <cell r="B1996" t="str">
            <v>1251</v>
          </cell>
          <cell r="C1996" t="str">
            <v>12</v>
          </cell>
          <cell r="D1996" t="str">
            <v>38</v>
          </cell>
          <cell r="E1996">
            <v>14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</row>
        <row r="1997">
          <cell r="A1997" t="str">
            <v>450351</v>
          </cell>
          <cell r="B1997" t="str">
            <v>1251</v>
          </cell>
          <cell r="C1997" t="str">
            <v>12</v>
          </cell>
          <cell r="D1997" t="str">
            <v>38</v>
          </cell>
          <cell r="E1997">
            <v>15</v>
          </cell>
          <cell r="G1997">
            <v>0</v>
          </cell>
          <cell r="H1997">
            <v>0</v>
          </cell>
          <cell r="I1997">
            <v>11502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11502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0</v>
          </cell>
          <cell r="V1997">
            <v>0</v>
          </cell>
          <cell r="W1997">
            <v>0</v>
          </cell>
        </row>
        <row r="1998">
          <cell r="A1998" t="str">
            <v>450351</v>
          </cell>
          <cell r="B1998" t="str">
            <v>1251</v>
          </cell>
          <cell r="C1998" t="str">
            <v>12</v>
          </cell>
          <cell r="D1998" t="str">
            <v>38</v>
          </cell>
          <cell r="E1998">
            <v>16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0</v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0</v>
          </cell>
          <cell r="V1998">
            <v>0</v>
          </cell>
          <cell r="W1998">
            <v>0</v>
          </cell>
        </row>
        <row r="1999">
          <cell r="A1999" t="str">
            <v>450351</v>
          </cell>
          <cell r="B1999" t="str">
            <v>1251</v>
          </cell>
          <cell r="C1999" t="str">
            <v>12</v>
          </cell>
          <cell r="D1999" t="str">
            <v>38</v>
          </cell>
          <cell r="E1999">
            <v>17</v>
          </cell>
          <cell r="G1999">
            <v>546</v>
          </cell>
          <cell r="H1999">
            <v>13367</v>
          </cell>
          <cell r="I1999">
            <v>218702</v>
          </cell>
          <cell r="J1999">
            <v>2924</v>
          </cell>
          <cell r="K1999">
            <v>0</v>
          </cell>
          <cell r="L1999">
            <v>0</v>
          </cell>
          <cell r="M1999">
            <v>0</v>
          </cell>
          <cell r="N1999">
            <v>235539</v>
          </cell>
          <cell r="O1999">
            <v>0</v>
          </cell>
          <cell r="P1999">
            <v>0</v>
          </cell>
          <cell r="Q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0</v>
          </cell>
          <cell r="V1999">
            <v>0</v>
          </cell>
          <cell r="W1999">
            <v>0</v>
          </cell>
        </row>
        <row r="2000">
          <cell r="A2000" t="str">
            <v>450351</v>
          </cell>
          <cell r="B2000" t="str">
            <v>1251</v>
          </cell>
          <cell r="C2000" t="str">
            <v>12</v>
          </cell>
          <cell r="D2000" t="str">
            <v>38</v>
          </cell>
          <cell r="E2000">
            <v>18</v>
          </cell>
          <cell r="G2000">
            <v>546</v>
          </cell>
          <cell r="H2000">
            <v>13367</v>
          </cell>
          <cell r="I2000">
            <v>235953</v>
          </cell>
          <cell r="J2000">
            <v>5278</v>
          </cell>
          <cell r="K2000">
            <v>0</v>
          </cell>
          <cell r="L2000">
            <v>0</v>
          </cell>
          <cell r="M2000">
            <v>0</v>
          </cell>
          <cell r="N2000">
            <v>255144</v>
          </cell>
          <cell r="O2000">
            <v>0</v>
          </cell>
          <cell r="P2000">
            <v>0</v>
          </cell>
          <cell r="Q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0</v>
          </cell>
          <cell r="V2000">
            <v>0</v>
          </cell>
          <cell r="W2000">
            <v>0</v>
          </cell>
        </row>
        <row r="2001">
          <cell r="A2001" t="str">
            <v>450351</v>
          </cell>
          <cell r="B2001" t="str">
            <v>1251</v>
          </cell>
          <cell r="C2001" t="str">
            <v>12</v>
          </cell>
          <cell r="D2001" t="str">
            <v>38</v>
          </cell>
          <cell r="E2001">
            <v>19</v>
          </cell>
          <cell r="G2001">
            <v>51402</v>
          </cell>
          <cell r="H2001">
            <v>2870656</v>
          </cell>
          <cell r="I2001">
            <v>1292562</v>
          </cell>
          <cell r="J2001">
            <v>11940</v>
          </cell>
          <cell r="K2001">
            <v>0</v>
          </cell>
          <cell r="L2001">
            <v>0</v>
          </cell>
          <cell r="M2001">
            <v>0</v>
          </cell>
          <cell r="N2001">
            <v>4226560</v>
          </cell>
          <cell r="O2001">
            <v>0</v>
          </cell>
          <cell r="P2001">
            <v>0</v>
          </cell>
          <cell r="Q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0</v>
          </cell>
          <cell r="V2001">
            <v>0</v>
          </cell>
          <cell r="W2001">
            <v>0</v>
          </cell>
        </row>
        <row r="2002">
          <cell r="A2002" t="str">
            <v>450351</v>
          </cell>
          <cell r="B2002" t="str">
            <v>1251</v>
          </cell>
          <cell r="C2002" t="str">
            <v>12</v>
          </cell>
          <cell r="D2002" t="str">
            <v>38</v>
          </cell>
          <cell r="E2002">
            <v>20</v>
          </cell>
          <cell r="G2002">
            <v>18336</v>
          </cell>
          <cell r="H2002">
            <v>316745</v>
          </cell>
          <cell r="I2002">
            <v>796681</v>
          </cell>
          <cell r="J2002">
            <v>12197</v>
          </cell>
          <cell r="K2002">
            <v>0</v>
          </cell>
          <cell r="L2002">
            <v>0</v>
          </cell>
          <cell r="M2002">
            <v>0</v>
          </cell>
          <cell r="N2002">
            <v>1143959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>
            <v>0</v>
          </cell>
          <cell r="W2002">
            <v>0</v>
          </cell>
        </row>
        <row r="2003">
          <cell r="A2003" t="str">
            <v>450351</v>
          </cell>
          <cell r="B2003" t="str">
            <v>1251</v>
          </cell>
          <cell r="C2003" t="str">
            <v>12</v>
          </cell>
          <cell r="D2003" t="str">
            <v>38</v>
          </cell>
          <cell r="E2003">
            <v>21</v>
          </cell>
          <cell r="G2003">
            <v>10115</v>
          </cell>
          <cell r="H2003">
            <v>57265</v>
          </cell>
          <cell r="I2003">
            <v>110687</v>
          </cell>
          <cell r="J2003">
            <v>3238</v>
          </cell>
          <cell r="K2003">
            <v>0</v>
          </cell>
          <cell r="L2003">
            <v>0</v>
          </cell>
          <cell r="M2003">
            <v>0</v>
          </cell>
          <cell r="N2003">
            <v>181305</v>
          </cell>
          <cell r="O2003">
            <v>0</v>
          </cell>
          <cell r="P2003">
            <v>0</v>
          </cell>
          <cell r="Q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0</v>
          </cell>
          <cell r="V2003">
            <v>0</v>
          </cell>
          <cell r="W2003">
            <v>0</v>
          </cell>
        </row>
        <row r="2004">
          <cell r="A2004" t="str">
            <v>450351</v>
          </cell>
          <cell r="B2004" t="str">
            <v>1251</v>
          </cell>
          <cell r="C2004" t="str">
            <v>12</v>
          </cell>
          <cell r="D2004" t="str">
            <v>38</v>
          </cell>
          <cell r="E2004">
            <v>22</v>
          </cell>
          <cell r="G2004">
            <v>0</v>
          </cell>
          <cell r="H2004">
            <v>0</v>
          </cell>
          <cell r="I2004">
            <v>18779</v>
          </cell>
          <cell r="J2004">
            <v>3495</v>
          </cell>
          <cell r="K2004">
            <v>0</v>
          </cell>
          <cell r="L2004">
            <v>0</v>
          </cell>
          <cell r="M2004">
            <v>0</v>
          </cell>
          <cell r="N2004">
            <v>22274</v>
          </cell>
          <cell r="O2004">
            <v>0</v>
          </cell>
          <cell r="P2004">
            <v>0</v>
          </cell>
          <cell r="Q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0</v>
          </cell>
          <cell r="V2004">
            <v>0</v>
          </cell>
          <cell r="W2004">
            <v>0</v>
          </cell>
        </row>
        <row r="2005">
          <cell r="A2005" t="str">
            <v>450351</v>
          </cell>
          <cell r="B2005" t="str">
            <v>1251</v>
          </cell>
          <cell r="C2005" t="str">
            <v>12</v>
          </cell>
          <cell r="D2005" t="str">
            <v>38</v>
          </cell>
          <cell r="E2005">
            <v>23</v>
          </cell>
          <cell r="G2005">
            <v>28451</v>
          </cell>
          <cell r="H2005">
            <v>374010</v>
          </cell>
          <cell r="I2005">
            <v>888589</v>
          </cell>
          <cell r="J2005">
            <v>11940</v>
          </cell>
          <cell r="K2005">
            <v>0</v>
          </cell>
          <cell r="L2005">
            <v>0</v>
          </cell>
          <cell r="M2005">
            <v>0</v>
          </cell>
          <cell r="N2005">
            <v>1302990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>
            <v>0</v>
          </cell>
          <cell r="W2005">
            <v>0</v>
          </cell>
        </row>
        <row r="2006">
          <cell r="A2006" t="str">
            <v>450351</v>
          </cell>
          <cell r="B2006" t="str">
            <v>1251</v>
          </cell>
          <cell r="C2006" t="str">
            <v>12</v>
          </cell>
          <cell r="D2006" t="str">
            <v>38</v>
          </cell>
          <cell r="E2006">
            <v>24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0</v>
          </cell>
          <cell r="V2006">
            <v>0</v>
          </cell>
          <cell r="W2006">
            <v>0</v>
          </cell>
        </row>
        <row r="2007">
          <cell r="A2007" t="str">
            <v>450351</v>
          </cell>
          <cell r="B2007" t="str">
            <v>1251</v>
          </cell>
          <cell r="C2007" t="str">
            <v>12</v>
          </cell>
          <cell r="D2007" t="str">
            <v>38</v>
          </cell>
          <cell r="E2007">
            <v>25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0</v>
          </cell>
          <cell r="Q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</row>
        <row r="2008">
          <cell r="A2008" t="str">
            <v>450351</v>
          </cell>
          <cell r="B2008" t="str">
            <v>1251</v>
          </cell>
          <cell r="C2008" t="str">
            <v>12</v>
          </cell>
          <cell r="D2008" t="str">
            <v>38</v>
          </cell>
          <cell r="E2008">
            <v>26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0</v>
          </cell>
          <cell r="Q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0</v>
          </cell>
          <cell r="V2008">
            <v>0</v>
          </cell>
          <cell r="W2008">
            <v>0</v>
          </cell>
        </row>
        <row r="2009">
          <cell r="A2009" t="str">
            <v>450351</v>
          </cell>
          <cell r="B2009" t="str">
            <v>1251</v>
          </cell>
          <cell r="C2009" t="str">
            <v>12</v>
          </cell>
          <cell r="D2009" t="str">
            <v>38</v>
          </cell>
          <cell r="E2009">
            <v>27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0</v>
          </cell>
          <cell r="Q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0</v>
          </cell>
          <cell r="V2009">
            <v>0</v>
          </cell>
          <cell r="W2009">
            <v>0</v>
          </cell>
        </row>
        <row r="2010">
          <cell r="A2010" t="str">
            <v>450351</v>
          </cell>
          <cell r="B2010" t="str">
            <v>1251</v>
          </cell>
          <cell r="C2010" t="str">
            <v>12</v>
          </cell>
          <cell r="D2010" t="str">
            <v>38</v>
          </cell>
          <cell r="E2010">
            <v>28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0</v>
          </cell>
          <cell r="Q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</row>
        <row r="2011">
          <cell r="A2011" t="str">
            <v>450351</v>
          </cell>
          <cell r="B2011" t="str">
            <v>1251</v>
          </cell>
          <cell r="C2011" t="str">
            <v>12</v>
          </cell>
          <cell r="D2011" t="str">
            <v>38</v>
          </cell>
          <cell r="E2011">
            <v>29</v>
          </cell>
          <cell r="G2011">
            <v>28451</v>
          </cell>
          <cell r="H2011">
            <v>374010</v>
          </cell>
          <cell r="I2011">
            <v>888589</v>
          </cell>
          <cell r="J2011">
            <v>11940</v>
          </cell>
          <cell r="K2011">
            <v>0</v>
          </cell>
          <cell r="L2011">
            <v>0</v>
          </cell>
          <cell r="M2011">
            <v>0</v>
          </cell>
          <cell r="N2011">
            <v>1302990</v>
          </cell>
          <cell r="O2011">
            <v>0</v>
          </cell>
          <cell r="P2011">
            <v>0</v>
          </cell>
          <cell r="Q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0</v>
          </cell>
          <cell r="V2011">
            <v>0</v>
          </cell>
          <cell r="W2011">
            <v>0</v>
          </cell>
        </row>
        <row r="2012">
          <cell r="A2012" t="str">
            <v>450351</v>
          </cell>
          <cell r="B2012" t="str">
            <v>1251</v>
          </cell>
          <cell r="C2012" t="str">
            <v>12</v>
          </cell>
          <cell r="D2012" t="str">
            <v>38</v>
          </cell>
          <cell r="E2012">
            <v>30</v>
          </cell>
          <cell r="G2012">
            <v>22951</v>
          </cell>
          <cell r="H2012">
            <v>2496646</v>
          </cell>
          <cell r="I2012">
            <v>403973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2923570</v>
          </cell>
          <cell r="O2012">
            <v>0</v>
          </cell>
          <cell r="P2012">
            <v>0</v>
          </cell>
          <cell r="Q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0</v>
          </cell>
          <cell r="V2012">
            <v>0</v>
          </cell>
          <cell r="W2012">
            <v>0</v>
          </cell>
        </row>
        <row r="2013">
          <cell r="A2013" t="str">
            <v>450351</v>
          </cell>
          <cell r="B2013" t="str">
            <v>1251</v>
          </cell>
          <cell r="C2013" t="str">
            <v>12</v>
          </cell>
          <cell r="D2013" t="str">
            <v>38</v>
          </cell>
          <cell r="E2013">
            <v>31</v>
          </cell>
          <cell r="G2013">
            <v>9838</v>
          </cell>
          <cell r="H2013">
            <v>29582</v>
          </cell>
          <cell r="I2013">
            <v>600878</v>
          </cell>
          <cell r="J2013">
            <v>11940</v>
          </cell>
          <cell r="K2013">
            <v>0</v>
          </cell>
          <cell r="L2013">
            <v>0</v>
          </cell>
          <cell r="M2013">
            <v>0</v>
          </cell>
          <cell r="N2013">
            <v>652238</v>
          </cell>
          <cell r="O2013">
            <v>0</v>
          </cell>
          <cell r="P2013">
            <v>0</v>
          </cell>
          <cell r="Q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0</v>
          </cell>
          <cell r="V2013">
            <v>0</v>
          </cell>
          <cell r="W2013">
            <v>0</v>
          </cell>
        </row>
        <row r="2014">
          <cell r="A2014" t="str">
            <v>450351</v>
          </cell>
          <cell r="B2014" t="str">
            <v>1251</v>
          </cell>
          <cell r="C2014" t="str">
            <v>12</v>
          </cell>
          <cell r="D2014" t="str">
            <v>53</v>
          </cell>
          <cell r="E2014">
            <v>1</v>
          </cell>
          <cell r="G2014">
            <v>12650</v>
          </cell>
          <cell r="H2014">
            <v>284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0</v>
          </cell>
          <cell r="Q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0</v>
          </cell>
          <cell r="V2014">
            <v>0</v>
          </cell>
          <cell r="W2014">
            <v>0</v>
          </cell>
        </row>
        <row r="2015">
          <cell r="A2015" t="str">
            <v>450351</v>
          </cell>
          <cell r="B2015" t="str">
            <v>1251</v>
          </cell>
          <cell r="C2015" t="str">
            <v>12</v>
          </cell>
          <cell r="D2015" t="str">
            <v>53</v>
          </cell>
          <cell r="E2015">
            <v>15</v>
          </cell>
          <cell r="G2015">
            <v>0</v>
          </cell>
          <cell r="H2015">
            <v>0</v>
          </cell>
          <cell r="I2015">
            <v>100038</v>
          </cell>
          <cell r="J2015">
            <v>77255</v>
          </cell>
          <cell r="K2015">
            <v>111433</v>
          </cell>
          <cell r="L2015">
            <v>81014</v>
          </cell>
          <cell r="M2015">
            <v>51415</v>
          </cell>
          <cell r="N2015">
            <v>22404</v>
          </cell>
          <cell r="O2015">
            <v>32316</v>
          </cell>
          <cell r="P2015">
            <v>23494</v>
          </cell>
          <cell r="Q2015">
            <v>5319</v>
          </cell>
          <cell r="R2015">
            <v>2318</v>
          </cell>
          <cell r="S2015">
            <v>3343</v>
          </cell>
          <cell r="T2015">
            <v>2430</v>
          </cell>
          <cell r="U2015">
            <v>0</v>
          </cell>
          <cell r="V2015">
            <v>0</v>
          </cell>
          <cell r="W2015">
            <v>0</v>
          </cell>
        </row>
        <row r="2016">
          <cell r="A2016" t="str">
            <v>450351</v>
          </cell>
          <cell r="B2016" t="str">
            <v>1251</v>
          </cell>
          <cell r="C2016" t="str">
            <v>12</v>
          </cell>
          <cell r="D2016" t="str">
            <v>53</v>
          </cell>
          <cell r="E2016">
            <v>29</v>
          </cell>
          <cell r="G2016">
            <v>1376</v>
          </cell>
          <cell r="H2016">
            <v>1409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0</v>
          </cell>
          <cell r="Q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</row>
        <row r="2017">
          <cell r="A2017" t="str">
            <v>450351</v>
          </cell>
          <cell r="B2017" t="str">
            <v>1251</v>
          </cell>
          <cell r="C2017" t="str">
            <v>12</v>
          </cell>
          <cell r="D2017" t="str">
            <v>53</v>
          </cell>
          <cell r="E2017">
            <v>43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0</v>
          </cell>
          <cell r="Q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0</v>
          </cell>
          <cell r="V2017">
            <v>0</v>
          </cell>
          <cell r="W2017">
            <v>0</v>
          </cell>
        </row>
        <row r="2018">
          <cell r="A2018" t="str">
            <v>450351</v>
          </cell>
          <cell r="B2018" t="str">
            <v>1251</v>
          </cell>
          <cell r="C2018" t="str">
            <v>12</v>
          </cell>
          <cell r="D2018" t="str">
            <v>53</v>
          </cell>
          <cell r="E2018">
            <v>57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0</v>
          </cell>
          <cell r="Q2018">
            <v>0</v>
          </cell>
          <cell r="R2018">
            <v>0</v>
          </cell>
          <cell r="S2018">
            <v>0</v>
          </cell>
          <cell r="T2018">
            <v>5</v>
          </cell>
          <cell r="U2018">
            <v>0</v>
          </cell>
          <cell r="V2018">
            <v>0</v>
          </cell>
          <cell r="W2018">
            <v>0</v>
          </cell>
        </row>
        <row r="2019">
          <cell r="A2019" t="str">
            <v>450351</v>
          </cell>
          <cell r="B2019" t="str">
            <v>1251</v>
          </cell>
          <cell r="C2019" t="str">
            <v>12</v>
          </cell>
          <cell r="D2019" t="str">
            <v>53</v>
          </cell>
          <cell r="E2019">
            <v>71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0</v>
          </cell>
          <cell r="Q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0</v>
          </cell>
          <cell r="V2019">
            <v>0</v>
          </cell>
          <cell r="W2019">
            <v>0</v>
          </cell>
        </row>
        <row r="2020">
          <cell r="A2020" t="str">
            <v>450351</v>
          </cell>
          <cell r="B2020" t="str">
            <v>1251</v>
          </cell>
          <cell r="C2020" t="str">
            <v>12</v>
          </cell>
          <cell r="D2020" t="str">
            <v>56</v>
          </cell>
          <cell r="E2020">
            <v>1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1249510</v>
          </cell>
          <cell r="Q2020">
            <v>12880</v>
          </cell>
          <cell r="R2020">
            <v>0</v>
          </cell>
          <cell r="S2020">
            <v>0</v>
          </cell>
          <cell r="T2020">
            <v>0</v>
          </cell>
          <cell r="U2020">
            <v>0</v>
          </cell>
          <cell r="V2020">
            <v>0</v>
          </cell>
          <cell r="W2020">
            <v>0</v>
          </cell>
        </row>
        <row r="2021">
          <cell r="A2021" t="str">
            <v>450351</v>
          </cell>
          <cell r="B2021" t="str">
            <v>1251</v>
          </cell>
          <cell r="C2021" t="str">
            <v>12</v>
          </cell>
          <cell r="D2021" t="str">
            <v>56</v>
          </cell>
          <cell r="E2021">
            <v>6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  <cell r="M2021">
            <v>0</v>
          </cell>
          <cell r="N2021">
            <v>0</v>
          </cell>
          <cell r="O2021">
            <v>0</v>
          </cell>
          <cell r="P2021">
            <v>1249510</v>
          </cell>
          <cell r="Q2021">
            <v>12880</v>
          </cell>
          <cell r="R2021">
            <v>0</v>
          </cell>
          <cell r="S2021">
            <v>0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</row>
        <row r="2022">
          <cell r="A2022" t="str">
            <v>450351</v>
          </cell>
          <cell r="B2022" t="str">
            <v>1251</v>
          </cell>
          <cell r="C2022" t="str">
            <v>12</v>
          </cell>
          <cell r="D2022" t="str">
            <v>57</v>
          </cell>
          <cell r="E2022">
            <v>1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</row>
        <row r="2023">
          <cell r="A2023" t="str">
            <v>450351</v>
          </cell>
          <cell r="B2023" t="str">
            <v>1251</v>
          </cell>
          <cell r="C2023" t="str">
            <v>12</v>
          </cell>
          <cell r="D2023" t="str">
            <v>57</v>
          </cell>
          <cell r="E2023">
            <v>3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270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0</v>
          </cell>
          <cell r="Q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0</v>
          </cell>
          <cell r="V2023">
            <v>0</v>
          </cell>
          <cell r="W2023">
            <v>0</v>
          </cell>
        </row>
        <row r="2024">
          <cell r="A2024" t="str">
            <v>450351</v>
          </cell>
          <cell r="B2024" t="str">
            <v>1251</v>
          </cell>
          <cell r="C2024" t="str">
            <v>12</v>
          </cell>
          <cell r="D2024" t="str">
            <v>57</v>
          </cell>
          <cell r="E2024">
            <v>5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0</v>
          </cell>
          <cell r="Q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0</v>
          </cell>
          <cell r="V2024">
            <v>0</v>
          </cell>
          <cell r="W2024">
            <v>0</v>
          </cell>
        </row>
        <row r="2025">
          <cell r="A2025" t="str">
            <v>450351</v>
          </cell>
          <cell r="B2025" t="str">
            <v>1251</v>
          </cell>
          <cell r="C2025" t="str">
            <v>12</v>
          </cell>
          <cell r="D2025" t="str">
            <v>57</v>
          </cell>
          <cell r="E2025">
            <v>7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270</v>
          </cell>
          <cell r="L2025">
            <v>0</v>
          </cell>
          <cell r="M2025">
            <v>33012</v>
          </cell>
          <cell r="N2025">
            <v>0</v>
          </cell>
          <cell r="O2025">
            <v>0</v>
          </cell>
          <cell r="P2025">
            <v>0</v>
          </cell>
          <cell r="Q2025">
            <v>25677</v>
          </cell>
          <cell r="R2025">
            <v>0</v>
          </cell>
          <cell r="S2025">
            <v>0</v>
          </cell>
          <cell r="T2025">
            <v>0</v>
          </cell>
          <cell r="U2025">
            <v>0</v>
          </cell>
          <cell r="V2025">
            <v>0</v>
          </cell>
          <cell r="W2025">
            <v>0</v>
          </cell>
        </row>
        <row r="2026">
          <cell r="A2026" t="str">
            <v>450351</v>
          </cell>
          <cell r="B2026" t="str">
            <v>1251</v>
          </cell>
          <cell r="C2026" t="str">
            <v>12</v>
          </cell>
          <cell r="D2026" t="str">
            <v>57</v>
          </cell>
          <cell r="E2026">
            <v>9</v>
          </cell>
          <cell r="G2026">
            <v>4005</v>
          </cell>
          <cell r="H2026">
            <v>0</v>
          </cell>
          <cell r="I2026">
            <v>0</v>
          </cell>
          <cell r="J2026">
            <v>0</v>
          </cell>
          <cell r="K2026">
            <v>21916</v>
          </cell>
          <cell r="L2026">
            <v>0</v>
          </cell>
          <cell r="M2026">
            <v>2447</v>
          </cell>
          <cell r="N2026">
            <v>0</v>
          </cell>
          <cell r="O2026">
            <v>0</v>
          </cell>
          <cell r="P2026">
            <v>0</v>
          </cell>
          <cell r="Q2026">
            <v>2898</v>
          </cell>
          <cell r="R2026">
            <v>0</v>
          </cell>
          <cell r="S2026">
            <v>0</v>
          </cell>
          <cell r="T2026">
            <v>0</v>
          </cell>
          <cell r="U2026">
            <v>0</v>
          </cell>
          <cell r="V2026">
            <v>0</v>
          </cell>
          <cell r="W2026">
            <v>0</v>
          </cell>
        </row>
        <row r="2027">
          <cell r="A2027" t="str">
            <v>450351</v>
          </cell>
          <cell r="B2027" t="str">
            <v>1251</v>
          </cell>
          <cell r="C2027" t="str">
            <v>12</v>
          </cell>
          <cell r="D2027" t="str">
            <v>57</v>
          </cell>
          <cell r="E2027">
            <v>11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0</v>
          </cell>
          <cell r="Q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0</v>
          </cell>
          <cell r="V2027">
            <v>0</v>
          </cell>
          <cell r="W2027">
            <v>0</v>
          </cell>
        </row>
        <row r="2028">
          <cell r="A2028" t="str">
            <v>450351</v>
          </cell>
          <cell r="B2028" t="str">
            <v>1251</v>
          </cell>
          <cell r="C2028" t="str">
            <v>12</v>
          </cell>
          <cell r="D2028" t="str">
            <v>57</v>
          </cell>
          <cell r="E2028">
            <v>13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0</v>
          </cell>
          <cell r="Q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0</v>
          </cell>
          <cell r="V2028">
            <v>0</v>
          </cell>
          <cell r="W2028">
            <v>0</v>
          </cell>
        </row>
        <row r="2029">
          <cell r="A2029" t="str">
            <v>450351</v>
          </cell>
          <cell r="B2029" t="str">
            <v>1251</v>
          </cell>
          <cell r="C2029" t="str">
            <v>12</v>
          </cell>
          <cell r="D2029" t="str">
            <v>57</v>
          </cell>
          <cell r="E2029">
            <v>15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39464</v>
          </cell>
          <cell r="N2029">
            <v>0</v>
          </cell>
          <cell r="O2029">
            <v>0</v>
          </cell>
          <cell r="P2029">
            <v>0</v>
          </cell>
          <cell r="Q2029">
            <v>50491</v>
          </cell>
          <cell r="R2029">
            <v>0</v>
          </cell>
          <cell r="S2029">
            <v>0</v>
          </cell>
          <cell r="T2029">
            <v>0</v>
          </cell>
          <cell r="U2029">
            <v>0</v>
          </cell>
          <cell r="V2029">
            <v>0</v>
          </cell>
          <cell r="W2029">
            <v>0</v>
          </cell>
        </row>
        <row r="2030">
          <cell r="A2030" t="str">
            <v>450351</v>
          </cell>
          <cell r="B2030" t="str">
            <v>1251</v>
          </cell>
          <cell r="C2030" t="str">
            <v>12</v>
          </cell>
          <cell r="D2030" t="str">
            <v>57</v>
          </cell>
          <cell r="E2030">
            <v>17</v>
          </cell>
          <cell r="G2030">
            <v>39464</v>
          </cell>
          <cell r="H2030">
            <v>0</v>
          </cell>
          <cell r="I2030">
            <v>0</v>
          </cell>
          <cell r="J2030">
            <v>0</v>
          </cell>
          <cell r="K2030">
            <v>50761</v>
          </cell>
          <cell r="L2030">
            <v>0</v>
          </cell>
          <cell r="M2030">
            <v>0</v>
          </cell>
          <cell r="N2030">
            <v>0</v>
          </cell>
          <cell r="O2030">
            <v>0</v>
          </cell>
          <cell r="P2030">
            <v>0</v>
          </cell>
          <cell r="Q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0</v>
          </cell>
          <cell r="V2030">
            <v>0</v>
          </cell>
          <cell r="W2030">
            <v>0</v>
          </cell>
        </row>
        <row r="2031">
          <cell r="A2031" t="str">
            <v>450351</v>
          </cell>
          <cell r="B2031" t="str">
            <v>1251</v>
          </cell>
          <cell r="C2031" t="str">
            <v>12</v>
          </cell>
          <cell r="D2031" t="str">
            <v>58</v>
          </cell>
          <cell r="E2031">
            <v>1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0</v>
          </cell>
          <cell r="Q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0</v>
          </cell>
          <cell r="V2031">
            <v>0</v>
          </cell>
          <cell r="W2031">
            <v>0</v>
          </cell>
        </row>
        <row r="2032">
          <cell r="A2032" t="str">
            <v>450351</v>
          </cell>
          <cell r="B2032" t="str">
            <v>1251</v>
          </cell>
          <cell r="C2032" t="str">
            <v>12</v>
          </cell>
          <cell r="D2032" t="str">
            <v>58</v>
          </cell>
          <cell r="E2032">
            <v>2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</row>
        <row r="2033">
          <cell r="A2033" t="str">
            <v>450351</v>
          </cell>
          <cell r="B2033" t="str">
            <v>1251</v>
          </cell>
          <cell r="C2033" t="str">
            <v>12</v>
          </cell>
          <cell r="D2033" t="str">
            <v>58</v>
          </cell>
          <cell r="E2033">
            <v>3</v>
          </cell>
          <cell r="G2033">
            <v>6452</v>
          </cell>
          <cell r="H2033">
            <v>0</v>
          </cell>
          <cell r="I2033">
            <v>470112</v>
          </cell>
          <cell r="J2033">
            <v>0</v>
          </cell>
          <cell r="K2033">
            <v>476564</v>
          </cell>
          <cell r="L2033">
            <v>0</v>
          </cell>
          <cell r="M2033">
            <v>6452</v>
          </cell>
          <cell r="N2033">
            <v>445298</v>
          </cell>
          <cell r="O2033">
            <v>0</v>
          </cell>
          <cell r="P2033">
            <v>24814</v>
          </cell>
          <cell r="Q2033">
            <v>24814</v>
          </cell>
          <cell r="R2033">
            <v>0</v>
          </cell>
          <cell r="S2033">
            <v>0</v>
          </cell>
          <cell r="T2033">
            <v>0</v>
          </cell>
          <cell r="U2033">
            <v>0</v>
          </cell>
          <cell r="V2033">
            <v>0</v>
          </cell>
          <cell r="W2033">
            <v>0</v>
          </cell>
        </row>
        <row r="2034">
          <cell r="A2034" t="str">
            <v>450351</v>
          </cell>
          <cell r="B2034" t="str">
            <v>1251</v>
          </cell>
          <cell r="C2034" t="str">
            <v>12</v>
          </cell>
          <cell r="D2034" t="str">
            <v>58</v>
          </cell>
          <cell r="E2034">
            <v>4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0</v>
          </cell>
          <cell r="Q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0</v>
          </cell>
          <cell r="V2034">
            <v>0</v>
          </cell>
          <cell r="W2034">
            <v>0</v>
          </cell>
        </row>
        <row r="2035">
          <cell r="A2035" t="str">
            <v>450351</v>
          </cell>
          <cell r="B2035" t="str">
            <v>1251</v>
          </cell>
          <cell r="C2035" t="str">
            <v>12</v>
          </cell>
          <cell r="D2035" t="str">
            <v>58</v>
          </cell>
          <cell r="E2035">
            <v>5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0</v>
          </cell>
          <cell r="Q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0</v>
          </cell>
          <cell r="V2035">
            <v>0</v>
          </cell>
          <cell r="W2035">
            <v>0</v>
          </cell>
        </row>
        <row r="2036">
          <cell r="A2036" t="str">
            <v>450351</v>
          </cell>
          <cell r="B2036" t="str">
            <v>1251</v>
          </cell>
          <cell r="C2036" t="str">
            <v>12</v>
          </cell>
          <cell r="D2036" t="str">
            <v>58</v>
          </cell>
          <cell r="E2036">
            <v>6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0</v>
          </cell>
          <cell r="Q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0</v>
          </cell>
          <cell r="V2036">
            <v>0</v>
          </cell>
          <cell r="W2036">
            <v>0</v>
          </cell>
        </row>
        <row r="2037">
          <cell r="A2037" t="str">
            <v>450351</v>
          </cell>
          <cell r="B2037" t="str">
            <v>1251</v>
          </cell>
          <cell r="C2037" t="str">
            <v>12</v>
          </cell>
          <cell r="D2037" t="str">
            <v>58</v>
          </cell>
          <cell r="E2037">
            <v>7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0</v>
          </cell>
          <cell r="Q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0</v>
          </cell>
          <cell r="V2037">
            <v>0</v>
          </cell>
          <cell r="W2037">
            <v>0</v>
          </cell>
        </row>
        <row r="2038">
          <cell r="A2038" t="str">
            <v>450351</v>
          </cell>
          <cell r="B2038" t="str">
            <v>1251</v>
          </cell>
          <cell r="C2038" t="str">
            <v>12</v>
          </cell>
          <cell r="D2038" t="str">
            <v>58</v>
          </cell>
          <cell r="E2038">
            <v>8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0</v>
          </cell>
          <cell r="Q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0</v>
          </cell>
          <cell r="V2038">
            <v>0</v>
          </cell>
          <cell r="W2038">
            <v>0</v>
          </cell>
        </row>
        <row r="2039">
          <cell r="A2039" t="str">
            <v>450351</v>
          </cell>
          <cell r="B2039" t="str">
            <v>1251</v>
          </cell>
          <cell r="C2039" t="str">
            <v>12</v>
          </cell>
          <cell r="D2039" t="str">
            <v>58</v>
          </cell>
          <cell r="E2039">
            <v>9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>
            <v>0</v>
          </cell>
          <cell r="W2039">
            <v>0</v>
          </cell>
        </row>
        <row r="2040">
          <cell r="A2040" t="str">
            <v>450351</v>
          </cell>
          <cell r="B2040" t="str">
            <v>1251</v>
          </cell>
          <cell r="C2040" t="str">
            <v>12</v>
          </cell>
          <cell r="D2040" t="str">
            <v>58</v>
          </cell>
          <cell r="E2040">
            <v>10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0</v>
          </cell>
          <cell r="Q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0</v>
          </cell>
          <cell r="V2040">
            <v>0</v>
          </cell>
          <cell r="W2040">
            <v>0</v>
          </cell>
        </row>
        <row r="2041">
          <cell r="A2041" t="str">
            <v>450351</v>
          </cell>
          <cell r="B2041" t="str">
            <v>1251</v>
          </cell>
          <cell r="C2041" t="str">
            <v>12</v>
          </cell>
          <cell r="D2041" t="str">
            <v>58</v>
          </cell>
          <cell r="E2041">
            <v>11</v>
          </cell>
          <cell r="G2041">
            <v>6452</v>
          </cell>
          <cell r="H2041">
            <v>0</v>
          </cell>
          <cell r="I2041">
            <v>470112</v>
          </cell>
          <cell r="J2041">
            <v>0</v>
          </cell>
          <cell r="K2041">
            <v>476564</v>
          </cell>
          <cell r="L2041">
            <v>0</v>
          </cell>
          <cell r="M2041">
            <v>6452</v>
          </cell>
          <cell r="N2041">
            <v>445298</v>
          </cell>
          <cell r="O2041">
            <v>0</v>
          </cell>
          <cell r="P2041">
            <v>24814</v>
          </cell>
          <cell r="Q2041">
            <v>24814</v>
          </cell>
          <cell r="R2041">
            <v>0</v>
          </cell>
          <cell r="S2041">
            <v>0</v>
          </cell>
          <cell r="T2041">
            <v>0</v>
          </cell>
          <cell r="U2041">
            <v>0</v>
          </cell>
          <cell r="V2041">
            <v>0</v>
          </cell>
          <cell r="W2041">
            <v>0</v>
          </cell>
        </row>
        <row r="2042">
          <cell r="A2042" t="str">
            <v>450351</v>
          </cell>
          <cell r="B2042" t="str">
            <v>1251</v>
          </cell>
          <cell r="C2042" t="str">
            <v>12</v>
          </cell>
          <cell r="D2042" t="str">
            <v>59</v>
          </cell>
          <cell r="E2042">
            <v>1</v>
          </cell>
          <cell r="G2042">
            <v>14847</v>
          </cell>
          <cell r="H2042">
            <v>0</v>
          </cell>
          <cell r="I2042">
            <v>0</v>
          </cell>
          <cell r="J2042">
            <v>0</v>
          </cell>
          <cell r="K2042">
            <v>14847</v>
          </cell>
          <cell r="L2042">
            <v>0</v>
          </cell>
          <cell r="M2042">
            <v>4688</v>
          </cell>
          <cell r="N2042">
            <v>0</v>
          </cell>
          <cell r="O2042">
            <v>10159</v>
          </cell>
          <cell r="P2042">
            <v>0</v>
          </cell>
          <cell r="Q2042">
            <v>10159</v>
          </cell>
          <cell r="R2042">
            <v>0</v>
          </cell>
          <cell r="S2042">
            <v>0</v>
          </cell>
          <cell r="T2042">
            <v>0</v>
          </cell>
          <cell r="U2042">
            <v>0</v>
          </cell>
          <cell r="V2042">
            <v>0</v>
          </cell>
          <cell r="W2042">
            <v>0</v>
          </cell>
        </row>
        <row r="2043">
          <cell r="A2043" t="str">
            <v>450351</v>
          </cell>
          <cell r="B2043" t="str">
            <v>1251</v>
          </cell>
          <cell r="C2043" t="str">
            <v>12</v>
          </cell>
          <cell r="D2043" t="str">
            <v>59</v>
          </cell>
          <cell r="E2043">
            <v>2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0</v>
          </cell>
          <cell r="Q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0</v>
          </cell>
          <cell r="V2043">
            <v>0</v>
          </cell>
          <cell r="W2043">
            <v>0</v>
          </cell>
        </row>
        <row r="2044">
          <cell r="A2044" t="str">
            <v>450351</v>
          </cell>
          <cell r="B2044" t="str">
            <v>1251</v>
          </cell>
          <cell r="C2044" t="str">
            <v>12</v>
          </cell>
          <cell r="D2044" t="str">
            <v>59</v>
          </cell>
          <cell r="E2044">
            <v>3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0</v>
          </cell>
          <cell r="Q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0</v>
          </cell>
          <cell r="V2044">
            <v>0</v>
          </cell>
          <cell r="W2044">
            <v>0</v>
          </cell>
        </row>
        <row r="2045">
          <cell r="A2045" t="str">
            <v>450351</v>
          </cell>
          <cell r="B2045" t="str">
            <v>1251</v>
          </cell>
          <cell r="C2045" t="str">
            <v>12</v>
          </cell>
          <cell r="D2045" t="str">
            <v>59</v>
          </cell>
          <cell r="E2045">
            <v>4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0</v>
          </cell>
          <cell r="Q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0</v>
          </cell>
          <cell r="V2045">
            <v>0</v>
          </cell>
          <cell r="W2045">
            <v>0</v>
          </cell>
        </row>
        <row r="2046">
          <cell r="A2046" t="str">
            <v>450351</v>
          </cell>
          <cell r="B2046" t="str">
            <v>1251</v>
          </cell>
          <cell r="C2046" t="str">
            <v>12</v>
          </cell>
          <cell r="D2046" t="str">
            <v>59</v>
          </cell>
          <cell r="E2046">
            <v>5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0</v>
          </cell>
          <cell r="V2046">
            <v>0</v>
          </cell>
          <cell r="W2046">
            <v>0</v>
          </cell>
        </row>
        <row r="2047">
          <cell r="A2047" t="str">
            <v>450351</v>
          </cell>
          <cell r="B2047" t="str">
            <v>1251</v>
          </cell>
          <cell r="C2047" t="str">
            <v>12</v>
          </cell>
          <cell r="D2047" t="str">
            <v>59</v>
          </cell>
          <cell r="E2047">
            <v>6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0</v>
          </cell>
          <cell r="Q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0</v>
          </cell>
          <cell r="V2047">
            <v>0</v>
          </cell>
          <cell r="W2047">
            <v>0</v>
          </cell>
        </row>
        <row r="2048">
          <cell r="A2048" t="str">
            <v>450351</v>
          </cell>
          <cell r="B2048" t="str">
            <v>1251</v>
          </cell>
          <cell r="C2048" t="str">
            <v>12</v>
          </cell>
          <cell r="D2048" t="str">
            <v>59</v>
          </cell>
          <cell r="E2048">
            <v>7</v>
          </cell>
          <cell r="G2048">
            <v>14847</v>
          </cell>
          <cell r="H2048">
            <v>0</v>
          </cell>
          <cell r="I2048">
            <v>0</v>
          </cell>
          <cell r="J2048">
            <v>0</v>
          </cell>
          <cell r="K2048">
            <v>14847</v>
          </cell>
          <cell r="L2048">
            <v>0</v>
          </cell>
          <cell r="M2048">
            <v>4688</v>
          </cell>
          <cell r="N2048">
            <v>0</v>
          </cell>
          <cell r="O2048">
            <v>10159</v>
          </cell>
          <cell r="P2048">
            <v>0</v>
          </cell>
          <cell r="Q2048">
            <v>10159</v>
          </cell>
          <cell r="R2048">
            <v>0</v>
          </cell>
          <cell r="S2048">
            <v>0</v>
          </cell>
          <cell r="T2048">
            <v>0</v>
          </cell>
          <cell r="U2048">
            <v>0</v>
          </cell>
          <cell r="V2048">
            <v>0</v>
          </cell>
          <cell r="W2048">
            <v>0</v>
          </cell>
        </row>
        <row r="2049">
          <cell r="A2049" t="str">
            <v>450351</v>
          </cell>
          <cell r="B2049" t="str">
            <v>1251</v>
          </cell>
          <cell r="C2049" t="str">
            <v>12</v>
          </cell>
          <cell r="D2049" t="str">
            <v>59</v>
          </cell>
          <cell r="E2049">
            <v>8</v>
          </cell>
          <cell r="G2049">
            <v>191053</v>
          </cell>
          <cell r="H2049">
            <v>0</v>
          </cell>
          <cell r="I2049">
            <v>3329284</v>
          </cell>
          <cell r="J2049">
            <v>0</v>
          </cell>
          <cell r="K2049">
            <v>3520337</v>
          </cell>
          <cell r="L2049">
            <v>0</v>
          </cell>
          <cell r="M2049">
            <v>191053</v>
          </cell>
          <cell r="N2049">
            <v>3073977</v>
          </cell>
          <cell r="O2049">
            <v>0</v>
          </cell>
          <cell r="P2049">
            <v>255307</v>
          </cell>
          <cell r="Q2049">
            <v>255307</v>
          </cell>
          <cell r="R2049">
            <v>0</v>
          </cell>
          <cell r="S2049">
            <v>0</v>
          </cell>
          <cell r="T2049">
            <v>0</v>
          </cell>
          <cell r="U2049">
            <v>0</v>
          </cell>
          <cell r="V2049">
            <v>0</v>
          </cell>
          <cell r="W2049">
            <v>0</v>
          </cell>
        </row>
        <row r="2050">
          <cell r="A2050" t="str">
            <v>450351</v>
          </cell>
          <cell r="B2050" t="str">
            <v>1251</v>
          </cell>
          <cell r="C2050" t="str">
            <v>12</v>
          </cell>
          <cell r="D2050" t="str">
            <v>59</v>
          </cell>
          <cell r="E2050">
            <v>9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0</v>
          </cell>
          <cell r="Q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0</v>
          </cell>
          <cell r="V2050">
            <v>0</v>
          </cell>
          <cell r="W2050">
            <v>0</v>
          </cell>
        </row>
        <row r="2051">
          <cell r="A2051" t="str">
            <v>450351</v>
          </cell>
          <cell r="B2051" t="str">
            <v>1251</v>
          </cell>
          <cell r="C2051" t="str">
            <v>12</v>
          </cell>
          <cell r="D2051" t="str">
            <v>59</v>
          </cell>
          <cell r="E2051">
            <v>10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0</v>
          </cell>
          <cell r="Q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0</v>
          </cell>
          <cell r="V2051">
            <v>0</v>
          </cell>
          <cell r="W2051">
            <v>0</v>
          </cell>
        </row>
        <row r="2052">
          <cell r="A2052" t="str">
            <v>450351</v>
          </cell>
          <cell r="B2052" t="str">
            <v>1251</v>
          </cell>
          <cell r="C2052" t="str">
            <v>12</v>
          </cell>
          <cell r="D2052" t="str">
            <v>59</v>
          </cell>
          <cell r="E2052">
            <v>11</v>
          </cell>
          <cell r="G2052">
            <v>191053</v>
          </cell>
          <cell r="H2052">
            <v>0</v>
          </cell>
          <cell r="I2052">
            <v>3329284</v>
          </cell>
          <cell r="J2052">
            <v>0</v>
          </cell>
          <cell r="K2052">
            <v>3520337</v>
          </cell>
          <cell r="L2052">
            <v>0</v>
          </cell>
          <cell r="M2052">
            <v>191053</v>
          </cell>
          <cell r="N2052">
            <v>3073977</v>
          </cell>
          <cell r="O2052">
            <v>0</v>
          </cell>
          <cell r="P2052">
            <v>255307</v>
          </cell>
          <cell r="Q2052">
            <v>255307</v>
          </cell>
          <cell r="R2052">
            <v>0</v>
          </cell>
          <cell r="S2052">
            <v>0</v>
          </cell>
          <cell r="T2052">
            <v>0</v>
          </cell>
          <cell r="U2052">
            <v>0</v>
          </cell>
          <cell r="V2052">
            <v>0</v>
          </cell>
          <cell r="W2052">
            <v>0</v>
          </cell>
        </row>
        <row r="2053">
          <cell r="A2053" t="str">
            <v>450351</v>
          </cell>
          <cell r="B2053" t="str">
            <v>1251</v>
          </cell>
          <cell r="C2053" t="str">
            <v>12</v>
          </cell>
          <cell r="D2053" t="str">
            <v>59</v>
          </cell>
          <cell r="E2053">
            <v>12</v>
          </cell>
          <cell r="G2053">
            <v>2835</v>
          </cell>
          <cell r="H2053">
            <v>0</v>
          </cell>
          <cell r="I2053">
            <v>23858</v>
          </cell>
          <cell r="J2053">
            <v>0</v>
          </cell>
          <cell r="K2053">
            <v>26693</v>
          </cell>
          <cell r="L2053">
            <v>0</v>
          </cell>
          <cell r="M2053">
            <v>2835</v>
          </cell>
          <cell r="N2053">
            <v>23858</v>
          </cell>
          <cell r="O2053">
            <v>0</v>
          </cell>
          <cell r="P2053">
            <v>0</v>
          </cell>
          <cell r="Q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0</v>
          </cell>
          <cell r="V2053">
            <v>0</v>
          </cell>
          <cell r="W2053">
            <v>0</v>
          </cell>
        </row>
        <row r="2054">
          <cell r="A2054" t="str">
            <v>450351</v>
          </cell>
          <cell r="B2054" t="str">
            <v>1251</v>
          </cell>
          <cell r="C2054" t="str">
            <v>12</v>
          </cell>
          <cell r="D2054" t="str">
            <v>59</v>
          </cell>
          <cell r="E2054">
            <v>13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0</v>
          </cell>
          <cell r="Q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0</v>
          </cell>
          <cell r="V2054">
            <v>0</v>
          </cell>
          <cell r="W2054">
            <v>0</v>
          </cell>
        </row>
        <row r="2055">
          <cell r="A2055" t="str">
            <v>450351</v>
          </cell>
          <cell r="B2055" t="str">
            <v>1251</v>
          </cell>
          <cell r="C2055" t="str">
            <v>12</v>
          </cell>
          <cell r="D2055" t="str">
            <v>59</v>
          </cell>
          <cell r="E2055">
            <v>14</v>
          </cell>
          <cell r="G2055">
            <v>70679</v>
          </cell>
          <cell r="H2055">
            <v>0</v>
          </cell>
          <cell r="I2055">
            <v>705765</v>
          </cell>
          <cell r="J2055">
            <v>0</v>
          </cell>
          <cell r="K2055">
            <v>776444</v>
          </cell>
          <cell r="L2055">
            <v>0</v>
          </cell>
          <cell r="M2055">
            <v>70679</v>
          </cell>
          <cell r="N2055">
            <v>574199</v>
          </cell>
          <cell r="O2055">
            <v>0</v>
          </cell>
          <cell r="P2055">
            <v>131566</v>
          </cell>
          <cell r="Q2055">
            <v>131566</v>
          </cell>
          <cell r="R2055">
            <v>0</v>
          </cell>
          <cell r="S2055">
            <v>0</v>
          </cell>
          <cell r="T2055">
            <v>0</v>
          </cell>
          <cell r="U2055">
            <v>0</v>
          </cell>
          <cell r="V2055">
            <v>0</v>
          </cell>
          <cell r="W2055">
            <v>0</v>
          </cell>
        </row>
        <row r="2056">
          <cell r="A2056" t="str">
            <v>450351</v>
          </cell>
          <cell r="B2056" t="str">
            <v>1251</v>
          </cell>
          <cell r="C2056" t="str">
            <v>12</v>
          </cell>
          <cell r="D2056" t="str">
            <v>59</v>
          </cell>
          <cell r="E2056">
            <v>15</v>
          </cell>
          <cell r="G2056">
            <v>117539</v>
          </cell>
          <cell r="H2056">
            <v>0</v>
          </cell>
          <cell r="I2056">
            <v>2599661</v>
          </cell>
          <cell r="J2056">
            <v>0</v>
          </cell>
          <cell r="K2056">
            <v>2717200</v>
          </cell>
          <cell r="L2056">
            <v>0</v>
          </cell>
          <cell r="M2056">
            <v>117539</v>
          </cell>
          <cell r="N2056">
            <v>2475920</v>
          </cell>
          <cell r="O2056">
            <v>0</v>
          </cell>
          <cell r="P2056">
            <v>123741</v>
          </cell>
          <cell r="Q2056">
            <v>123741</v>
          </cell>
          <cell r="R2056">
            <v>0</v>
          </cell>
          <cell r="S2056">
            <v>0</v>
          </cell>
          <cell r="T2056">
            <v>0</v>
          </cell>
          <cell r="U2056">
            <v>0</v>
          </cell>
          <cell r="V2056">
            <v>0</v>
          </cell>
          <cell r="W2056">
            <v>0</v>
          </cell>
        </row>
        <row r="2057">
          <cell r="A2057" t="str">
            <v>450351</v>
          </cell>
          <cell r="B2057" t="str">
            <v>1251</v>
          </cell>
          <cell r="C2057" t="str">
            <v>12</v>
          </cell>
          <cell r="D2057" t="str">
            <v>59</v>
          </cell>
          <cell r="E2057">
            <v>16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0</v>
          </cell>
          <cell r="Q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0</v>
          </cell>
          <cell r="V2057">
            <v>0</v>
          </cell>
          <cell r="W2057">
            <v>0</v>
          </cell>
        </row>
        <row r="2058">
          <cell r="A2058" t="str">
            <v>450351</v>
          </cell>
          <cell r="B2058" t="str">
            <v>1251</v>
          </cell>
          <cell r="C2058" t="str">
            <v>12</v>
          </cell>
          <cell r="D2058" t="str">
            <v>59</v>
          </cell>
          <cell r="E2058">
            <v>17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0</v>
          </cell>
          <cell r="Q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0</v>
          </cell>
          <cell r="V2058">
            <v>0</v>
          </cell>
          <cell r="W2058">
            <v>0</v>
          </cell>
        </row>
        <row r="2059">
          <cell r="A2059" t="str">
            <v>450351</v>
          </cell>
          <cell r="B2059" t="str">
            <v>1251</v>
          </cell>
          <cell r="C2059" t="str">
            <v>12</v>
          </cell>
          <cell r="D2059" t="str">
            <v>59</v>
          </cell>
          <cell r="E2059">
            <v>18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>
            <v>0</v>
          </cell>
          <cell r="W2059">
            <v>0</v>
          </cell>
        </row>
        <row r="2060">
          <cell r="A2060" t="str">
            <v>450351</v>
          </cell>
          <cell r="B2060" t="str">
            <v>1251</v>
          </cell>
          <cell r="C2060" t="str">
            <v>12</v>
          </cell>
          <cell r="D2060" t="str">
            <v>59</v>
          </cell>
          <cell r="E2060">
            <v>19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P2060">
            <v>0</v>
          </cell>
          <cell r="Q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0</v>
          </cell>
          <cell r="V2060">
            <v>0</v>
          </cell>
          <cell r="W2060">
            <v>0</v>
          </cell>
        </row>
        <row r="2061">
          <cell r="A2061" t="str">
            <v>450351</v>
          </cell>
          <cell r="B2061" t="str">
            <v>1251</v>
          </cell>
          <cell r="C2061" t="str">
            <v>12</v>
          </cell>
          <cell r="D2061" t="str">
            <v>59</v>
          </cell>
          <cell r="E2061">
            <v>20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0</v>
          </cell>
          <cell r="Q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0</v>
          </cell>
          <cell r="V2061">
            <v>0</v>
          </cell>
          <cell r="W2061">
            <v>0</v>
          </cell>
        </row>
        <row r="2062">
          <cell r="A2062" t="str">
            <v>450351</v>
          </cell>
          <cell r="B2062" t="str">
            <v>1251</v>
          </cell>
          <cell r="C2062" t="str">
            <v>12</v>
          </cell>
          <cell r="D2062" t="str">
            <v>59</v>
          </cell>
          <cell r="E2062">
            <v>21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V2062">
            <v>0</v>
          </cell>
          <cell r="W2062">
            <v>0</v>
          </cell>
        </row>
        <row r="2063">
          <cell r="A2063" t="str">
            <v>450351</v>
          </cell>
          <cell r="B2063" t="str">
            <v>1251</v>
          </cell>
          <cell r="C2063" t="str">
            <v>12</v>
          </cell>
          <cell r="D2063" t="str">
            <v>59</v>
          </cell>
          <cell r="E2063">
            <v>22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V2063">
            <v>0</v>
          </cell>
          <cell r="W2063">
            <v>0</v>
          </cell>
        </row>
        <row r="2064">
          <cell r="A2064" t="str">
            <v>450351</v>
          </cell>
          <cell r="B2064" t="str">
            <v>1251</v>
          </cell>
          <cell r="C2064" t="str">
            <v>12</v>
          </cell>
          <cell r="D2064" t="str">
            <v>59</v>
          </cell>
          <cell r="E2064">
            <v>23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0</v>
          </cell>
          <cell r="V2064">
            <v>0</v>
          </cell>
          <cell r="W2064">
            <v>0</v>
          </cell>
        </row>
        <row r="2065">
          <cell r="A2065" t="str">
            <v>450351</v>
          </cell>
          <cell r="B2065" t="str">
            <v>1251</v>
          </cell>
          <cell r="C2065" t="str">
            <v>12</v>
          </cell>
          <cell r="D2065" t="str">
            <v>59</v>
          </cell>
          <cell r="E2065">
            <v>24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0</v>
          </cell>
          <cell r="Q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0</v>
          </cell>
          <cell r="V2065">
            <v>0</v>
          </cell>
          <cell r="W2065">
            <v>0</v>
          </cell>
        </row>
        <row r="2066">
          <cell r="A2066" t="str">
            <v>450351</v>
          </cell>
          <cell r="B2066" t="str">
            <v>1251</v>
          </cell>
          <cell r="C2066" t="str">
            <v>12</v>
          </cell>
          <cell r="D2066" t="str">
            <v>59</v>
          </cell>
          <cell r="E2066">
            <v>25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>
            <v>0</v>
          </cell>
          <cell r="W2066">
            <v>0</v>
          </cell>
        </row>
        <row r="2067">
          <cell r="A2067" t="str">
            <v>450351</v>
          </cell>
          <cell r="B2067" t="str">
            <v>1251</v>
          </cell>
          <cell r="C2067" t="str">
            <v>12</v>
          </cell>
          <cell r="D2067" t="str">
            <v>59</v>
          </cell>
          <cell r="E2067">
            <v>26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0</v>
          </cell>
          <cell r="Q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0</v>
          </cell>
          <cell r="V2067">
            <v>0</v>
          </cell>
          <cell r="W2067">
            <v>0</v>
          </cell>
        </row>
        <row r="2068">
          <cell r="A2068" t="str">
            <v>450351</v>
          </cell>
          <cell r="B2068" t="str">
            <v>1251</v>
          </cell>
          <cell r="C2068" t="str">
            <v>12</v>
          </cell>
          <cell r="D2068" t="str">
            <v>59</v>
          </cell>
          <cell r="E2068">
            <v>27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V2068">
            <v>0</v>
          </cell>
          <cell r="W2068">
            <v>0</v>
          </cell>
        </row>
        <row r="2069">
          <cell r="A2069" t="str">
            <v>450351</v>
          </cell>
          <cell r="B2069" t="str">
            <v>1251</v>
          </cell>
          <cell r="C2069" t="str">
            <v>12</v>
          </cell>
          <cell r="D2069" t="str">
            <v>59</v>
          </cell>
          <cell r="E2069">
            <v>28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>
            <v>0</v>
          </cell>
          <cell r="W2069">
            <v>0</v>
          </cell>
        </row>
        <row r="2070">
          <cell r="A2070" t="str">
            <v>450351</v>
          </cell>
          <cell r="B2070" t="str">
            <v>1251</v>
          </cell>
          <cell r="C2070" t="str">
            <v>12</v>
          </cell>
          <cell r="D2070" t="str">
            <v>59</v>
          </cell>
          <cell r="E2070">
            <v>29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V2070">
            <v>0</v>
          </cell>
          <cell r="W2070">
            <v>0</v>
          </cell>
        </row>
        <row r="2071">
          <cell r="A2071" t="str">
            <v>450351</v>
          </cell>
          <cell r="B2071" t="str">
            <v>1251</v>
          </cell>
          <cell r="C2071" t="str">
            <v>12</v>
          </cell>
          <cell r="D2071" t="str">
            <v>59</v>
          </cell>
          <cell r="E2071">
            <v>30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0</v>
          </cell>
          <cell r="Q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</row>
        <row r="2072">
          <cell r="A2072" t="str">
            <v>450351</v>
          </cell>
          <cell r="B2072" t="str">
            <v>1251</v>
          </cell>
          <cell r="C2072" t="str">
            <v>12</v>
          </cell>
          <cell r="D2072" t="str">
            <v>59</v>
          </cell>
          <cell r="E2072">
            <v>31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0</v>
          </cell>
          <cell r="Q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0</v>
          </cell>
          <cell r="V2072">
            <v>0</v>
          </cell>
          <cell r="W2072">
            <v>0</v>
          </cell>
        </row>
        <row r="2073">
          <cell r="A2073" t="str">
            <v>450351</v>
          </cell>
          <cell r="B2073" t="str">
            <v>1251</v>
          </cell>
          <cell r="C2073" t="str">
            <v>12</v>
          </cell>
          <cell r="D2073" t="str">
            <v>59</v>
          </cell>
          <cell r="E2073">
            <v>32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0</v>
          </cell>
          <cell r="Q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0</v>
          </cell>
          <cell r="V2073">
            <v>0</v>
          </cell>
          <cell r="W2073">
            <v>0</v>
          </cell>
        </row>
        <row r="2074">
          <cell r="A2074" t="str">
            <v>450351</v>
          </cell>
          <cell r="B2074" t="str">
            <v>1251</v>
          </cell>
          <cell r="C2074" t="str">
            <v>12</v>
          </cell>
          <cell r="D2074" t="str">
            <v>59</v>
          </cell>
          <cell r="E2074">
            <v>33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0</v>
          </cell>
          <cell r="Q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0</v>
          </cell>
          <cell r="V2074">
            <v>0</v>
          </cell>
          <cell r="W2074">
            <v>0</v>
          </cell>
        </row>
        <row r="2075">
          <cell r="A2075" t="str">
            <v>450351</v>
          </cell>
          <cell r="B2075" t="str">
            <v>1251</v>
          </cell>
          <cell r="C2075" t="str">
            <v>12</v>
          </cell>
          <cell r="D2075" t="str">
            <v>59</v>
          </cell>
          <cell r="E2075">
            <v>34</v>
          </cell>
          <cell r="G2075">
            <v>205900</v>
          </cell>
          <cell r="H2075">
            <v>0</v>
          </cell>
          <cell r="I2075">
            <v>3329284</v>
          </cell>
          <cell r="J2075">
            <v>0</v>
          </cell>
          <cell r="K2075">
            <v>3535184</v>
          </cell>
          <cell r="L2075">
            <v>0</v>
          </cell>
          <cell r="M2075">
            <v>195741</v>
          </cell>
          <cell r="N2075">
            <v>3073977</v>
          </cell>
          <cell r="O2075">
            <v>10159</v>
          </cell>
          <cell r="P2075">
            <v>255307</v>
          </cell>
          <cell r="Q2075">
            <v>265466</v>
          </cell>
          <cell r="R2075">
            <v>0</v>
          </cell>
          <cell r="S2075">
            <v>0</v>
          </cell>
          <cell r="T2075">
            <v>0</v>
          </cell>
          <cell r="U2075">
            <v>0</v>
          </cell>
          <cell r="V2075">
            <v>0</v>
          </cell>
          <cell r="W2075">
            <v>0</v>
          </cell>
        </row>
        <row r="2076">
          <cell r="A2076" t="str">
            <v>450351</v>
          </cell>
          <cell r="B2076" t="str">
            <v>1251</v>
          </cell>
          <cell r="C2076" t="str">
            <v>12</v>
          </cell>
          <cell r="D2076" t="str">
            <v>75</v>
          </cell>
          <cell r="E2076">
            <v>1</v>
          </cell>
          <cell r="G2076">
            <v>21926</v>
          </cell>
          <cell r="H2076">
            <v>2268</v>
          </cell>
          <cell r="I2076">
            <v>0</v>
          </cell>
          <cell r="J2076">
            <v>0</v>
          </cell>
          <cell r="K2076">
            <v>0</v>
          </cell>
          <cell r="L2076">
            <v>19657</v>
          </cell>
          <cell r="M2076">
            <v>0</v>
          </cell>
          <cell r="N2076">
            <v>0</v>
          </cell>
          <cell r="O2076">
            <v>0</v>
          </cell>
          <cell r="P2076">
            <v>2268</v>
          </cell>
          <cell r="Q2076">
            <v>19657</v>
          </cell>
          <cell r="R2076">
            <v>21925</v>
          </cell>
          <cell r="S2076">
            <v>0</v>
          </cell>
          <cell r="T2076">
            <v>0</v>
          </cell>
          <cell r="U2076">
            <v>0</v>
          </cell>
          <cell r="V2076">
            <v>1</v>
          </cell>
          <cell r="W2076">
            <v>0</v>
          </cell>
        </row>
        <row r="2077">
          <cell r="A2077" t="str">
            <v>450351</v>
          </cell>
          <cell r="B2077" t="str">
            <v>1251</v>
          </cell>
          <cell r="C2077" t="str">
            <v>12</v>
          </cell>
          <cell r="D2077" t="str">
            <v>75</v>
          </cell>
          <cell r="E2077">
            <v>2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0</v>
          </cell>
          <cell r="M2077">
            <v>0</v>
          </cell>
          <cell r="N2077">
            <v>0</v>
          </cell>
          <cell r="O2077">
            <v>0</v>
          </cell>
          <cell r="P2077">
            <v>0</v>
          </cell>
          <cell r="Q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0</v>
          </cell>
          <cell r="V2077">
            <v>0</v>
          </cell>
          <cell r="W2077">
            <v>0</v>
          </cell>
        </row>
        <row r="2078">
          <cell r="A2078" t="str">
            <v>450351</v>
          </cell>
          <cell r="B2078" t="str">
            <v>1251</v>
          </cell>
          <cell r="C2078" t="str">
            <v>12</v>
          </cell>
          <cell r="D2078" t="str">
            <v>75</v>
          </cell>
          <cell r="E2078">
            <v>3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>
            <v>0</v>
          </cell>
          <cell r="W2078">
            <v>0</v>
          </cell>
        </row>
        <row r="2079">
          <cell r="A2079" t="str">
            <v>450351</v>
          </cell>
          <cell r="B2079" t="str">
            <v>1251</v>
          </cell>
          <cell r="C2079" t="str">
            <v>12</v>
          </cell>
          <cell r="D2079" t="str">
            <v>75</v>
          </cell>
          <cell r="E2079">
            <v>4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0</v>
          </cell>
          <cell r="Q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0</v>
          </cell>
          <cell r="V2079">
            <v>0</v>
          </cell>
          <cell r="W2079">
            <v>0</v>
          </cell>
        </row>
        <row r="2080">
          <cell r="A2080" t="str">
            <v>450351</v>
          </cell>
          <cell r="B2080" t="str">
            <v>1251</v>
          </cell>
          <cell r="C2080" t="str">
            <v>12</v>
          </cell>
          <cell r="D2080" t="str">
            <v>75</v>
          </cell>
          <cell r="E2080">
            <v>5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0</v>
          </cell>
          <cell r="Q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0</v>
          </cell>
          <cell r="V2080">
            <v>0</v>
          </cell>
          <cell r="W2080">
            <v>0</v>
          </cell>
        </row>
        <row r="2081">
          <cell r="A2081" t="str">
            <v>450351</v>
          </cell>
          <cell r="B2081" t="str">
            <v>1251</v>
          </cell>
          <cell r="C2081" t="str">
            <v>12</v>
          </cell>
          <cell r="D2081" t="str">
            <v>75</v>
          </cell>
          <cell r="E2081">
            <v>6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0</v>
          </cell>
          <cell r="Q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0</v>
          </cell>
          <cell r="V2081">
            <v>0</v>
          </cell>
          <cell r="W2081">
            <v>0</v>
          </cell>
        </row>
        <row r="2082">
          <cell r="A2082" t="str">
            <v>450351</v>
          </cell>
          <cell r="B2082" t="str">
            <v>1251</v>
          </cell>
          <cell r="C2082" t="str">
            <v>12</v>
          </cell>
          <cell r="D2082" t="str">
            <v>75</v>
          </cell>
          <cell r="E2082">
            <v>7</v>
          </cell>
          <cell r="G2082">
            <v>4498</v>
          </cell>
          <cell r="H2082">
            <v>567</v>
          </cell>
          <cell r="I2082">
            <v>0</v>
          </cell>
          <cell r="J2082">
            <v>0</v>
          </cell>
          <cell r="K2082">
            <v>0</v>
          </cell>
          <cell r="L2082">
            <v>3931</v>
          </cell>
          <cell r="M2082">
            <v>0</v>
          </cell>
          <cell r="N2082">
            <v>0</v>
          </cell>
          <cell r="O2082">
            <v>0</v>
          </cell>
          <cell r="P2082">
            <v>567</v>
          </cell>
          <cell r="Q2082">
            <v>3931</v>
          </cell>
          <cell r="R2082">
            <v>4498</v>
          </cell>
          <cell r="S2082">
            <v>0</v>
          </cell>
          <cell r="T2082">
            <v>0</v>
          </cell>
          <cell r="U2082">
            <v>0</v>
          </cell>
          <cell r="V2082">
            <v>0</v>
          </cell>
          <cell r="W2082">
            <v>0</v>
          </cell>
        </row>
        <row r="2083">
          <cell r="A2083" t="str">
            <v>450351</v>
          </cell>
          <cell r="B2083" t="str">
            <v>1251</v>
          </cell>
          <cell r="C2083" t="str">
            <v>12</v>
          </cell>
          <cell r="D2083" t="str">
            <v>75</v>
          </cell>
          <cell r="E2083">
            <v>8</v>
          </cell>
          <cell r="G2083">
            <v>26424</v>
          </cell>
          <cell r="H2083">
            <v>2835</v>
          </cell>
          <cell r="I2083">
            <v>0</v>
          </cell>
          <cell r="J2083">
            <v>0</v>
          </cell>
          <cell r="K2083">
            <v>0</v>
          </cell>
          <cell r="L2083">
            <v>23588</v>
          </cell>
          <cell r="M2083">
            <v>0</v>
          </cell>
          <cell r="N2083">
            <v>0</v>
          </cell>
          <cell r="O2083">
            <v>0</v>
          </cell>
          <cell r="P2083">
            <v>2835</v>
          </cell>
          <cell r="Q2083">
            <v>23588</v>
          </cell>
          <cell r="R2083">
            <v>26423</v>
          </cell>
          <cell r="S2083">
            <v>0</v>
          </cell>
          <cell r="T2083">
            <v>0</v>
          </cell>
          <cell r="U2083">
            <v>0</v>
          </cell>
          <cell r="V2083">
            <v>1</v>
          </cell>
          <cell r="W2083">
            <v>0</v>
          </cell>
        </row>
        <row r="2084">
          <cell r="A2084" t="str">
            <v>450351</v>
          </cell>
          <cell r="B2084" t="str">
            <v>1251</v>
          </cell>
          <cell r="C2084" t="str">
            <v>12</v>
          </cell>
          <cell r="D2084" t="str">
            <v>75</v>
          </cell>
          <cell r="E2084">
            <v>9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0</v>
          </cell>
          <cell r="V2084">
            <v>0</v>
          </cell>
          <cell r="W2084">
            <v>0</v>
          </cell>
        </row>
        <row r="2085">
          <cell r="A2085" t="str">
            <v>450351</v>
          </cell>
          <cell r="B2085" t="str">
            <v>1251</v>
          </cell>
          <cell r="C2085" t="str">
            <v>12</v>
          </cell>
          <cell r="D2085" t="str">
            <v>75</v>
          </cell>
          <cell r="E2085">
            <v>10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</row>
        <row r="2086">
          <cell r="A2086" t="str">
            <v>450351</v>
          </cell>
          <cell r="B2086" t="str">
            <v>1251</v>
          </cell>
          <cell r="C2086" t="str">
            <v>12</v>
          </cell>
          <cell r="D2086" t="str">
            <v>75</v>
          </cell>
          <cell r="E2086">
            <v>11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0</v>
          </cell>
          <cell r="V2086">
            <v>0</v>
          </cell>
          <cell r="W2086">
            <v>0</v>
          </cell>
        </row>
        <row r="2087">
          <cell r="A2087" t="str">
            <v>450351</v>
          </cell>
          <cell r="B2087" t="str">
            <v>1251</v>
          </cell>
          <cell r="C2087" t="str">
            <v>12</v>
          </cell>
          <cell r="D2087" t="str">
            <v>75</v>
          </cell>
          <cell r="E2087">
            <v>12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0</v>
          </cell>
          <cell r="V2087">
            <v>0</v>
          </cell>
          <cell r="W2087">
            <v>0</v>
          </cell>
        </row>
        <row r="2088">
          <cell r="A2088" t="str">
            <v>450351</v>
          </cell>
          <cell r="B2088" t="str">
            <v>1251</v>
          </cell>
          <cell r="C2088" t="str">
            <v>12</v>
          </cell>
          <cell r="D2088" t="str">
            <v>75</v>
          </cell>
          <cell r="E2088">
            <v>13</v>
          </cell>
          <cell r="G2088">
            <v>700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700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700</v>
          </cell>
          <cell r="R2088">
            <v>700</v>
          </cell>
          <cell r="S2088">
            <v>0</v>
          </cell>
          <cell r="T2088">
            <v>0</v>
          </cell>
          <cell r="U2088">
            <v>0</v>
          </cell>
          <cell r="V2088">
            <v>0</v>
          </cell>
          <cell r="W2088">
            <v>0</v>
          </cell>
        </row>
        <row r="2089">
          <cell r="A2089" t="str">
            <v>450351</v>
          </cell>
          <cell r="B2089" t="str">
            <v>1251</v>
          </cell>
          <cell r="C2089" t="str">
            <v>12</v>
          </cell>
          <cell r="D2089" t="str">
            <v>75</v>
          </cell>
          <cell r="E2089">
            <v>14</v>
          </cell>
          <cell r="G2089">
            <v>700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700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700</v>
          </cell>
          <cell r="R2089">
            <v>700</v>
          </cell>
          <cell r="S2089">
            <v>0</v>
          </cell>
          <cell r="T2089">
            <v>0</v>
          </cell>
          <cell r="U2089">
            <v>0</v>
          </cell>
          <cell r="V2089">
            <v>0</v>
          </cell>
          <cell r="W2089">
            <v>0</v>
          </cell>
        </row>
        <row r="2090">
          <cell r="A2090" t="str">
            <v>450351</v>
          </cell>
          <cell r="B2090" t="str">
            <v>1251</v>
          </cell>
          <cell r="C2090" t="str">
            <v>12</v>
          </cell>
          <cell r="D2090" t="str">
            <v>75</v>
          </cell>
          <cell r="E2090">
            <v>15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0</v>
          </cell>
          <cell r="V2090">
            <v>0</v>
          </cell>
          <cell r="W2090">
            <v>0</v>
          </cell>
        </row>
        <row r="2091">
          <cell r="A2091" t="str">
            <v>450351</v>
          </cell>
          <cell r="B2091" t="str">
            <v>1251</v>
          </cell>
          <cell r="C2091" t="str">
            <v>12</v>
          </cell>
          <cell r="D2091" t="str">
            <v>75</v>
          </cell>
          <cell r="E2091">
            <v>16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</row>
        <row r="2092">
          <cell r="A2092" t="str">
            <v>450351</v>
          </cell>
          <cell r="B2092" t="str">
            <v>1251</v>
          </cell>
          <cell r="C2092" t="str">
            <v>12</v>
          </cell>
          <cell r="D2092" t="str">
            <v>75</v>
          </cell>
          <cell r="E2092">
            <v>17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0</v>
          </cell>
          <cell r="V2092">
            <v>0</v>
          </cell>
          <cell r="W2092">
            <v>0</v>
          </cell>
        </row>
        <row r="2093">
          <cell r="A2093" t="str">
            <v>450351</v>
          </cell>
          <cell r="B2093" t="str">
            <v>1251</v>
          </cell>
          <cell r="C2093" t="str">
            <v>12</v>
          </cell>
          <cell r="D2093" t="str">
            <v>75</v>
          </cell>
          <cell r="E2093">
            <v>18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0</v>
          </cell>
          <cell r="V2093">
            <v>0</v>
          </cell>
          <cell r="W2093">
            <v>0</v>
          </cell>
        </row>
        <row r="2094">
          <cell r="A2094" t="str">
            <v>450351</v>
          </cell>
          <cell r="B2094" t="str">
            <v>1251</v>
          </cell>
          <cell r="C2094" t="str">
            <v>12</v>
          </cell>
          <cell r="D2094" t="str">
            <v>75</v>
          </cell>
          <cell r="E2094">
            <v>19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0</v>
          </cell>
          <cell r="V2094">
            <v>0</v>
          </cell>
          <cell r="W2094">
            <v>0</v>
          </cell>
        </row>
        <row r="2095">
          <cell r="A2095" t="str">
            <v>450351</v>
          </cell>
          <cell r="B2095" t="str">
            <v>1251</v>
          </cell>
          <cell r="C2095" t="str">
            <v>12</v>
          </cell>
          <cell r="D2095" t="str">
            <v>75</v>
          </cell>
          <cell r="E2095">
            <v>20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V2095">
            <v>0</v>
          </cell>
          <cell r="W2095">
            <v>0</v>
          </cell>
        </row>
        <row r="2096">
          <cell r="A2096" t="str">
            <v>450351</v>
          </cell>
          <cell r="B2096" t="str">
            <v>1251</v>
          </cell>
          <cell r="C2096" t="str">
            <v>12</v>
          </cell>
          <cell r="D2096" t="str">
            <v>75</v>
          </cell>
          <cell r="E2096">
            <v>21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0</v>
          </cell>
          <cell r="V2096">
            <v>0</v>
          </cell>
          <cell r="W2096">
            <v>0</v>
          </cell>
        </row>
        <row r="2097">
          <cell r="A2097" t="str">
            <v>450351</v>
          </cell>
          <cell r="B2097" t="str">
            <v>1251</v>
          </cell>
          <cell r="C2097" t="str">
            <v>12</v>
          </cell>
          <cell r="D2097" t="str">
            <v>75</v>
          </cell>
          <cell r="E2097">
            <v>22</v>
          </cell>
          <cell r="G2097">
            <v>700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700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700</v>
          </cell>
          <cell r="R2097">
            <v>700</v>
          </cell>
          <cell r="S2097">
            <v>0</v>
          </cell>
          <cell r="T2097">
            <v>0</v>
          </cell>
          <cell r="U2097">
            <v>0</v>
          </cell>
          <cell r="V2097">
            <v>0</v>
          </cell>
          <cell r="W2097">
            <v>0</v>
          </cell>
        </row>
        <row r="2098">
          <cell r="A2098" t="str">
            <v>450351</v>
          </cell>
          <cell r="B2098" t="str">
            <v>1251</v>
          </cell>
          <cell r="C2098" t="str">
            <v>12</v>
          </cell>
          <cell r="D2098" t="str">
            <v>75</v>
          </cell>
          <cell r="E2098">
            <v>23</v>
          </cell>
          <cell r="G2098">
            <v>1439615</v>
          </cell>
          <cell r="H2098">
            <v>217</v>
          </cell>
          <cell r="I2098">
            <v>0</v>
          </cell>
          <cell r="J2098">
            <v>0</v>
          </cell>
          <cell r="K2098">
            <v>0</v>
          </cell>
          <cell r="L2098">
            <v>1447356</v>
          </cell>
          <cell r="M2098">
            <v>0</v>
          </cell>
          <cell r="N2098">
            <v>0</v>
          </cell>
          <cell r="O2098">
            <v>0</v>
          </cell>
          <cell r="P2098">
            <v>217</v>
          </cell>
          <cell r="Q2098">
            <v>1447356</v>
          </cell>
          <cell r="R2098">
            <v>1447573</v>
          </cell>
          <cell r="S2098">
            <v>0</v>
          </cell>
          <cell r="T2098">
            <v>0</v>
          </cell>
          <cell r="U2098">
            <v>7944</v>
          </cell>
          <cell r="V2098">
            <v>-14</v>
          </cell>
          <cell r="W2098">
            <v>0</v>
          </cell>
        </row>
        <row r="2099">
          <cell r="A2099" t="str">
            <v>450351</v>
          </cell>
          <cell r="B2099" t="str">
            <v>1251</v>
          </cell>
          <cell r="C2099" t="str">
            <v>12</v>
          </cell>
          <cell r="D2099" t="str">
            <v>75</v>
          </cell>
          <cell r="E2099">
            <v>24</v>
          </cell>
          <cell r="G2099">
            <v>475875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476870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476870</v>
          </cell>
          <cell r="R2099">
            <v>476870</v>
          </cell>
          <cell r="S2099">
            <v>0</v>
          </cell>
          <cell r="T2099">
            <v>0</v>
          </cell>
          <cell r="U2099">
            <v>995</v>
          </cell>
          <cell r="V2099">
            <v>0</v>
          </cell>
          <cell r="W2099">
            <v>0</v>
          </cell>
        </row>
        <row r="2100">
          <cell r="A2100" t="str">
            <v>450351</v>
          </cell>
          <cell r="B2100" t="str">
            <v>1251</v>
          </cell>
          <cell r="C2100" t="str">
            <v>12</v>
          </cell>
          <cell r="D2100" t="str">
            <v>75</v>
          </cell>
          <cell r="E2100">
            <v>25</v>
          </cell>
          <cell r="G2100">
            <v>1314123</v>
          </cell>
          <cell r="H2100">
            <v>188001</v>
          </cell>
          <cell r="I2100">
            <v>0</v>
          </cell>
          <cell r="J2100">
            <v>0</v>
          </cell>
          <cell r="K2100">
            <v>0</v>
          </cell>
          <cell r="L2100">
            <v>1126108</v>
          </cell>
          <cell r="M2100">
            <v>255307</v>
          </cell>
          <cell r="N2100">
            <v>0</v>
          </cell>
          <cell r="O2100">
            <v>0</v>
          </cell>
          <cell r="P2100">
            <v>188001</v>
          </cell>
          <cell r="Q2100">
            <v>1126108</v>
          </cell>
          <cell r="R2100">
            <v>1314109</v>
          </cell>
          <cell r="S2100">
            <v>0</v>
          </cell>
          <cell r="T2100">
            <v>255307</v>
          </cell>
          <cell r="U2100">
            <v>0</v>
          </cell>
          <cell r="V2100">
            <v>-255293</v>
          </cell>
          <cell r="W2100">
            <v>0</v>
          </cell>
        </row>
        <row r="2101">
          <cell r="A2101" t="str">
            <v>450351</v>
          </cell>
          <cell r="B2101" t="str">
            <v>1251</v>
          </cell>
          <cell r="C2101" t="str">
            <v>12</v>
          </cell>
          <cell r="D2101" t="str">
            <v>75</v>
          </cell>
          <cell r="E2101">
            <v>26</v>
          </cell>
          <cell r="G2101">
            <v>3229613</v>
          </cell>
          <cell r="H2101">
            <v>188218</v>
          </cell>
          <cell r="I2101">
            <v>0</v>
          </cell>
          <cell r="J2101">
            <v>0</v>
          </cell>
          <cell r="K2101">
            <v>0</v>
          </cell>
          <cell r="L2101">
            <v>3050334</v>
          </cell>
          <cell r="M2101">
            <v>255307</v>
          </cell>
          <cell r="N2101">
            <v>0</v>
          </cell>
          <cell r="O2101">
            <v>0</v>
          </cell>
          <cell r="P2101">
            <v>188218</v>
          </cell>
          <cell r="Q2101">
            <v>3050334</v>
          </cell>
          <cell r="R2101">
            <v>3238552</v>
          </cell>
          <cell r="S2101">
            <v>0</v>
          </cell>
          <cell r="T2101">
            <v>255307</v>
          </cell>
          <cell r="U2101">
            <v>8939</v>
          </cell>
          <cell r="V2101">
            <v>-255307</v>
          </cell>
          <cell r="W2101">
            <v>0</v>
          </cell>
        </row>
        <row r="2102">
          <cell r="A2102" t="str">
            <v>450351</v>
          </cell>
          <cell r="B2102" t="str">
            <v>1251</v>
          </cell>
          <cell r="C2102" t="str">
            <v>12</v>
          </cell>
          <cell r="D2102" t="str">
            <v>75</v>
          </cell>
          <cell r="E2102">
            <v>27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0</v>
          </cell>
          <cell r="V2102">
            <v>0</v>
          </cell>
          <cell r="W2102">
            <v>0</v>
          </cell>
        </row>
        <row r="2103">
          <cell r="A2103" t="str">
            <v>450351</v>
          </cell>
          <cell r="B2103" t="str">
            <v>1251</v>
          </cell>
          <cell r="C2103" t="str">
            <v>12</v>
          </cell>
          <cell r="D2103" t="str">
            <v>75</v>
          </cell>
          <cell r="E2103">
            <v>28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</row>
        <row r="2104">
          <cell r="A2104" t="str">
            <v>450351</v>
          </cell>
          <cell r="B2104" t="str">
            <v>1251</v>
          </cell>
          <cell r="C2104" t="str">
            <v>12</v>
          </cell>
          <cell r="D2104" t="str">
            <v>75</v>
          </cell>
          <cell r="E2104">
            <v>29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0</v>
          </cell>
          <cell r="V2104">
            <v>0</v>
          </cell>
          <cell r="W2104">
            <v>0</v>
          </cell>
        </row>
        <row r="2105">
          <cell r="A2105" t="str">
            <v>450351</v>
          </cell>
          <cell r="B2105" t="str">
            <v>1251</v>
          </cell>
          <cell r="C2105" t="str">
            <v>12</v>
          </cell>
          <cell r="D2105" t="str">
            <v>75</v>
          </cell>
          <cell r="E2105">
            <v>30</v>
          </cell>
          <cell r="G2105">
            <v>270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270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270</v>
          </cell>
          <cell r="R2105">
            <v>270</v>
          </cell>
          <cell r="S2105">
            <v>0</v>
          </cell>
          <cell r="T2105">
            <v>0</v>
          </cell>
          <cell r="U2105">
            <v>0</v>
          </cell>
          <cell r="V2105">
            <v>0</v>
          </cell>
          <cell r="W2105">
            <v>0</v>
          </cell>
        </row>
        <row r="2106">
          <cell r="A2106" t="str">
            <v>450351</v>
          </cell>
          <cell r="B2106" t="str">
            <v>1251</v>
          </cell>
          <cell r="C2106" t="str">
            <v>12</v>
          </cell>
          <cell r="D2106" t="str">
            <v>75</v>
          </cell>
          <cell r="E2106">
            <v>31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0</v>
          </cell>
          <cell r="V2106">
            <v>0</v>
          </cell>
          <cell r="W2106">
            <v>0</v>
          </cell>
        </row>
        <row r="2107">
          <cell r="A2107" t="str">
            <v>450351</v>
          </cell>
          <cell r="B2107" t="str">
            <v>1251</v>
          </cell>
          <cell r="C2107" t="str">
            <v>12</v>
          </cell>
          <cell r="D2107" t="str">
            <v>75</v>
          </cell>
          <cell r="E2107">
            <v>32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0</v>
          </cell>
          <cell r="V2107">
            <v>0</v>
          </cell>
          <cell r="W2107">
            <v>0</v>
          </cell>
        </row>
        <row r="2108">
          <cell r="A2108" t="str">
            <v>450351</v>
          </cell>
          <cell r="B2108" t="str">
            <v>1251</v>
          </cell>
          <cell r="C2108" t="str">
            <v>12</v>
          </cell>
          <cell r="D2108" t="str">
            <v>75</v>
          </cell>
          <cell r="E2108">
            <v>33</v>
          </cell>
          <cell r="G2108">
            <v>270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270</v>
          </cell>
          <cell r="M2108">
            <v>0</v>
          </cell>
          <cell r="N2108">
            <v>0</v>
          </cell>
          <cell r="O2108">
            <v>0</v>
          </cell>
          <cell r="P2108">
            <v>0</v>
          </cell>
          <cell r="Q2108">
            <v>270</v>
          </cell>
          <cell r="R2108">
            <v>270</v>
          </cell>
          <cell r="S2108">
            <v>0</v>
          </cell>
          <cell r="T2108">
            <v>0</v>
          </cell>
          <cell r="U2108">
            <v>0</v>
          </cell>
          <cell r="V2108">
            <v>0</v>
          </cell>
          <cell r="W2108">
            <v>0</v>
          </cell>
        </row>
        <row r="2109">
          <cell r="A2109" t="str">
            <v>450351</v>
          </cell>
          <cell r="B2109" t="str">
            <v>1251</v>
          </cell>
          <cell r="C2109" t="str">
            <v>12</v>
          </cell>
          <cell r="D2109" t="str">
            <v>75</v>
          </cell>
          <cell r="E2109">
            <v>34</v>
          </cell>
          <cell r="G2109">
            <v>3257007</v>
          </cell>
          <cell r="H2109">
            <v>191053</v>
          </cell>
          <cell r="I2109">
            <v>0</v>
          </cell>
          <cell r="J2109">
            <v>0</v>
          </cell>
          <cell r="K2109">
            <v>0</v>
          </cell>
          <cell r="L2109">
            <v>3074892</v>
          </cell>
          <cell r="M2109">
            <v>255307</v>
          </cell>
          <cell r="N2109">
            <v>0</v>
          </cell>
          <cell r="O2109">
            <v>0</v>
          </cell>
          <cell r="P2109">
            <v>191053</v>
          </cell>
          <cell r="Q2109">
            <v>3074892</v>
          </cell>
          <cell r="R2109">
            <v>3265945</v>
          </cell>
          <cell r="S2109">
            <v>0</v>
          </cell>
          <cell r="T2109">
            <v>255307</v>
          </cell>
          <cell r="U2109">
            <v>8939</v>
          </cell>
          <cell r="V2109">
            <v>-255306</v>
          </cell>
          <cell r="W2109">
            <v>0</v>
          </cell>
        </row>
        <row r="2110">
          <cell r="A2110" t="str">
            <v>450351</v>
          </cell>
          <cell r="B2110" t="str">
            <v>1251</v>
          </cell>
          <cell r="C2110" t="str">
            <v>12</v>
          </cell>
          <cell r="D2110" t="str">
            <v>80</v>
          </cell>
          <cell r="E2110">
            <v>1</v>
          </cell>
          <cell r="G2110">
            <v>1144695</v>
          </cell>
          <cell r="H2110">
            <v>1135202</v>
          </cell>
          <cell r="I2110">
            <v>1142208</v>
          </cell>
          <cell r="J2110">
            <v>0</v>
          </cell>
          <cell r="K2110">
            <v>243705</v>
          </cell>
          <cell r="L2110">
            <v>276453</v>
          </cell>
          <cell r="M2110">
            <v>277405</v>
          </cell>
          <cell r="N2110">
            <v>0</v>
          </cell>
          <cell r="O2110">
            <v>18600</v>
          </cell>
          <cell r="P2110">
            <v>27960</v>
          </cell>
          <cell r="Q2110">
            <v>27960</v>
          </cell>
          <cell r="R2110">
            <v>0</v>
          </cell>
          <cell r="S2110">
            <v>1407000</v>
          </cell>
          <cell r="T2110">
            <v>1439615</v>
          </cell>
          <cell r="U2110">
            <v>1447573</v>
          </cell>
          <cell r="V2110">
            <v>0</v>
          </cell>
          <cell r="W2110">
            <v>0</v>
          </cell>
        </row>
        <row r="2111">
          <cell r="A2111" t="str">
            <v>450351</v>
          </cell>
          <cell r="B2111" t="str">
            <v>1251</v>
          </cell>
          <cell r="C2111" t="str">
            <v>12</v>
          </cell>
          <cell r="D2111" t="str">
            <v>80</v>
          </cell>
          <cell r="E2111">
            <v>5</v>
          </cell>
          <cell r="G2111">
            <v>444000</v>
          </cell>
          <cell r="H2111">
            <v>458898</v>
          </cell>
          <cell r="I2111">
            <v>459893</v>
          </cell>
          <cell r="J2111">
            <v>0</v>
          </cell>
          <cell r="K2111">
            <v>16000</v>
          </cell>
          <cell r="L2111">
            <v>16977</v>
          </cell>
          <cell r="M2111">
            <v>16977</v>
          </cell>
          <cell r="N2111">
            <v>0</v>
          </cell>
          <cell r="O2111">
            <v>1156900</v>
          </cell>
          <cell r="P2111">
            <v>1165205</v>
          </cell>
          <cell r="Q2111">
            <v>1165191</v>
          </cell>
          <cell r="R2111">
            <v>0</v>
          </cell>
          <cell r="S2111">
            <v>146832</v>
          </cell>
          <cell r="T2111">
            <v>133298</v>
          </cell>
          <cell r="U2111">
            <v>133298</v>
          </cell>
          <cell r="V2111">
            <v>0</v>
          </cell>
          <cell r="W2111">
            <v>0</v>
          </cell>
        </row>
        <row r="2112">
          <cell r="A2112" t="str">
            <v>450351</v>
          </cell>
          <cell r="B2112" t="str">
            <v>1251</v>
          </cell>
          <cell r="C2112" t="str">
            <v>12</v>
          </cell>
          <cell r="D2112" t="str">
            <v>80</v>
          </cell>
          <cell r="E2112">
            <v>9</v>
          </cell>
          <cell r="G2112">
            <v>10350</v>
          </cell>
          <cell r="H2112">
            <v>13095</v>
          </cell>
          <cell r="I2112">
            <v>13095</v>
          </cell>
          <cell r="J2112">
            <v>0</v>
          </cell>
          <cell r="K2112">
            <v>0</v>
          </cell>
          <cell r="L2112">
            <v>0</v>
          </cell>
          <cell r="M2112">
            <v>0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0</v>
          </cell>
          <cell r="V2112">
            <v>0</v>
          </cell>
          <cell r="W2112">
            <v>0</v>
          </cell>
        </row>
        <row r="2113">
          <cell r="A2113" t="str">
            <v>450351</v>
          </cell>
          <cell r="B2113" t="str">
            <v>1251</v>
          </cell>
          <cell r="C2113" t="str">
            <v>12</v>
          </cell>
          <cell r="D2113" t="str">
            <v>80</v>
          </cell>
          <cell r="E2113">
            <v>13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0</v>
          </cell>
          <cell r="P2113">
            <v>0</v>
          </cell>
          <cell r="Q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0</v>
          </cell>
          <cell r="V2113">
            <v>0</v>
          </cell>
          <cell r="W2113">
            <v>0</v>
          </cell>
        </row>
        <row r="2114">
          <cell r="A2114" t="str">
            <v>450351</v>
          </cell>
          <cell r="B2114" t="str">
            <v>1251</v>
          </cell>
          <cell r="C2114" t="str">
            <v>12</v>
          </cell>
          <cell r="D2114" t="str">
            <v>80</v>
          </cell>
          <cell r="E2114">
            <v>17</v>
          </cell>
          <cell r="G2114">
            <v>0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  <cell r="L2114">
            <v>0</v>
          </cell>
          <cell r="M2114">
            <v>0</v>
          </cell>
          <cell r="N2114">
            <v>0</v>
          </cell>
          <cell r="O2114">
            <v>0</v>
          </cell>
          <cell r="P2114">
            <v>0</v>
          </cell>
          <cell r="Q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0</v>
          </cell>
          <cell r="V2114">
            <v>0</v>
          </cell>
          <cell r="W2114">
            <v>0</v>
          </cell>
        </row>
        <row r="2115">
          <cell r="A2115" t="str">
            <v>450351</v>
          </cell>
          <cell r="B2115" t="str">
            <v>1251</v>
          </cell>
          <cell r="C2115" t="str">
            <v>12</v>
          </cell>
          <cell r="D2115" t="str">
            <v>80</v>
          </cell>
          <cell r="E2115">
            <v>21</v>
          </cell>
          <cell r="G2115">
            <v>0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0</v>
          </cell>
          <cell r="Q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0</v>
          </cell>
          <cell r="V2115">
            <v>0</v>
          </cell>
          <cell r="W2115">
            <v>0</v>
          </cell>
        </row>
        <row r="2116">
          <cell r="A2116" t="str">
            <v>450351</v>
          </cell>
          <cell r="B2116" t="str">
            <v>1251</v>
          </cell>
          <cell r="C2116" t="str">
            <v>12</v>
          </cell>
          <cell r="D2116" t="str">
            <v>80</v>
          </cell>
          <cell r="E2116">
            <v>25</v>
          </cell>
          <cell r="G2116">
            <v>0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  <cell r="L2116">
            <v>0</v>
          </cell>
          <cell r="M2116">
            <v>0</v>
          </cell>
          <cell r="N2116">
            <v>0</v>
          </cell>
          <cell r="O2116">
            <v>0</v>
          </cell>
          <cell r="P2116">
            <v>0</v>
          </cell>
          <cell r="Q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0</v>
          </cell>
          <cell r="V2116">
            <v>0</v>
          </cell>
          <cell r="W2116">
            <v>0</v>
          </cell>
        </row>
        <row r="2117">
          <cell r="A2117" t="str">
            <v>450351</v>
          </cell>
          <cell r="B2117" t="str">
            <v>1251</v>
          </cell>
          <cell r="C2117" t="str">
            <v>12</v>
          </cell>
          <cell r="D2117" t="str">
            <v>80</v>
          </cell>
          <cell r="E2117">
            <v>29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L2117">
            <v>0</v>
          </cell>
          <cell r="M2117">
            <v>0</v>
          </cell>
          <cell r="N2117">
            <v>0</v>
          </cell>
          <cell r="O2117">
            <v>0</v>
          </cell>
          <cell r="P2117">
            <v>0</v>
          </cell>
          <cell r="Q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0</v>
          </cell>
          <cell r="V2117">
            <v>0</v>
          </cell>
          <cell r="W2117">
            <v>0</v>
          </cell>
        </row>
        <row r="2118">
          <cell r="A2118" t="str">
            <v>450351</v>
          </cell>
          <cell r="B2118" t="str">
            <v>1251</v>
          </cell>
          <cell r="C2118" t="str">
            <v>12</v>
          </cell>
          <cell r="D2118" t="str">
            <v>80</v>
          </cell>
          <cell r="E2118">
            <v>33</v>
          </cell>
          <cell r="G2118">
            <v>0</v>
          </cell>
          <cell r="H2118">
            <v>0</v>
          </cell>
          <cell r="I2118">
            <v>0</v>
          </cell>
          <cell r="J2118">
            <v>0</v>
          </cell>
          <cell r="K2118">
            <v>0</v>
          </cell>
          <cell r="L2118">
            <v>0</v>
          </cell>
          <cell r="M2118">
            <v>0</v>
          </cell>
          <cell r="N2118">
            <v>0</v>
          </cell>
          <cell r="O2118">
            <v>0</v>
          </cell>
          <cell r="P2118">
            <v>0</v>
          </cell>
          <cell r="Q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0</v>
          </cell>
          <cell r="V2118">
            <v>0</v>
          </cell>
          <cell r="W2118">
            <v>0</v>
          </cell>
        </row>
        <row r="2119">
          <cell r="A2119" t="str">
            <v>450351</v>
          </cell>
          <cell r="B2119" t="str">
            <v>1251</v>
          </cell>
          <cell r="C2119" t="str">
            <v>12</v>
          </cell>
          <cell r="D2119" t="str">
            <v>80</v>
          </cell>
          <cell r="E2119">
            <v>37</v>
          </cell>
          <cell r="G2119">
            <v>780</v>
          </cell>
          <cell r="H2119">
            <v>2525</v>
          </cell>
          <cell r="I2119">
            <v>2525</v>
          </cell>
          <cell r="J2119">
            <v>0</v>
          </cell>
          <cell r="K2119">
            <v>3181862</v>
          </cell>
          <cell r="L2119">
            <v>3229613</v>
          </cell>
          <cell r="M2119">
            <v>3238552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  <cell r="T2119">
            <v>21926</v>
          </cell>
          <cell r="U2119">
            <v>21925</v>
          </cell>
          <cell r="V2119">
            <v>0</v>
          </cell>
          <cell r="W2119">
            <v>0</v>
          </cell>
        </row>
        <row r="2120">
          <cell r="A2120" t="str">
            <v>450351</v>
          </cell>
          <cell r="B2120" t="str">
            <v>1251</v>
          </cell>
          <cell r="C2120" t="str">
            <v>12</v>
          </cell>
          <cell r="D2120" t="str">
            <v>80</v>
          </cell>
          <cell r="E2120">
            <v>41</v>
          </cell>
          <cell r="G2120">
            <v>0</v>
          </cell>
          <cell r="H2120">
            <v>4498</v>
          </cell>
          <cell r="I2120">
            <v>4498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</row>
        <row r="2121">
          <cell r="A2121" t="str">
            <v>450351</v>
          </cell>
          <cell r="B2121" t="str">
            <v>1251</v>
          </cell>
          <cell r="C2121" t="str">
            <v>12</v>
          </cell>
          <cell r="D2121" t="str">
            <v>80</v>
          </cell>
          <cell r="E2121">
            <v>45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  <cell r="L2121">
            <v>700</v>
          </cell>
          <cell r="M2121">
            <v>700</v>
          </cell>
          <cell r="N2121">
            <v>0</v>
          </cell>
          <cell r="O2121">
            <v>0</v>
          </cell>
          <cell r="P2121">
            <v>0</v>
          </cell>
          <cell r="Q2121">
            <v>0</v>
          </cell>
          <cell r="R2121">
            <v>0</v>
          </cell>
          <cell r="S2121">
            <v>0</v>
          </cell>
          <cell r="T2121">
            <v>700</v>
          </cell>
          <cell r="U2121">
            <v>700</v>
          </cell>
          <cell r="V2121">
            <v>0</v>
          </cell>
          <cell r="W2121">
            <v>0</v>
          </cell>
        </row>
        <row r="2122">
          <cell r="A2122" t="str">
            <v>450351</v>
          </cell>
          <cell r="B2122" t="str">
            <v>1251</v>
          </cell>
          <cell r="C2122" t="str">
            <v>12</v>
          </cell>
          <cell r="D2122" t="str">
            <v>80</v>
          </cell>
          <cell r="E2122">
            <v>49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</row>
        <row r="2123">
          <cell r="A2123" t="str">
            <v>450351</v>
          </cell>
          <cell r="B2123" t="str">
            <v>1251</v>
          </cell>
          <cell r="C2123" t="str">
            <v>12</v>
          </cell>
          <cell r="D2123" t="str">
            <v>80</v>
          </cell>
          <cell r="E2123">
            <v>53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  <cell r="M2123">
            <v>0</v>
          </cell>
          <cell r="N2123">
            <v>0</v>
          </cell>
          <cell r="O2123">
            <v>0</v>
          </cell>
          <cell r="P2123">
            <v>0</v>
          </cell>
          <cell r="Q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0</v>
          </cell>
          <cell r="V2123">
            <v>0</v>
          </cell>
          <cell r="W2123">
            <v>0</v>
          </cell>
        </row>
        <row r="2124">
          <cell r="A2124" t="str">
            <v>450351</v>
          </cell>
          <cell r="B2124" t="str">
            <v>1251</v>
          </cell>
          <cell r="C2124" t="str">
            <v>12</v>
          </cell>
          <cell r="D2124" t="str">
            <v>80</v>
          </cell>
          <cell r="E2124">
            <v>57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</row>
        <row r="2125">
          <cell r="A2125" t="str">
            <v>450351</v>
          </cell>
          <cell r="B2125" t="str">
            <v>1251</v>
          </cell>
          <cell r="C2125" t="str">
            <v>12</v>
          </cell>
          <cell r="D2125" t="str">
            <v>80</v>
          </cell>
          <cell r="E2125">
            <v>61</v>
          </cell>
          <cell r="G2125">
            <v>0</v>
          </cell>
          <cell r="H2125">
            <v>27124</v>
          </cell>
          <cell r="I2125">
            <v>27123</v>
          </cell>
          <cell r="J2125">
            <v>0</v>
          </cell>
          <cell r="K2125">
            <v>0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>
            <v>0</v>
          </cell>
          <cell r="W2125">
            <v>0</v>
          </cell>
        </row>
        <row r="2126">
          <cell r="A2126" t="str">
            <v>450351</v>
          </cell>
          <cell r="B2126" t="str">
            <v>1251</v>
          </cell>
          <cell r="C2126" t="str">
            <v>12</v>
          </cell>
          <cell r="D2126" t="str">
            <v>80</v>
          </cell>
          <cell r="E2126">
            <v>65</v>
          </cell>
          <cell r="G2126">
            <v>0</v>
          </cell>
          <cell r="H2126">
            <v>270</v>
          </cell>
          <cell r="I2126">
            <v>270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3181862</v>
          </cell>
          <cell r="P2126">
            <v>3257007</v>
          </cell>
          <cell r="Q2126">
            <v>3265945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>
            <v>0</v>
          </cell>
          <cell r="W2126">
            <v>0</v>
          </cell>
        </row>
        <row r="2127">
          <cell r="A2127" t="str">
            <v>450351</v>
          </cell>
          <cell r="B2127" t="str">
            <v>1251</v>
          </cell>
          <cell r="C2127" t="str">
            <v>12</v>
          </cell>
          <cell r="D2127" t="str">
            <v>80</v>
          </cell>
          <cell r="E2127">
            <v>69</v>
          </cell>
          <cell r="G2127">
            <v>352991</v>
          </cell>
          <cell r="H2127">
            <v>421747</v>
          </cell>
          <cell r="I2127">
            <v>421746</v>
          </cell>
          <cell r="J2127">
            <v>0</v>
          </cell>
          <cell r="K2127">
            <v>10580</v>
          </cell>
          <cell r="L2127">
            <v>21928</v>
          </cell>
          <cell r="M2127">
            <v>21928</v>
          </cell>
          <cell r="N2127">
            <v>0</v>
          </cell>
          <cell r="O2127">
            <v>500</v>
          </cell>
          <cell r="P2127">
            <v>401</v>
          </cell>
          <cell r="Q2127">
            <v>401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>
            <v>0</v>
          </cell>
          <cell r="W2127">
            <v>0</v>
          </cell>
        </row>
        <row r="2128">
          <cell r="A2128" t="str">
            <v>450351</v>
          </cell>
          <cell r="B2128" t="str">
            <v>1251</v>
          </cell>
          <cell r="C2128" t="str">
            <v>12</v>
          </cell>
          <cell r="D2128" t="str">
            <v>80</v>
          </cell>
          <cell r="E2128">
            <v>73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>
            <v>0</v>
          </cell>
          <cell r="W2128">
            <v>0</v>
          </cell>
        </row>
        <row r="2129">
          <cell r="A2129" t="str">
            <v>450351</v>
          </cell>
          <cell r="B2129" t="str">
            <v>1251</v>
          </cell>
          <cell r="C2129" t="str">
            <v>12</v>
          </cell>
          <cell r="D2129" t="str">
            <v>80</v>
          </cell>
          <cell r="E2129">
            <v>77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0</v>
          </cell>
          <cell r="W2129">
            <v>0</v>
          </cell>
        </row>
        <row r="2130">
          <cell r="A2130" t="str">
            <v>450351</v>
          </cell>
          <cell r="B2130" t="str">
            <v>1251</v>
          </cell>
          <cell r="C2130" t="str">
            <v>12</v>
          </cell>
          <cell r="D2130" t="str">
            <v>80</v>
          </cell>
          <cell r="E2130">
            <v>81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>
            <v>0</v>
          </cell>
          <cell r="W2130">
            <v>0</v>
          </cell>
        </row>
        <row r="2131">
          <cell r="A2131" t="str">
            <v>450351</v>
          </cell>
          <cell r="B2131" t="str">
            <v>1251</v>
          </cell>
          <cell r="C2131" t="str">
            <v>12</v>
          </cell>
          <cell r="D2131" t="str">
            <v>80</v>
          </cell>
          <cell r="E2131">
            <v>85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>
            <v>0</v>
          </cell>
          <cell r="W2131">
            <v>0</v>
          </cell>
        </row>
        <row r="2132">
          <cell r="A2132" t="str">
            <v>450351</v>
          </cell>
          <cell r="B2132" t="str">
            <v>1251</v>
          </cell>
          <cell r="C2132" t="str">
            <v>12</v>
          </cell>
          <cell r="D2132" t="str">
            <v>80</v>
          </cell>
          <cell r="E2132">
            <v>89</v>
          </cell>
          <cell r="G2132">
            <v>0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L2132">
            <v>0</v>
          </cell>
          <cell r="M2132">
            <v>0</v>
          </cell>
          <cell r="N2132">
            <v>0</v>
          </cell>
          <cell r="O2132">
            <v>0</v>
          </cell>
          <cell r="P2132">
            <v>0</v>
          </cell>
          <cell r="Q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0</v>
          </cell>
          <cell r="V2132">
            <v>0</v>
          </cell>
          <cell r="W2132">
            <v>0</v>
          </cell>
        </row>
        <row r="2133">
          <cell r="A2133" t="str">
            <v>450351</v>
          </cell>
          <cell r="B2133" t="str">
            <v>1251</v>
          </cell>
          <cell r="C2133" t="str">
            <v>12</v>
          </cell>
          <cell r="D2133" t="str">
            <v>80</v>
          </cell>
          <cell r="E2133">
            <v>93</v>
          </cell>
          <cell r="G2133">
            <v>2792791</v>
          </cell>
          <cell r="H2133">
            <v>2781577</v>
          </cell>
          <cell r="I2133">
            <v>2781577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16312</v>
          </cell>
          <cell r="Q2133">
            <v>16096</v>
          </cell>
          <cell r="R2133">
            <v>0</v>
          </cell>
          <cell r="S2133">
            <v>0</v>
          </cell>
          <cell r="T2133">
            <v>0</v>
          </cell>
          <cell r="U2133">
            <v>0</v>
          </cell>
          <cell r="V2133">
            <v>0</v>
          </cell>
          <cell r="W2133">
            <v>0</v>
          </cell>
        </row>
        <row r="2134">
          <cell r="A2134" t="str">
            <v>450351</v>
          </cell>
          <cell r="B2134" t="str">
            <v>1251</v>
          </cell>
          <cell r="C2134" t="str">
            <v>12</v>
          </cell>
          <cell r="D2134" t="str">
            <v>80</v>
          </cell>
          <cell r="E2134">
            <v>97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2792791</v>
          </cell>
          <cell r="L2134">
            <v>2797889</v>
          </cell>
          <cell r="M2134">
            <v>2797673</v>
          </cell>
          <cell r="N2134">
            <v>0</v>
          </cell>
          <cell r="O2134">
            <v>0</v>
          </cell>
          <cell r="P2134">
            <v>2126</v>
          </cell>
          <cell r="Q2134">
            <v>2342</v>
          </cell>
          <cell r="R2134">
            <v>0</v>
          </cell>
          <cell r="S2134">
            <v>0</v>
          </cell>
          <cell r="T2134">
            <v>0</v>
          </cell>
          <cell r="U2134">
            <v>0</v>
          </cell>
          <cell r="V2134">
            <v>0</v>
          </cell>
          <cell r="W2134">
            <v>0</v>
          </cell>
        </row>
        <row r="2135">
          <cell r="A2135" t="str">
            <v>450351</v>
          </cell>
          <cell r="B2135" t="str">
            <v>1251</v>
          </cell>
          <cell r="C2135" t="str">
            <v>12</v>
          </cell>
          <cell r="D2135" t="str">
            <v>80</v>
          </cell>
          <cell r="E2135">
            <v>101</v>
          </cell>
          <cell r="G2135">
            <v>0</v>
          </cell>
          <cell r="H2135">
            <v>675</v>
          </cell>
          <cell r="I2135">
            <v>675</v>
          </cell>
          <cell r="J2135">
            <v>0</v>
          </cell>
          <cell r="K2135">
            <v>0</v>
          </cell>
          <cell r="L2135">
            <v>1100</v>
          </cell>
          <cell r="M2135">
            <v>1100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</row>
        <row r="2136">
          <cell r="A2136" t="str">
            <v>450351</v>
          </cell>
          <cell r="B2136" t="str">
            <v>1251</v>
          </cell>
          <cell r="C2136" t="str">
            <v>12</v>
          </cell>
          <cell r="D2136" t="str">
            <v>80</v>
          </cell>
          <cell r="E2136">
            <v>105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L2136">
            <v>3300</v>
          </cell>
          <cell r="M2136">
            <v>3300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4400</v>
          </cell>
          <cell r="U2136">
            <v>4400</v>
          </cell>
          <cell r="V2136">
            <v>0</v>
          </cell>
          <cell r="W2136">
            <v>0</v>
          </cell>
        </row>
        <row r="2137">
          <cell r="A2137" t="str">
            <v>450351</v>
          </cell>
          <cell r="B2137" t="str">
            <v>1251</v>
          </cell>
          <cell r="C2137" t="str">
            <v>12</v>
          </cell>
          <cell r="D2137" t="str">
            <v>80</v>
          </cell>
          <cell r="E2137">
            <v>109</v>
          </cell>
          <cell r="G2137">
            <v>0</v>
          </cell>
          <cell r="H2137">
            <v>629</v>
          </cell>
          <cell r="I2137">
            <v>629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P2137">
            <v>0</v>
          </cell>
          <cell r="Q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0</v>
          </cell>
          <cell r="V2137">
            <v>0</v>
          </cell>
          <cell r="W2137">
            <v>0</v>
          </cell>
        </row>
        <row r="2138">
          <cell r="A2138" t="str">
            <v>450351</v>
          </cell>
          <cell r="B2138" t="str">
            <v>1251</v>
          </cell>
          <cell r="C2138" t="str">
            <v>12</v>
          </cell>
          <cell r="D2138" t="str">
            <v>80</v>
          </cell>
          <cell r="E2138">
            <v>113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5704</v>
          </cell>
          <cell r="Q2138">
            <v>5704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</row>
        <row r="2139">
          <cell r="A2139" t="str">
            <v>450351</v>
          </cell>
          <cell r="B2139" t="str">
            <v>1251</v>
          </cell>
          <cell r="C2139" t="str">
            <v>12</v>
          </cell>
          <cell r="D2139" t="str">
            <v>80</v>
          </cell>
          <cell r="E2139">
            <v>117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0</v>
          </cell>
          <cell r="V2139">
            <v>0</v>
          </cell>
          <cell r="W2139">
            <v>0</v>
          </cell>
        </row>
        <row r="2140">
          <cell r="A2140" t="str">
            <v>450351</v>
          </cell>
          <cell r="B2140" t="str">
            <v>1251</v>
          </cell>
          <cell r="C2140" t="str">
            <v>12</v>
          </cell>
          <cell r="D2140" t="str">
            <v>80</v>
          </cell>
          <cell r="E2140">
            <v>121</v>
          </cell>
          <cell r="G2140">
            <v>3156862</v>
          </cell>
          <cell r="H2140">
            <v>3249795</v>
          </cell>
          <cell r="I2140">
            <v>3249794</v>
          </cell>
          <cell r="J2140">
            <v>0</v>
          </cell>
          <cell r="K2140">
            <v>0</v>
          </cell>
          <cell r="L2140">
            <v>0</v>
          </cell>
          <cell r="M2140">
            <v>0</v>
          </cell>
          <cell r="N2140">
            <v>0</v>
          </cell>
          <cell r="O2140">
            <v>25000</v>
          </cell>
          <cell r="P2140">
            <v>7000</v>
          </cell>
          <cell r="Q2140">
            <v>7000</v>
          </cell>
          <cell r="R2140">
            <v>0</v>
          </cell>
          <cell r="S2140">
            <v>0</v>
          </cell>
          <cell r="T2140">
            <v>212</v>
          </cell>
          <cell r="U2140">
            <v>9151</v>
          </cell>
          <cell r="V2140">
            <v>0</v>
          </cell>
          <cell r="W2140">
            <v>0</v>
          </cell>
        </row>
        <row r="2141">
          <cell r="A2141" t="str">
            <v>450351</v>
          </cell>
          <cell r="B2141" t="str">
            <v>1251</v>
          </cell>
          <cell r="C2141" t="str">
            <v>12</v>
          </cell>
          <cell r="D2141" t="str">
            <v>80</v>
          </cell>
          <cell r="E2141">
            <v>125</v>
          </cell>
          <cell r="G2141">
            <v>0</v>
          </cell>
          <cell r="H2141">
            <v>212</v>
          </cell>
          <cell r="I2141">
            <v>212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>
            <v>0</v>
          </cell>
          <cell r="W2141">
            <v>0</v>
          </cell>
        </row>
        <row r="2142">
          <cell r="A2142" t="str">
            <v>450351</v>
          </cell>
          <cell r="B2142" t="str">
            <v>1251</v>
          </cell>
          <cell r="C2142" t="str">
            <v>12</v>
          </cell>
          <cell r="D2142" t="str">
            <v>80</v>
          </cell>
          <cell r="E2142">
            <v>129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</row>
        <row r="2143">
          <cell r="A2143" t="str">
            <v>450351</v>
          </cell>
          <cell r="B2143" t="str">
            <v>1251</v>
          </cell>
          <cell r="C2143" t="str">
            <v>12</v>
          </cell>
          <cell r="D2143" t="str">
            <v>80</v>
          </cell>
          <cell r="E2143">
            <v>133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3890</v>
          </cell>
          <cell r="R2143">
            <v>0</v>
          </cell>
          <cell r="S2143">
            <v>0</v>
          </cell>
          <cell r="T2143">
            <v>0</v>
          </cell>
          <cell r="U2143">
            <v>3890</v>
          </cell>
          <cell r="V2143">
            <v>0</v>
          </cell>
          <cell r="W2143">
            <v>0</v>
          </cell>
        </row>
        <row r="2144">
          <cell r="A2144" t="str">
            <v>450351</v>
          </cell>
          <cell r="B2144" t="str">
            <v>1251</v>
          </cell>
          <cell r="C2144" t="str">
            <v>12</v>
          </cell>
          <cell r="D2144" t="str">
            <v>80</v>
          </cell>
          <cell r="E2144">
            <v>137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V2144">
            <v>0</v>
          </cell>
          <cell r="W2144">
            <v>0</v>
          </cell>
        </row>
        <row r="2145">
          <cell r="A2145" t="str">
            <v>450351</v>
          </cell>
          <cell r="B2145" t="str">
            <v>1251</v>
          </cell>
          <cell r="C2145" t="str">
            <v>12</v>
          </cell>
          <cell r="D2145" t="str">
            <v>80</v>
          </cell>
          <cell r="E2145">
            <v>141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0</v>
          </cell>
          <cell r="V2145">
            <v>0</v>
          </cell>
          <cell r="W2145">
            <v>0</v>
          </cell>
        </row>
        <row r="2146">
          <cell r="A2146" t="str">
            <v>450351</v>
          </cell>
          <cell r="B2146" t="str">
            <v>1251</v>
          </cell>
          <cell r="C2146" t="str">
            <v>12</v>
          </cell>
          <cell r="D2146" t="str">
            <v>80</v>
          </cell>
          <cell r="E2146">
            <v>145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949</v>
          </cell>
          <cell r="N2146">
            <v>0</v>
          </cell>
          <cell r="O2146">
            <v>0</v>
          </cell>
          <cell r="P2146">
            <v>0</v>
          </cell>
          <cell r="Q2146">
            <v>949</v>
          </cell>
          <cell r="R2146">
            <v>0</v>
          </cell>
          <cell r="S2146">
            <v>0</v>
          </cell>
          <cell r="T2146">
            <v>212</v>
          </cell>
          <cell r="U2146">
            <v>-2729</v>
          </cell>
          <cell r="V2146">
            <v>0</v>
          </cell>
          <cell r="W2146">
            <v>0</v>
          </cell>
        </row>
        <row r="2147">
          <cell r="A2147" t="str">
            <v>450351</v>
          </cell>
          <cell r="B2147" t="str">
            <v>1251</v>
          </cell>
          <cell r="C2147" t="str">
            <v>12</v>
          </cell>
          <cell r="D2147" t="str">
            <v>80</v>
          </cell>
          <cell r="E2147">
            <v>149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</row>
        <row r="2148">
          <cell r="A2148" t="str">
            <v>450351</v>
          </cell>
          <cell r="B2148" t="str">
            <v>1251</v>
          </cell>
          <cell r="C2148" t="str">
            <v>12</v>
          </cell>
          <cell r="D2148" t="str">
            <v>80</v>
          </cell>
          <cell r="E2148">
            <v>153</v>
          </cell>
          <cell r="G2148">
            <v>0</v>
          </cell>
          <cell r="H2148">
            <v>0</v>
          </cell>
          <cell r="I2148">
            <v>-12092</v>
          </cell>
          <cell r="J2148">
            <v>0</v>
          </cell>
          <cell r="K2148">
            <v>0</v>
          </cell>
          <cell r="L2148">
            <v>0</v>
          </cell>
          <cell r="M2148">
            <v>13101</v>
          </cell>
          <cell r="N2148">
            <v>0</v>
          </cell>
          <cell r="O2148">
            <v>0</v>
          </cell>
          <cell r="P2148">
            <v>0</v>
          </cell>
          <cell r="Q2148">
            <v>1009</v>
          </cell>
          <cell r="R2148">
            <v>0</v>
          </cell>
          <cell r="S2148">
            <v>766</v>
          </cell>
          <cell r="T2148">
            <v>812</v>
          </cell>
          <cell r="U2148">
            <v>753</v>
          </cell>
          <cell r="V2148">
            <v>0</v>
          </cell>
          <cell r="W2148">
            <v>0</v>
          </cell>
        </row>
        <row r="2149">
          <cell r="A2149" t="str">
            <v>450351</v>
          </cell>
          <cell r="B2149" t="str">
            <v>1251</v>
          </cell>
          <cell r="C2149" t="str">
            <v>12</v>
          </cell>
          <cell r="D2149" t="str">
            <v>80</v>
          </cell>
          <cell r="E2149">
            <v>157</v>
          </cell>
          <cell r="G2149">
            <v>0</v>
          </cell>
          <cell r="H2149">
            <v>0</v>
          </cell>
          <cell r="I2149">
            <v>812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0</v>
          </cell>
          <cell r="Q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0</v>
          </cell>
          <cell r="V2149">
            <v>0</v>
          </cell>
          <cell r="W2149">
            <v>0</v>
          </cell>
        </row>
        <row r="2150">
          <cell r="A2150" t="str">
            <v>453406</v>
          </cell>
          <cell r="B2150" t="str">
            <v>1251</v>
          </cell>
          <cell r="C2150" t="str">
            <v>12</v>
          </cell>
          <cell r="D2150" t="str">
            <v>01</v>
          </cell>
          <cell r="E2150">
            <v>1</v>
          </cell>
          <cell r="G2150">
            <v>184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1304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  <cell r="R2150">
            <v>0</v>
          </cell>
          <cell r="S2150">
            <v>1488</v>
          </cell>
          <cell r="T2150">
            <v>0</v>
          </cell>
          <cell r="U2150">
            <v>0</v>
          </cell>
          <cell r="V2150">
            <v>0</v>
          </cell>
          <cell r="W2150">
            <v>0</v>
          </cell>
        </row>
        <row r="2151">
          <cell r="A2151" t="str">
            <v>453406</v>
          </cell>
          <cell r="B2151" t="str">
            <v>1251</v>
          </cell>
          <cell r="C2151" t="str">
            <v>12</v>
          </cell>
          <cell r="D2151" t="str">
            <v>01</v>
          </cell>
          <cell r="E2151">
            <v>8</v>
          </cell>
          <cell r="G2151">
            <v>122537</v>
          </cell>
          <cell r="H2151">
            <v>0</v>
          </cell>
          <cell r="I2151">
            <v>49632</v>
          </cell>
          <cell r="J2151">
            <v>0</v>
          </cell>
          <cell r="K2151">
            <v>56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0</v>
          </cell>
          <cell r="Q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0</v>
          </cell>
          <cell r="V2151">
            <v>0</v>
          </cell>
          <cell r="W2151">
            <v>0</v>
          </cell>
        </row>
        <row r="2152">
          <cell r="A2152" t="str">
            <v>453406</v>
          </cell>
          <cell r="B2152" t="str">
            <v>1251</v>
          </cell>
          <cell r="C2152" t="str">
            <v>12</v>
          </cell>
          <cell r="D2152" t="str">
            <v>01</v>
          </cell>
          <cell r="E2152">
            <v>15</v>
          </cell>
          <cell r="G2152">
            <v>0</v>
          </cell>
          <cell r="H2152">
            <v>0</v>
          </cell>
          <cell r="I2152">
            <v>172225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0</v>
          </cell>
          <cell r="V2152">
            <v>0</v>
          </cell>
          <cell r="W2152">
            <v>0</v>
          </cell>
        </row>
        <row r="2153">
          <cell r="A2153" t="str">
            <v>453406</v>
          </cell>
          <cell r="B2153" t="str">
            <v>1251</v>
          </cell>
          <cell r="C2153" t="str">
            <v>12</v>
          </cell>
          <cell r="D2153" t="str">
            <v>01</v>
          </cell>
          <cell r="E2153">
            <v>22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0</v>
          </cell>
          <cell r="Q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0</v>
          </cell>
          <cell r="V2153">
            <v>0</v>
          </cell>
          <cell r="W2153">
            <v>0</v>
          </cell>
        </row>
        <row r="2154">
          <cell r="A2154" t="str">
            <v>453406</v>
          </cell>
          <cell r="B2154" t="str">
            <v>1251</v>
          </cell>
          <cell r="C2154" t="str">
            <v>12</v>
          </cell>
          <cell r="D2154" t="str">
            <v>01</v>
          </cell>
          <cell r="E2154">
            <v>29</v>
          </cell>
          <cell r="G2154">
            <v>0</v>
          </cell>
          <cell r="H2154">
            <v>0</v>
          </cell>
          <cell r="I2154">
            <v>173713</v>
          </cell>
          <cell r="J2154">
            <v>0</v>
          </cell>
          <cell r="K2154">
            <v>269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0</v>
          </cell>
          <cell r="Q2154">
            <v>0</v>
          </cell>
          <cell r="R2154">
            <v>0</v>
          </cell>
          <cell r="S2154">
            <v>3747</v>
          </cell>
          <cell r="T2154">
            <v>0</v>
          </cell>
          <cell r="U2154">
            <v>0</v>
          </cell>
          <cell r="V2154">
            <v>0</v>
          </cell>
          <cell r="W2154">
            <v>0</v>
          </cell>
        </row>
        <row r="2155">
          <cell r="A2155" t="str">
            <v>453406</v>
          </cell>
          <cell r="B2155" t="str">
            <v>1251</v>
          </cell>
          <cell r="C2155" t="str">
            <v>12</v>
          </cell>
          <cell r="D2155" t="str">
            <v>01</v>
          </cell>
          <cell r="E2155">
            <v>36</v>
          </cell>
          <cell r="G2155">
            <v>0</v>
          </cell>
          <cell r="H2155">
            <v>0</v>
          </cell>
          <cell r="I2155">
            <v>4016</v>
          </cell>
          <cell r="J2155">
            <v>0</v>
          </cell>
          <cell r="K2155">
            <v>3643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0</v>
          </cell>
          <cell r="Q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0</v>
          </cell>
          <cell r="V2155">
            <v>0</v>
          </cell>
          <cell r="W2155">
            <v>0</v>
          </cell>
        </row>
        <row r="2156">
          <cell r="A2156" t="str">
            <v>453406</v>
          </cell>
          <cell r="B2156" t="str">
            <v>1251</v>
          </cell>
          <cell r="C2156" t="str">
            <v>12</v>
          </cell>
          <cell r="D2156" t="str">
            <v>01</v>
          </cell>
          <cell r="E2156">
            <v>43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3643</v>
          </cell>
          <cell r="P2156">
            <v>0</v>
          </cell>
          <cell r="Q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0</v>
          </cell>
          <cell r="V2156">
            <v>0</v>
          </cell>
          <cell r="W2156">
            <v>0</v>
          </cell>
        </row>
        <row r="2157">
          <cell r="A2157" t="str">
            <v>453406</v>
          </cell>
          <cell r="B2157" t="str">
            <v>1251</v>
          </cell>
          <cell r="C2157" t="str">
            <v>12</v>
          </cell>
          <cell r="D2157" t="str">
            <v>01</v>
          </cell>
          <cell r="E2157">
            <v>50</v>
          </cell>
          <cell r="G2157">
            <v>0</v>
          </cell>
          <cell r="H2157">
            <v>0</v>
          </cell>
          <cell r="I2157">
            <v>207</v>
          </cell>
          <cell r="J2157">
            <v>0</v>
          </cell>
          <cell r="K2157">
            <v>3664</v>
          </cell>
          <cell r="L2157">
            <v>0</v>
          </cell>
          <cell r="M2157">
            <v>0</v>
          </cell>
          <cell r="N2157">
            <v>0</v>
          </cell>
          <cell r="O2157">
            <v>0</v>
          </cell>
          <cell r="P2157">
            <v>0</v>
          </cell>
          <cell r="Q2157">
            <v>3871</v>
          </cell>
          <cell r="R2157">
            <v>0</v>
          </cell>
          <cell r="S2157">
            <v>0</v>
          </cell>
          <cell r="T2157">
            <v>0</v>
          </cell>
          <cell r="U2157">
            <v>0</v>
          </cell>
          <cell r="V2157">
            <v>0</v>
          </cell>
          <cell r="W2157">
            <v>0</v>
          </cell>
        </row>
        <row r="2158">
          <cell r="A2158" t="str">
            <v>453406</v>
          </cell>
          <cell r="B2158" t="str">
            <v>1251</v>
          </cell>
          <cell r="C2158" t="str">
            <v>12</v>
          </cell>
          <cell r="D2158" t="str">
            <v>01</v>
          </cell>
          <cell r="E2158">
            <v>57</v>
          </cell>
          <cell r="G2158">
            <v>7199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0</v>
          </cell>
          <cell r="M2158">
            <v>7199</v>
          </cell>
          <cell r="N2158">
            <v>0</v>
          </cell>
          <cell r="O2158">
            <v>18729</v>
          </cell>
          <cell r="P2158">
            <v>0</v>
          </cell>
          <cell r="Q2158">
            <v>192442</v>
          </cell>
          <cell r="R2158">
            <v>0</v>
          </cell>
          <cell r="S2158">
            <v>73457</v>
          </cell>
          <cell r="T2158">
            <v>0</v>
          </cell>
          <cell r="U2158">
            <v>0</v>
          </cell>
          <cell r="V2158">
            <v>0</v>
          </cell>
          <cell r="W2158">
            <v>0</v>
          </cell>
        </row>
        <row r="2159">
          <cell r="A2159" t="str">
            <v>453406</v>
          </cell>
          <cell r="B2159" t="str">
            <v>1251</v>
          </cell>
          <cell r="C2159" t="str">
            <v>12</v>
          </cell>
          <cell r="D2159" t="str">
            <v>01</v>
          </cell>
          <cell r="E2159">
            <v>64</v>
          </cell>
          <cell r="G2159">
            <v>98079</v>
          </cell>
          <cell r="H2159">
            <v>0</v>
          </cell>
          <cell r="I2159">
            <v>0</v>
          </cell>
          <cell r="J2159">
            <v>0</v>
          </cell>
          <cell r="K2159">
            <v>171536</v>
          </cell>
          <cell r="L2159">
            <v>0</v>
          </cell>
          <cell r="M2159">
            <v>14546</v>
          </cell>
          <cell r="N2159">
            <v>0</v>
          </cell>
          <cell r="O2159">
            <v>14546</v>
          </cell>
          <cell r="P2159">
            <v>0</v>
          </cell>
          <cell r="Q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0</v>
          </cell>
          <cell r="V2159">
            <v>0</v>
          </cell>
          <cell r="W2159">
            <v>0</v>
          </cell>
        </row>
        <row r="2160">
          <cell r="A2160" t="str">
            <v>453406</v>
          </cell>
          <cell r="B2160" t="str">
            <v>1251</v>
          </cell>
          <cell r="C2160" t="str">
            <v>12</v>
          </cell>
          <cell r="D2160" t="str">
            <v>01</v>
          </cell>
          <cell r="E2160">
            <v>71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14546</v>
          </cell>
          <cell r="N2160">
            <v>0</v>
          </cell>
          <cell r="O2160">
            <v>-3875</v>
          </cell>
          <cell r="P2160">
            <v>0</v>
          </cell>
          <cell r="Q2160">
            <v>-624</v>
          </cell>
          <cell r="R2160">
            <v>0</v>
          </cell>
          <cell r="S2160">
            <v>-3251</v>
          </cell>
          <cell r="T2160">
            <v>0</v>
          </cell>
          <cell r="U2160">
            <v>0</v>
          </cell>
          <cell r="V2160">
            <v>0</v>
          </cell>
          <cell r="W2160">
            <v>0</v>
          </cell>
        </row>
        <row r="2161">
          <cell r="A2161" t="str">
            <v>453406</v>
          </cell>
          <cell r="B2161" t="str">
            <v>1251</v>
          </cell>
          <cell r="C2161" t="str">
            <v>12</v>
          </cell>
          <cell r="D2161" t="str">
            <v>01</v>
          </cell>
          <cell r="E2161">
            <v>78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-3875</v>
          </cell>
          <cell r="N2161">
            <v>0</v>
          </cell>
          <cell r="O2161">
            <v>10671</v>
          </cell>
          <cell r="P2161">
            <v>0</v>
          </cell>
          <cell r="Q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0</v>
          </cell>
          <cell r="V2161">
            <v>0</v>
          </cell>
          <cell r="W2161">
            <v>0</v>
          </cell>
        </row>
        <row r="2162">
          <cell r="A2162" t="str">
            <v>453406</v>
          </cell>
          <cell r="B2162" t="str">
            <v>1251</v>
          </cell>
          <cell r="C2162" t="str">
            <v>12</v>
          </cell>
          <cell r="D2162" t="str">
            <v>01</v>
          </cell>
          <cell r="E2162">
            <v>85</v>
          </cell>
          <cell r="G2162">
            <v>0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0</v>
          </cell>
          <cell r="Q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0</v>
          </cell>
          <cell r="V2162">
            <v>0</v>
          </cell>
          <cell r="W2162">
            <v>0</v>
          </cell>
        </row>
        <row r="2163">
          <cell r="A2163" t="str">
            <v>453406</v>
          </cell>
          <cell r="B2163" t="str">
            <v>1251</v>
          </cell>
          <cell r="C2163" t="str">
            <v>12</v>
          </cell>
          <cell r="D2163" t="str">
            <v>01</v>
          </cell>
          <cell r="E2163">
            <v>92</v>
          </cell>
          <cell r="G2163">
            <v>9836</v>
          </cell>
          <cell r="H2163">
            <v>0</v>
          </cell>
          <cell r="I2163">
            <v>9836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V2163">
            <v>0</v>
          </cell>
          <cell r="W2163">
            <v>0</v>
          </cell>
        </row>
        <row r="2164">
          <cell r="A2164" t="str">
            <v>453406</v>
          </cell>
          <cell r="B2164" t="str">
            <v>1251</v>
          </cell>
          <cell r="C2164" t="str">
            <v>12</v>
          </cell>
          <cell r="D2164" t="str">
            <v>01</v>
          </cell>
          <cell r="E2164">
            <v>99</v>
          </cell>
          <cell r="G2164">
            <v>0</v>
          </cell>
          <cell r="H2164">
            <v>0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0</v>
          </cell>
          <cell r="Q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0</v>
          </cell>
          <cell r="V2164">
            <v>0</v>
          </cell>
          <cell r="W2164">
            <v>0</v>
          </cell>
        </row>
        <row r="2165">
          <cell r="A2165" t="str">
            <v>453406</v>
          </cell>
          <cell r="B2165" t="str">
            <v>1251</v>
          </cell>
          <cell r="C2165" t="str">
            <v>12</v>
          </cell>
          <cell r="D2165" t="str">
            <v>01</v>
          </cell>
          <cell r="E2165">
            <v>106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0</v>
          </cell>
          <cell r="Q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0</v>
          </cell>
          <cell r="V2165">
            <v>0</v>
          </cell>
          <cell r="W2165">
            <v>0</v>
          </cell>
        </row>
        <row r="2166">
          <cell r="A2166" t="str">
            <v>453406</v>
          </cell>
          <cell r="B2166" t="str">
            <v>1251</v>
          </cell>
          <cell r="C2166" t="str">
            <v>12</v>
          </cell>
          <cell r="D2166" t="str">
            <v>01</v>
          </cell>
          <cell r="E2166">
            <v>113</v>
          </cell>
          <cell r="G2166">
            <v>9836</v>
          </cell>
          <cell r="H2166">
            <v>0</v>
          </cell>
          <cell r="I2166">
            <v>0</v>
          </cell>
          <cell r="J2166">
            <v>0</v>
          </cell>
          <cell r="K2166">
            <v>399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0</v>
          </cell>
          <cell r="Q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0</v>
          </cell>
          <cell r="V2166">
            <v>0</v>
          </cell>
          <cell r="W2166">
            <v>0</v>
          </cell>
        </row>
        <row r="2167">
          <cell r="A2167" t="str">
            <v>453406</v>
          </cell>
          <cell r="B2167" t="str">
            <v>1251</v>
          </cell>
          <cell r="C2167" t="str">
            <v>12</v>
          </cell>
          <cell r="D2167" t="str">
            <v>01</v>
          </cell>
          <cell r="E2167">
            <v>120</v>
          </cell>
          <cell r="G2167">
            <v>399</v>
          </cell>
          <cell r="H2167">
            <v>0</v>
          </cell>
          <cell r="I2167">
            <v>10235</v>
          </cell>
          <cell r="J2167">
            <v>0</v>
          </cell>
          <cell r="K2167">
            <v>192442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0</v>
          </cell>
          <cell r="Q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0</v>
          </cell>
          <cell r="V2167">
            <v>0</v>
          </cell>
          <cell r="W2167">
            <v>0</v>
          </cell>
        </row>
        <row r="2168">
          <cell r="A2168" t="str">
            <v>453406</v>
          </cell>
          <cell r="B2168" t="str">
            <v>1251</v>
          </cell>
          <cell r="C2168" t="str">
            <v>12</v>
          </cell>
          <cell r="D2168" t="str">
            <v>02</v>
          </cell>
          <cell r="E2168">
            <v>1</v>
          </cell>
          <cell r="G2168">
            <v>174826</v>
          </cell>
          <cell r="H2168">
            <v>119270</v>
          </cell>
          <cell r="I2168">
            <v>119438</v>
          </cell>
          <cell r="J2168">
            <v>0</v>
          </cell>
          <cell r="K2168">
            <v>0</v>
          </cell>
          <cell r="L2168">
            <v>0</v>
          </cell>
          <cell r="M2168">
            <v>0</v>
          </cell>
          <cell r="N2168">
            <v>0</v>
          </cell>
          <cell r="O2168">
            <v>0</v>
          </cell>
          <cell r="P2168">
            <v>7637</v>
          </cell>
          <cell r="Q2168">
            <v>5240</v>
          </cell>
          <cell r="R2168">
            <v>5231</v>
          </cell>
          <cell r="S2168">
            <v>274</v>
          </cell>
          <cell r="T2168">
            <v>250</v>
          </cell>
          <cell r="U2168">
            <v>250</v>
          </cell>
          <cell r="V2168">
            <v>0</v>
          </cell>
          <cell r="W2168">
            <v>0</v>
          </cell>
        </row>
        <row r="2169">
          <cell r="A2169" t="str">
            <v>453406</v>
          </cell>
          <cell r="B2169" t="str">
            <v>1251</v>
          </cell>
          <cell r="C2169" t="str">
            <v>12</v>
          </cell>
          <cell r="D2169" t="str">
            <v>02</v>
          </cell>
          <cell r="E2169">
            <v>6</v>
          </cell>
          <cell r="G2169">
            <v>0</v>
          </cell>
          <cell r="H2169">
            <v>0</v>
          </cell>
          <cell r="I2169">
            <v>0</v>
          </cell>
          <cell r="J2169">
            <v>182737</v>
          </cell>
          <cell r="K2169">
            <v>124760</v>
          </cell>
          <cell r="L2169">
            <v>124919</v>
          </cell>
          <cell r="M2169">
            <v>12219</v>
          </cell>
          <cell r="N2169">
            <v>7475</v>
          </cell>
          <cell r="O2169">
            <v>7476</v>
          </cell>
          <cell r="P2169">
            <v>194956</v>
          </cell>
          <cell r="Q2169">
            <v>132235</v>
          </cell>
          <cell r="R2169">
            <v>132395</v>
          </cell>
          <cell r="S2169">
            <v>0</v>
          </cell>
          <cell r="T2169">
            <v>0</v>
          </cell>
          <cell r="U2169">
            <v>0</v>
          </cell>
          <cell r="V2169">
            <v>0</v>
          </cell>
          <cell r="W2169">
            <v>0</v>
          </cell>
        </row>
        <row r="2170">
          <cell r="A2170" t="str">
            <v>453406</v>
          </cell>
          <cell r="B2170" t="str">
            <v>1251</v>
          </cell>
          <cell r="C2170" t="str">
            <v>12</v>
          </cell>
          <cell r="D2170" t="str">
            <v>02</v>
          </cell>
          <cell r="E2170">
            <v>11</v>
          </cell>
          <cell r="G2170">
            <v>0</v>
          </cell>
          <cell r="H2170">
            <v>0</v>
          </cell>
          <cell r="I2170">
            <v>0</v>
          </cell>
          <cell r="J2170">
            <v>16691</v>
          </cell>
          <cell r="K2170">
            <v>12900</v>
          </cell>
          <cell r="L2170">
            <v>12934</v>
          </cell>
          <cell r="M2170">
            <v>4995</v>
          </cell>
          <cell r="N2170">
            <v>4006</v>
          </cell>
          <cell r="O2170">
            <v>4012</v>
          </cell>
          <cell r="P2170">
            <v>21686</v>
          </cell>
          <cell r="Q2170">
            <v>16906</v>
          </cell>
          <cell r="R2170">
            <v>16946</v>
          </cell>
          <cell r="S2170">
            <v>450</v>
          </cell>
          <cell r="T2170">
            <v>610</v>
          </cell>
          <cell r="U2170">
            <v>609</v>
          </cell>
          <cell r="V2170">
            <v>0</v>
          </cell>
          <cell r="W2170">
            <v>0</v>
          </cell>
        </row>
        <row r="2171">
          <cell r="A2171" t="str">
            <v>453406</v>
          </cell>
          <cell r="B2171" t="str">
            <v>1251</v>
          </cell>
          <cell r="C2171" t="str">
            <v>12</v>
          </cell>
          <cell r="D2171" t="str">
            <v>02</v>
          </cell>
          <cell r="E2171">
            <v>16</v>
          </cell>
          <cell r="G2171">
            <v>22136</v>
          </cell>
          <cell r="H2171">
            <v>17516</v>
          </cell>
          <cell r="I2171">
            <v>17555</v>
          </cell>
          <cell r="J2171">
            <v>1205</v>
          </cell>
          <cell r="K2171">
            <v>0</v>
          </cell>
          <cell r="L2171">
            <v>0</v>
          </cell>
          <cell r="M2171">
            <v>748</v>
          </cell>
          <cell r="N2171">
            <v>748</v>
          </cell>
          <cell r="O2171">
            <v>748</v>
          </cell>
          <cell r="P2171">
            <v>2300</v>
          </cell>
          <cell r="Q2171">
            <v>510</v>
          </cell>
          <cell r="R2171">
            <v>506</v>
          </cell>
          <cell r="S2171">
            <v>0</v>
          </cell>
          <cell r="T2171">
            <v>132</v>
          </cell>
          <cell r="U2171">
            <v>132</v>
          </cell>
          <cell r="V2171">
            <v>0</v>
          </cell>
          <cell r="W2171">
            <v>0</v>
          </cell>
        </row>
        <row r="2172">
          <cell r="A2172" t="str">
            <v>453406</v>
          </cell>
          <cell r="B2172" t="str">
            <v>1251</v>
          </cell>
          <cell r="C2172" t="str">
            <v>12</v>
          </cell>
          <cell r="D2172" t="str">
            <v>02</v>
          </cell>
          <cell r="E2172">
            <v>21</v>
          </cell>
          <cell r="G2172">
            <v>0</v>
          </cell>
          <cell r="H2172">
            <v>0</v>
          </cell>
          <cell r="I2172">
            <v>0</v>
          </cell>
          <cell r="J2172">
            <v>1592</v>
          </cell>
          <cell r="K2172">
            <v>2060</v>
          </cell>
          <cell r="L2172">
            <v>2055</v>
          </cell>
          <cell r="M2172">
            <v>4640</v>
          </cell>
          <cell r="N2172">
            <v>3450</v>
          </cell>
          <cell r="O2172">
            <v>3441</v>
          </cell>
          <cell r="P2172">
            <v>80</v>
          </cell>
          <cell r="Q2172">
            <v>106</v>
          </cell>
          <cell r="R2172">
            <v>105</v>
          </cell>
          <cell r="S2172">
            <v>4720</v>
          </cell>
          <cell r="T2172">
            <v>3556</v>
          </cell>
          <cell r="U2172">
            <v>3546</v>
          </cell>
          <cell r="V2172">
            <v>0</v>
          </cell>
          <cell r="W2172">
            <v>0</v>
          </cell>
        </row>
        <row r="2173">
          <cell r="A2173" t="str">
            <v>453406</v>
          </cell>
          <cell r="B2173" t="str">
            <v>1251</v>
          </cell>
          <cell r="C2173" t="str">
            <v>12</v>
          </cell>
          <cell r="D2173" t="str">
            <v>02</v>
          </cell>
          <cell r="E2173">
            <v>26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3559</v>
          </cell>
          <cell r="N2173">
            <v>2010</v>
          </cell>
          <cell r="O2173">
            <v>2007</v>
          </cell>
          <cell r="P2173">
            <v>3147</v>
          </cell>
          <cell r="Q2173">
            <v>1920</v>
          </cell>
          <cell r="R2173">
            <v>1919</v>
          </cell>
          <cell r="S2173">
            <v>226</v>
          </cell>
          <cell r="T2173">
            <v>846</v>
          </cell>
          <cell r="U2173">
            <v>836</v>
          </cell>
          <cell r="V2173">
            <v>0</v>
          </cell>
          <cell r="W2173">
            <v>0</v>
          </cell>
        </row>
        <row r="2174">
          <cell r="A2174" t="str">
            <v>453406</v>
          </cell>
          <cell r="B2174" t="str">
            <v>1251</v>
          </cell>
          <cell r="C2174" t="str">
            <v>12</v>
          </cell>
          <cell r="D2174" t="str">
            <v>02</v>
          </cell>
          <cell r="E2174">
            <v>31</v>
          </cell>
          <cell r="G2174">
            <v>6932</v>
          </cell>
          <cell r="H2174">
            <v>4776</v>
          </cell>
          <cell r="I2174">
            <v>4762</v>
          </cell>
          <cell r="J2174">
            <v>713</v>
          </cell>
          <cell r="K2174">
            <v>330</v>
          </cell>
          <cell r="L2174">
            <v>326</v>
          </cell>
          <cell r="M2174">
            <v>7645</v>
          </cell>
          <cell r="N2174">
            <v>5106</v>
          </cell>
          <cell r="O2174">
            <v>5088</v>
          </cell>
          <cell r="P2174">
            <v>0</v>
          </cell>
          <cell r="Q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0</v>
          </cell>
          <cell r="V2174">
            <v>0</v>
          </cell>
          <cell r="W2174">
            <v>0</v>
          </cell>
        </row>
        <row r="2175">
          <cell r="A2175" t="str">
            <v>453406</v>
          </cell>
          <cell r="B2175" t="str">
            <v>1251</v>
          </cell>
          <cell r="C2175" t="str">
            <v>12</v>
          </cell>
          <cell r="D2175" t="str">
            <v>02</v>
          </cell>
          <cell r="E2175">
            <v>36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0</v>
          </cell>
          <cell r="Q2175">
            <v>0</v>
          </cell>
          <cell r="R2175">
            <v>0</v>
          </cell>
          <cell r="S2175">
            <v>33258</v>
          </cell>
          <cell r="T2175">
            <v>25132</v>
          </cell>
          <cell r="U2175">
            <v>25149</v>
          </cell>
          <cell r="V2175">
            <v>0</v>
          </cell>
          <cell r="W2175">
            <v>0</v>
          </cell>
        </row>
        <row r="2176">
          <cell r="A2176" t="str">
            <v>453406</v>
          </cell>
          <cell r="B2176" t="str">
            <v>1251</v>
          </cell>
          <cell r="C2176" t="str">
            <v>12</v>
          </cell>
          <cell r="D2176" t="str">
            <v>02</v>
          </cell>
          <cell r="E2176">
            <v>41</v>
          </cell>
          <cell r="G2176">
            <v>1243</v>
          </cell>
          <cell r="H2176">
            <v>1046</v>
          </cell>
          <cell r="I2176">
            <v>1040</v>
          </cell>
          <cell r="J2176">
            <v>35706</v>
          </cell>
          <cell r="K2176">
            <v>26178</v>
          </cell>
          <cell r="L2176">
            <v>26189</v>
          </cell>
          <cell r="M2176">
            <v>4848</v>
          </cell>
          <cell r="N2176">
            <v>7960</v>
          </cell>
          <cell r="O2176">
            <v>7945</v>
          </cell>
          <cell r="P2176">
            <v>0</v>
          </cell>
          <cell r="Q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0</v>
          </cell>
          <cell r="V2176">
            <v>0</v>
          </cell>
          <cell r="W2176">
            <v>0</v>
          </cell>
        </row>
        <row r="2177">
          <cell r="A2177" t="str">
            <v>453406</v>
          </cell>
          <cell r="B2177" t="str">
            <v>1251</v>
          </cell>
          <cell r="C2177" t="str">
            <v>12</v>
          </cell>
          <cell r="D2177" t="str">
            <v>02</v>
          </cell>
          <cell r="E2177">
            <v>46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4848</v>
          </cell>
          <cell r="Q2177">
            <v>7960</v>
          </cell>
          <cell r="R2177">
            <v>7945</v>
          </cell>
          <cell r="S2177">
            <v>235510</v>
          </cell>
          <cell r="T2177">
            <v>166373</v>
          </cell>
          <cell r="U2177">
            <v>166529</v>
          </cell>
          <cell r="V2177">
            <v>0</v>
          </cell>
          <cell r="W2177">
            <v>0</v>
          </cell>
        </row>
        <row r="2178">
          <cell r="A2178" t="str">
            <v>453406</v>
          </cell>
          <cell r="B2178" t="str">
            <v>1251</v>
          </cell>
          <cell r="C2178" t="str">
            <v>12</v>
          </cell>
          <cell r="D2178" t="str">
            <v>02</v>
          </cell>
          <cell r="E2178">
            <v>51</v>
          </cell>
          <cell r="G2178">
            <v>66081</v>
          </cell>
          <cell r="H2178">
            <v>46145</v>
          </cell>
          <cell r="I2178">
            <v>46166</v>
          </cell>
          <cell r="J2178">
            <v>6691</v>
          </cell>
          <cell r="K2178">
            <v>4580</v>
          </cell>
          <cell r="L2178">
            <v>4582</v>
          </cell>
          <cell r="M2178">
            <v>2477</v>
          </cell>
          <cell r="N2178">
            <v>1830</v>
          </cell>
          <cell r="O2178">
            <v>1829</v>
          </cell>
          <cell r="P2178">
            <v>240</v>
          </cell>
          <cell r="Q2178">
            <v>630</v>
          </cell>
          <cell r="R2178">
            <v>626</v>
          </cell>
          <cell r="S2178">
            <v>0</v>
          </cell>
          <cell r="T2178">
            <v>0</v>
          </cell>
          <cell r="U2178">
            <v>0</v>
          </cell>
          <cell r="V2178">
            <v>0</v>
          </cell>
          <cell r="W2178">
            <v>0</v>
          </cell>
        </row>
        <row r="2179">
          <cell r="A2179" t="str">
            <v>453406</v>
          </cell>
          <cell r="B2179" t="str">
            <v>1251</v>
          </cell>
          <cell r="C2179" t="str">
            <v>12</v>
          </cell>
          <cell r="D2179" t="str">
            <v>02</v>
          </cell>
          <cell r="E2179">
            <v>56</v>
          </cell>
          <cell r="G2179">
            <v>231</v>
          </cell>
          <cell r="H2179">
            <v>32</v>
          </cell>
          <cell r="I2179">
            <v>14</v>
          </cell>
          <cell r="J2179">
            <v>75720</v>
          </cell>
          <cell r="K2179">
            <v>53217</v>
          </cell>
          <cell r="L2179">
            <v>53217</v>
          </cell>
          <cell r="M2179">
            <v>0</v>
          </cell>
          <cell r="N2179">
            <v>0</v>
          </cell>
          <cell r="O2179">
            <v>0</v>
          </cell>
          <cell r="P2179">
            <v>0</v>
          </cell>
          <cell r="Q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0</v>
          </cell>
          <cell r="V2179">
            <v>0</v>
          </cell>
          <cell r="W2179">
            <v>0</v>
          </cell>
        </row>
        <row r="2180">
          <cell r="A2180" t="str">
            <v>453406</v>
          </cell>
          <cell r="B2180" t="str">
            <v>1251</v>
          </cell>
          <cell r="C2180" t="str">
            <v>12</v>
          </cell>
          <cell r="D2180" t="str">
            <v>03</v>
          </cell>
          <cell r="E2180">
            <v>1</v>
          </cell>
          <cell r="G2180">
            <v>51159</v>
          </cell>
          <cell r="H2180">
            <v>38285</v>
          </cell>
          <cell r="I2180">
            <v>36782</v>
          </cell>
          <cell r="J2180">
            <v>60</v>
          </cell>
          <cell r="K2180">
            <v>40</v>
          </cell>
          <cell r="L2180">
            <v>26</v>
          </cell>
          <cell r="M2180">
            <v>0</v>
          </cell>
          <cell r="N2180">
            <v>5</v>
          </cell>
          <cell r="O2180">
            <v>5</v>
          </cell>
          <cell r="P2180">
            <v>1350</v>
          </cell>
          <cell r="Q2180">
            <v>1100</v>
          </cell>
          <cell r="R2180">
            <v>988</v>
          </cell>
          <cell r="S2180">
            <v>1250</v>
          </cell>
          <cell r="T2180">
            <v>400</v>
          </cell>
          <cell r="U2180">
            <v>374</v>
          </cell>
          <cell r="V2180">
            <v>0</v>
          </cell>
          <cell r="W2180">
            <v>0</v>
          </cell>
        </row>
        <row r="2181">
          <cell r="A2181" t="str">
            <v>453406</v>
          </cell>
          <cell r="B2181" t="str">
            <v>1251</v>
          </cell>
          <cell r="C2181" t="str">
            <v>12</v>
          </cell>
          <cell r="D2181" t="str">
            <v>03</v>
          </cell>
          <cell r="E2181">
            <v>6</v>
          </cell>
          <cell r="G2181">
            <v>100</v>
          </cell>
          <cell r="H2181">
            <v>400</v>
          </cell>
          <cell r="I2181">
            <v>351</v>
          </cell>
          <cell r="J2181">
            <v>150</v>
          </cell>
          <cell r="K2181">
            <v>210</v>
          </cell>
          <cell r="L2181">
            <v>209</v>
          </cell>
          <cell r="M2181">
            <v>0</v>
          </cell>
          <cell r="N2181">
            <v>0</v>
          </cell>
          <cell r="O2181">
            <v>0</v>
          </cell>
          <cell r="P2181">
            <v>700</v>
          </cell>
          <cell r="Q2181">
            <v>390</v>
          </cell>
          <cell r="R2181">
            <v>387</v>
          </cell>
          <cell r="S2181">
            <v>970</v>
          </cell>
          <cell r="T2181">
            <v>1470</v>
          </cell>
          <cell r="U2181">
            <v>1470</v>
          </cell>
          <cell r="V2181">
            <v>0</v>
          </cell>
          <cell r="W2181">
            <v>0</v>
          </cell>
        </row>
        <row r="2182">
          <cell r="A2182" t="str">
            <v>453406</v>
          </cell>
          <cell r="B2182" t="str">
            <v>1251</v>
          </cell>
          <cell r="C2182" t="str">
            <v>12</v>
          </cell>
          <cell r="D2182" t="str">
            <v>03</v>
          </cell>
          <cell r="E2182">
            <v>11</v>
          </cell>
          <cell r="G2182">
            <v>1870</v>
          </cell>
          <cell r="H2182">
            <v>530</v>
          </cell>
          <cell r="I2182">
            <v>527</v>
          </cell>
          <cell r="J2182">
            <v>530</v>
          </cell>
          <cell r="K2182">
            <v>100</v>
          </cell>
          <cell r="L2182">
            <v>52</v>
          </cell>
          <cell r="M2182">
            <v>5800</v>
          </cell>
          <cell r="N2182">
            <v>4110</v>
          </cell>
          <cell r="O2182">
            <v>4110</v>
          </cell>
          <cell r="P2182">
            <v>63939</v>
          </cell>
          <cell r="Q2182">
            <v>47040</v>
          </cell>
          <cell r="R2182">
            <v>45281</v>
          </cell>
          <cell r="S2182">
            <v>2000</v>
          </cell>
          <cell r="T2182">
            <v>1295</v>
          </cell>
          <cell r="U2182">
            <v>1192</v>
          </cell>
          <cell r="V2182">
            <v>0</v>
          </cell>
          <cell r="W2182">
            <v>0</v>
          </cell>
        </row>
        <row r="2183">
          <cell r="A2183" t="str">
            <v>453406</v>
          </cell>
          <cell r="B2183" t="str">
            <v>1251</v>
          </cell>
          <cell r="C2183" t="str">
            <v>12</v>
          </cell>
          <cell r="D2183" t="str">
            <v>03</v>
          </cell>
          <cell r="E2183">
            <v>16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2000</v>
          </cell>
          <cell r="N2183">
            <v>1295</v>
          </cell>
          <cell r="O2183">
            <v>1192</v>
          </cell>
          <cell r="P2183">
            <v>150</v>
          </cell>
          <cell r="Q2183">
            <v>1015</v>
          </cell>
          <cell r="R2183">
            <v>1011</v>
          </cell>
          <cell r="S2183">
            <v>180</v>
          </cell>
          <cell r="T2183">
            <v>135</v>
          </cell>
          <cell r="U2183">
            <v>133</v>
          </cell>
          <cell r="V2183">
            <v>0</v>
          </cell>
          <cell r="W2183">
            <v>0</v>
          </cell>
        </row>
        <row r="2184">
          <cell r="A2184" t="str">
            <v>453406</v>
          </cell>
          <cell r="B2184" t="str">
            <v>1251</v>
          </cell>
          <cell r="C2184" t="str">
            <v>12</v>
          </cell>
          <cell r="D2184" t="str">
            <v>03</v>
          </cell>
          <cell r="E2184">
            <v>21</v>
          </cell>
          <cell r="G2184">
            <v>0</v>
          </cell>
          <cell r="H2184">
            <v>0</v>
          </cell>
          <cell r="I2184">
            <v>0</v>
          </cell>
          <cell r="J2184">
            <v>214</v>
          </cell>
          <cell r="K2184">
            <v>1718</v>
          </cell>
          <cell r="L2184">
            <v>1713</v>
          </cell>
          <cell r="M2184">
            <v>10100</v>
          </cell>
          <cell r="N2184">
            <v>9210</v>
          </cell>
          <cell r="O2184">
            <v>9206</v>
          </cell>
          <cell r="P2184">
            <v>4250</v>
          </cell>
          <cell r="Q2184">
            <v>5000</v>
          </cell>
          <cell r="R2184">
            <v>3864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</row>
        <row r="2185">
          <cell r="A2185" t="str">
            <v>453406</v>
          </cell>
          <cell r="B2185" t="str">
            <v>1251</v>
          </cell>
          <cell r="C2185" t="str">
            <v>12</v>
          </cell>
          <cell r="D2185" t="str">
            <v>03</v>
          </cell>
          <cell r="E2185">
            <v>26</v>
          </cell>
          <cell r="G2185">
            <v>1300</v>
          </cell>
          <cell r="H2185">
            <v>805</v>
          </cell>
          <cell r="I2185">
            <v>805</v>
          </cell>
          <cell r="J2185">
            <v>5200</v>
          </cell>
          <cell r="K2185">
            <v>2500</v>
          </cell>
          <cell r="L2185">
            <v>1751</v>
          </cell>
          <cell r="M2185">
            <v>8340</v>
          </cell>
          <cell r="N2185">
            <v>9400</v>
          </cell>
          <cell r="O2185">
            <v>8968</v>
          </cell>
          <cell r="P2185">
            <v>0</v>
          </cell>
          <cell r="Q2185">
            <v>806</v>
          </cell>
          <cell r="R2185">
            <v>576</v>
          </cell>
          <cell r="S2185">
            <v>0</v>
          </cell>
          <cell r="T2185">
            <v>194</v>
          </cell>
          <cell r="U2185">
            <v>194</v>
          </cell>
          <cell r="V2185">
            <v>0</v>
          </cell>
          <cell r="W2185">
            <v>0</v>
          </cell>
        </row>
        <row r="2186">
          <cell r="A2186" t="str">
            <v>453406</v>
          </cell>
          <cell r="B2186" t="str">
            <v>1251</v>
          </cell>
          <cell r="C2186" t="str">
            <v>12</v>
          </cell>
          <cell r="D2186" t="str">
            <v>03</v>
          </cell>
          <cell r="E2186">
            <v>31</v>
          </cell>
          <cell r="G2186">
            <v>29734</v>
          </cell>
          <cell r="H2186">
            <v>30783</v>
          </cell>
          <cell r="I2186">
            <v>28221</v>
          </cell>
          <cell r="J2186">
            <v>0</v>
          </cell>
          <cell r="K2186">
            <v>0</v>
          </cell>
          <cell r="L2186">
            <v>0</v>
          </cell>
          <cell r="M2186">
            <v>15710</v>
          </cell>
          <cell r="N2186">
            <v>11750</v>
          </cell>
          <cell r="O2186">
            <v>11196</v>
          </cell>
          <cell r="P2186">
            <v>0</v>
          </cell>
          <cell r="Q2186">
            <v>1920</v>
          </cell>
          <cell r="R2186">
            <v>1920</v>
          </cell>
          <cell r="S2186">
            <v>0</v>
          </cell>
          <cell r="T2186">
            <v>0</v>
          </cell>
          <cell r="U2186">
            <v>0</v>
          </cell>
          <cell r="V2186">
            <v>0</v>
          </cell>
          <cell r="W2186">
            <v>0</v>
          </cell>
        </row>
        <row r="2187">
          <cell r="A2187" t="str">
            <v>453406</v>
          </cell>
          <cell r="B2187" t="str">
            <v>1251</v>
          </cell>
          <cell r="C2187" t="str">
            <v>12</v>
          </cell>
          <cell r="D2187" t="str">
            <v>03</v>
          </cell>
          <cell r="E2187">
            <v>36</v>
          </cell>
          <cell r="G2187">
            <v>15710</v>
          </cell>
          <cell r="H2187">
            <v>13670</v>
          </cell>
          <cell r="I2187">
            <v>13116</v>
          </cell>
          <cell r="J2187">
            <v>322</v>
          </cell>
          <cell r="K2187">
            <v>300</v>
          </cell>
          <cell r="L2187">
            <v>209</v>
          </cell>
          <cell r="M2187">
            <v>0</v>
          </cell>
          <cell r="N2187">
            <v>0</v>
          </cell>
          <cell r="O2187">
            <v>0</v>
          </cell>
          <cell r="P2187">
            <v>0</v>
          </cell>
          <cell r="Q2187">
            <v>180</v>
          </cell>
          <cell r="R2187">
            <v>168</v>
          </cell>
          <cell r="S2187">
            <v>163</v>
          </cell>
          <cell r="T2187">
            <v>170</v>
          </cell>
          <cell r="U2187">
            <v>167</v>
          </cell>
          <cell r="V2187">
            <v>0</v>
          </cell>
          <cell r="W2187">
            <v>0</v>
          </cell>
        </row>
        <row r="2188">
          <cell r="A2188" t="str">
            <v>453406</v>
          </cell>
          <cell r="B2188" t="str">
            <v>1251</v>
          </cell>
          <cell r="C2188" t="str">
            <v>12</v>
          </cell>
          <cell r="D2188" t="str">
            <v>03</v>
          </cell>
          <cell r="E2188">
            <v>41</v>
          </cell>
          <cell r="G2188">
            <v>485</v>
          </cell>
          <cell r="H2188">
            <v>650</v>
          </cell>
          <cell r="I2188">
            <v>544</v>
          </cell>
          <cell r="J2188">
            <v>0</v>
          </cell>
          <cell r="K2188">
            <v>1018</v>
          </cell>
          <cell r="L2188">
            <v>1018</v>
          </cell>
          <cell r="M2188">
            <v>8380</v>
          </cell>
          <cell r="N2188">
            <v>15</v>
          </cell>
          <cell r="O2188">
            <v>14</v>
          </cell>
          <cell r="P2188">
            <v>120248</v>
          </cell>
          <cell r="Q2188">
            <v>94471</v>
          </cell>
          <cell r="R2188">
            <v>89386</v>
          </cell>
          <cell r="S2188">
            <v>0</v>
          </cell>
          <cell r="T2188">
            <v>0</v>
          </cell>
          <cell r="U2188">
            <v>0</v>
          </cell>
          <cell r="V2188">
            <v>0</v>
          </cell>
          <cell r="W2188">
            <v>0</v>
          </cell>
        </row>
        <row r="2189">
          <cell r="A2189" t="str">
            <v>453406</v>
          </cell>
          <cell r="B2189" t="str">
            <v>1251</v>
          </cell>
          <cell r="C2189" t="str">
            <v>12</v>
          </cell>
          <cell r="D2189" t="str">
            <v>03</v>
          </cell>
          <cell r="E2189">
            <v>46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0</v>
          </cell>
          <cell r="V2189">
            <v>0</v>
          </cell>
          <cell r="W2189">
            <v>0</v>
          </cell>
        </row>
        <row r="2190">
          <cell r="A2190" t="str">
            <v>453406</v>
          </cell>
          <cell r="B2190" t="str">
            <v>1251</v>
          </cell>
          <cell r="C2190" t="str">
            <v>12</v>
          </cell>
          <cell r="D2190" t="str">
            <v>03</v>
          </cell>
          <cell r="E2190">
            <v>51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0</v>
          </cell>
          <cell r="Q2190">
            <v>0</v>
          </cell>
          <cell r="R2190">
            <v>0</v>
          </cell>
          <cell r="S2190">
            <v>1100</v>
          </cell>
          <cell r="T2190">
            <v>1500</v>
          </cell>
          <cell r="U2190">
            <v>1495</v>
          </cell>
          <cell r="V2190">
            <v>0</v>
          </cell>
          <cell r="W2190">
            <v>0</v>
          </cell>
        </row>
        <row r="2191">
          <cell r="A2191" t="str">
            <v>453406</v>
          </cell>
          <cell r="B2191" t="str">
            <v>1251</v>
          </cell>
          <cell r="C2191" t="str">
            <v>12</v>
          </cell>
          <cell r="D2191" t="str">
            <v>03</v>
          </cell>
          <cell r="E2191">
            <v>56</v>
          </cell>
          <cell r="G2191">
            <v>1100</v>
          </cell>
          <cell r="H2191">
            <v>1500</v>
          </cell>
          <cell r="I2191">
            <v>1495</v>
          </cell>
          <cell r="J2191">
            <v>0</v>
          </cell>
          <cell r="K2191">
            <v>295</v>
          </cell>
          <cell r="L2191">
            <v>292</v>
          </cell>
          <cell r="M2191">
            <v>0</v>
          </cell>
          <cell r="N2191">
            <v>0</v>
          </cell>
          <cell r="O2191">
            <v>0</v>
          </cell>
          <cell r="P2191">
            <v>0</v>
          </cell>
          <cell r="Q2191">
            <v>295</v>
          </cell>
          <cell r="R2191">
            <v>292</v>
          </cell>
          <cell r="S2191">
            <v>0</v>
          </cell>
          <cell r="T2191">
            <v>0</v>
          </cell>
          <cell r="U2191">
            <v>2</v>
          </cell>
          <cell r="V2191">
            <v>0</v>
          </cell>
          <cell r="W2191">
            <v>0</v>
          </cell>
        </row>
        <row r="2192">
          <cell r="A2192" t="str">
            <v>453406</v>
          </cell>
          <cell r="B2192" t="str">
            <v>1251</v>
          </cell>
          <cell r="C2192" t="str">
            <v>12</v>
          </cell>
          <cell r="D2192" t="str">
            <v>03</v>
          </cell>
          <cell r="E2192">
            <v>61</v>
          </cell>
          <cell r="G2192">
            <v>1100</v>
          </cell>
          <cell r="H2192">
            <v>1795</v>
          </cell>
          <cell r="I2192">
            <v>1789</v>
          </cell>
          <cell r="J2192">
            <v>121348</v>
          </cell>
          <cell r="K2192">
            <v>96266</v>
          </cell>
          <cell r="L2192">
            <v>91175</v>
          </cell>
          <cell r="M2192">
            <v>0</v>
          </cell>
          <cell r="N2192">
            <v>0</v>
          </cell>
          <cell r="O2192">
            <v>0</v>
          </cell>
          <cell r="P2192">
            <v>0</v>
          </cell>
          <cell r="Q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</row>
        <row r="2193">
          <cell r="A2193" t="str">
            <v>453406</v>
          </cell>
          <cell r="B2193" t="str">
            <v>1251</v>
          </cell>
          <cell r="C2193" t="str">
            <v>12</v>
          </cell>
          <cell r="D2193" t="str">
            <v>04</v>
          </cell>
          <cell r="E2193">
            <v>1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>
            <v>0</v>
          </cell>
          <cell r="W2193">
            <v>0</v>
          </cell>
        </row>
        <row r="2194">
          <cell r="A2194" t="str">
            <v>453406</v>
          </cell>
          <cell r="B2194" t="str">
            <v>1251</v>
          </cell>
          <cell r="C2194" t="str">
            <v>12</v>
          </cell>
          <cell r="D2194" t="str">
            <v>04</v>
          </cell>
          <cell r="E2194">
            <v>6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0</v>
          </cell>
          <cell r="M2194">
            <v>0</v>
          </cell>
          <cell r="N2194">
            <v>0</v>
          </cell>
          <cell r="O2194">
            <v>6107</v>
          </cell>
          <cell r="P2194">
            <v>0</v>
          </cell>
          <cell r="Q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0</v>
          </cell>
          <cell r="V2194">
            <v>0</v>
          </cell>
          <cell r="W2194">
            <v>0</v>
          </cell>
        </row>
        <row r="2195">
          <cell r="A2195" t="str">
            <v>453406</v>
          </cell>
          <cell r="B2195" t="str">
            <v>1251</v>
          </cell>
          <cell r="C2195" t="str">
            <v>12</v>
          </cell>
          <cell r="D2195" t="str">
            <v>04</v>
          </cell>
          <cell r="E2195">
            <v>11</v>
          </cell>
          <cell r="G2195">
            <v>0</v>
          </cell>
          <cell r="H2195">
            <v>0</v>
          </cell>
          <cell r="I2195">
            <v>6107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0</v>
          </cell>
          <cell r="V2195">
            <v>0</v>
          </cell>
          <cell r="W2195">
            <v>0</v>
          </cell>
        </row>
        <row r="2196">
          <cell r="A2196" t="str">
            <v>453406</v>
          </cell>
          <cell r="B2196" t="str">
            <v>1251</v>
          </cell>
          <cell r="C2196" t="str">
            <v>12</v>
          </cell>
          <cell r="D2196" t="str">
            <v>04</v>
          </cell>
          <cell r="E2196">
            <v>16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6107</v>
          </cell>
          <cell r="S2196">
            <v>0</v>
          </cell>
          <cell r="T2196">
            <v>0</v>
          </cell>
          <cell r="U2196">
            <v>0</v>
          </cell>
          <cell r="V2196">
            <v>0</v>
          </cell>
          <cell r="W2196">
            <v>0</v>
          </cell>
        </row>
        <row r="2197">
          <cell r="A2197" t="str">
            <v>453406</v>
          </cell>
          <cell r="B2197" t="str">
            <v>1251</v>
          </cell>
          <cell r="C2197" t="str">
            <v>12</v>
          </cell>
          <cell r="D2197" t="str">
            <v>04</v>
          </cell>
          <cell r="E2197">
            <v>21</v>
          </cell>
          <cell r="G2197">
            <v>0</v>
          </cell>
          <cell r="H2197">
            <v>0</v>
          </cell>
          <cell r="I2197">
            <v>6107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0</v>
          </cell>
          <cell r="Q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0</v>
          </cell>
          <cell r="V2197">
            <v>0</v>
          </cell>
          <cell r="W2197">
            <v>0</v>
          </cell>
        </row>
        <row r="2198">
          <cell r="A2198" t="str">
            <v>453406</v>
          </cell>
          <cell r="B2198" t="str">
            <v>1251</v>
          </cell>
          <cell r="C2198" t="str">
            <v>12</v>
          </cell>
          <cell r="D2198" t="str">
            <v>04</v>
          </cell>
          <cell r="E2198">
            <v>26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0</v>
          </cell>
          <cell r="Q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0</v>
          </cell>
          <cell r="V2198">
            <v>0</v>
          </cell>
          <cell r="W2198">
            <v>0</v>
          </cell>
        </row>
        <row r="2199">
          <cell r="A2199" t="str">
            <v>453406</v>
          </cell>
          <cell r="B2199" t="str">
            <v>1251</v>
          </cell>
          <cell r="C2199" t="str">
            <v>12</v>
          </cell>
          <cell r="D2199" t="str">
            <v>04</v>
          </cell>
          <cell r="E2199">
            <v>31</v>
          </cell>
          <cell r="G2199">
            <v>0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0</v>
          </cell>
          <cell r="Q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0</v>
          </cell>
          <cell r="V2199">
            <v>0</v>
          </cell>
          <cell r="W2199">
            <v>0</v>
          </cell>
        </row>
        <row r="2200">
          <cell r="A2200" t="str">
            <v>453406</v>
          </cell>
          <cell r="B2200" t="str">
            <v>1251</v>
          </cell>
          <cell r="C2200" t="str">
            <v>12</v>
          </cell>
          <cell r="D2200" t="str">
            <v>04</v>
          </cell>
          <cell r="E2200">
            <v>36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0</v>
          </cell>
          <cell r="Q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0</v>
          </cell>
          <cell r="V2200">
            <v>0</v>
          </cell>
          <cell r="W2200">
            <v>0</v>
          </cell>
        </row>
        <row r="2201">
          <cell r="A2201" t="str">
            <v>453406</v>
          </cell>
          <cell r="B2201" t="str">
            <v>1251</v>
          </cell>
          <cell r="C2201" t="str">
            <v>12</v>
          </cell>
          <cell r="D2201" t="str">
            <v>05</v>
          </cell>
          <cell r="E2201">
            <v>1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0</v>
          </cell>
          <cell r="Q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0</v>
          </cell>
          <cell r="V2201">
            <v>0</v>
          </cell>
          <cell r="W2201">
            <v>0</v>
          </cell>
        </row>
        <row r="2202">
          <cell r="A2202" t="str">
            <v>453406</v>
          </cell>
          <cell r="B2202" t="str">
            <v>1251</v>
          </cell>
          <cell r="C2202" t="str">
            <v>12</v>
          </cell>
          <cell r="D2202" t="str">
            <v>05</v>
          </cell>
          <cell r="E2202">
            <v>6</v>
          </cell>
          <cell r="G2202">
            <v>0</v>
          </cell>
          <cell r="H2202">
            <v>0</v>
          </cell>
          <cell r="I2202">
            <v>0</v>
          </cell>
          <cell r="J2202">
            <v>1667</v>
          </cell>
          <cell r="K2202">
            <v>0</v>
          </cell>
          <cell r="L2202">
            <v>0</v>
          </cell>
          <cell r="M2202">
            <v>666</v>
          </cell>
          <cell r="N2202">
            <v>718</v>
          </cell>
          <cell r="O2202">
            <v>718</v>
          </cell>
          <cell r="P2202">
            <v>0</v>
          </cell>
          <cell r="Q2202">
            <v>0</v>
          </cell>
          <cell r="R2202">
            <v>0</v>
          </cell>
          <cell r="S2202">
            <v>0</v>
          </cell>
          <cell r="T2202">
            <v>1330</v>
          </cell>
          <cell r="U2202">
            <v>164</v>
          </cell>
          <cell r="V2202">
            <v>0</v>
          </cell>
          <cell r="W2202">
            <v>0</v>
          </cell>
        </row>
        <row r="2203">
          <cell r="A2203" t="str">
            <v>453406</v>
          </cell>
          <cell r="B2203" t="str">
            <v>1251</v>
          </cell>
          <cell r="C2203" t="str">
            <v>12</v>
          </cell>
          <cell r="D2203" t="str">
            <v>05</v>
          </cell>
          <cell r="E2203">
            <v>11</v>
          </cell>
          <cell r="G2203">
            <v>1000</v>
          </cell>
          <cell r="H2203">
            <v>5300</v>
          </cell>
          <cell r="I2203">
            <v>5254</v>
          </cell>
          <cell r="J2203">
            <v>0</v>
          </cell>
          <cell r="K2203">
            <v>0</v>
          </cell>
          <cell r="L2203">
            <v>0</v>
          </cell>
          <cell r="M2203">
            <v>3333</v>
          </cell>
          <cell r="N2203">
            <v>7348</v>
          </cell>
          <cell r="O2203">
            <v>6136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</row>
        <row r="2204">
          <cell r="A2204" t="str">
            <v>453406</v>
          </cell>
          <cell r="B2204" t="str">
            <v>1251</v>
          </cell>
          <cell r="C2204" t="str">
            <v>12</v>
          </cell>
          <cell r="D2204" t="str">
            <v>05</v>
          </cell>
          <cell r="E2204">
            <v>16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0</v>
          </cell>
          <cell r="V2204">
            <v>0</v>
          </cell>
          <cell r="W2204">
            <v>0</v>
          </cell>
        </row>
        <row r="2205">
          <cell r="A2205" t="str">
            <v>453406</v>
          </cell>
          <cell r="B2205" t="str">
            <v>1251</v>
          </cell>
          <cell r="C2205" t="str">
            <v>12</v>
          </cell>
          <cell r="D2205" t="str">
            <v>05</v>
          </cell>
          <cell r="E2205">
            <v>21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0</v>
          </cell>
          <cell r="V2205">
            <v>0</v>
          </cell>
          <cell r="W2205">
            <v>0</v>
          </cell>
        </row>
        <row r="2206">
          <cell r="A2206" t="str">
            <v>453406</v>
          </cell>
          <cell r="B2206" t="str">
            <v>1251</v>
          </cell>
          <cell r="C2206" t="str">
            <v>12</v>
          </cell>
          <cell r="D2206" t="str">
            <v>05</v>
          </cell>
          <cell r="E2206">
            <v>26</v>
          </cell>
          <cell r="G2206">
            <v>0</v>
          </cell>
          <cell r="H2206">
            <v>0</v>
          </cell>
          <cell r="I2206">
            <v>0</v>
          </cell>
          <cell r="J2206">
            <v>667</v>
          </cell>
          <cell r="K2206">
            <v>1442</v>
          </cell>
          <cell r="L2206">
            <v>1262</v>
          </cell>
          <cell r="M2206">
            <v>0</v>
          </cell>
          <cell r="N2206">
            <v>0</v>
          </cell>
          <cell r="O2206">
            <v>0</v>
          </cell>
          <cell r="P2206">
            <v>0</v>
          </cell>
          <cell r="Q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0</v>
          </cell>
          <cell r="V2206">
            <v>0</v>
          </cell>
          <cell r="W2206">
            <v>0</v>
          </cell>
        </row>
        <row r="2207">
          <cell r="A2207" t="str">
            <v>453406</v>
          </cell>
          <cell r="B2207" t="str">
            <v>1251</v>
          </cell>
          <cell r="C2207" t="str">
            <v>12</v>
          </cell>
          <cell r="D2207" t="str">
            <v>05</v>
          </cell>
          <cell r="E2207">
            <v>31</v>
          </cell>
          <cell r="G2207">
            <v>0</v>
          </cell>
          <cell r="H2207">
            <v>0</v>
          </cell>
          <cell r="I2207">
            <v>0</v>
          </cell>
          <cell r="J2207">
            <v>667</v>
          </cell>
          <cell r="K2207">
            <v>1442</v>
          </cell>
          <cell r="L2207">
            <v>1262</v>
          </cell>
          <cell r="M2207">
            <v>4000</v>
          </cell>
          <cell r="N2207">
            <v>8790</v>
          </cell>
          <cell r="O2207">
            <v>7398</v>
          </cell>
          <cell r="P2207">
            <v>0</v>
          </cell>
          <cell r="Q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0</v>
          </cell>
          <cell r="V2207">
            <v>0</v>
          </cell>
          <cell r="W2207">
            <v>0</v>
          </cell>
        </row>
        <row r="2208">
          <cell r="A2208" t="str">
            <v>453406</v>
          </cell>
          <cell r="B2208" t="str">
            <v>1251</v>
          </cell>
          <cell r="C2208" t="str">
            <v>12</v>
          </cell>
          <cell r="D2208" t="str">
            <v>05</v>
          </cell>
          <cell r="E2208">
            <v>36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4000</v>
          </cell>
          <cell r="Q2208">
            <v>8790</v>
          </cell>
          <cell r="R2208">
            <v>7398</v>
          </cell>
          <cell r="S2208">
            <v>0</v>
          </cell>
          <cell r="T2208">
            <v>0</v>
          </cell>
          <cell r="U2208">
            <v>0</v>
          </cell>
          <cell r="V2208">
            <v>0</v>
          </cell>
          <cell r="W2208">
            <v>0</v>
          </cell>
        </row>
        <row r="2209">
          <cell r="A2209" t="str">
            <v>453406</v>
          </cell>
          <cell r="B2209" t="str">
            <v>1251</v>
          </cell>
          <cell r="C2209" t="str">
            <v>12</v>
          </cell>
          <cell r="D2209" t="str">
            <v>06</v>
          </cell>
          <cell r="E2209">
            <v>1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0</v>
          </cell>
          <cell r="Q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0</v>
          </cell>
          <cell r="V2209">
            <v>0</v>
          </cell>
          <cell r="W2209">
            <v>0</v>
          </cell>
        </row>
        <row r="2210">
          <cell r="A2210" t="str">
            <v>453406</v>
          </cell>
          <cell r="B2210" t="str">
            <v>1251</v>
          </cell>
          <cell r="C2210" t="str">
            <v>12</v>
          </cell>
          <cell r="D2210" t="str">
            <v>06</v>
          </cell>
          <cell r="E2210">
            <v>6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0</v>
          </cell>
          <cell r="Q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0</v>
          </cell>
          <cell r="V2210">
            <v>0</v>
          </cell>
          <cell r="W2210">
            <v>0</v>
          </cell>
        </row>
        <row r="2211">
          <cell r="A2211" t="str">
            <v>453406</v>
          </cell>
          <cell r="B2211" t="str">
            <v>1251</v>
          </cell>
          <cell r="C2211" t="str">
            <v>12</v>
          </cell>
          <cell r="D2211" t="str">
            <v>06</v>
          </cell>
          <cell r="E2211">
            <v>11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0</v>
          </cell>
          <cell r="Q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0</v>
          </cell>
          <cell r="V2211">
            <v>0</v>
          </cell>
          <cell r="W2211">
            <v>0</v>
          </cell>
        </row>
        <row r="2212">
          <cell r="A2212" t="str">
            <v>453406</v>
          </cell>
          <cell r="B2212" t="str">
            <v>1251</v>
          </cell>
          <cell r="C2212" t="str">
            <v>12</v>
          </cell>
          <cell r="D2212" t="str">
            <v>06</v>
          </cell>
          <cell r="E2212">
            <v>16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0</v>
          </cell>
          <cell r="Q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0</v>
          </cell>
          <cell r="V2212">
            <v>0</v>
          </cell>
          <cell r="W2212">
            <v>0</v>
          </cell>
        </row>
        <row r="2213">
          <cell r="A2213" t="str">
            <v>453406</v>
          </cell>
          <cell r="B2213" t="str">
            <v>1251</v>
          </cell>
          <cell r="C2213" t="str">
            <v>12</v>
          </cell>
          <cell r="D2213" t="str">
            <v>06</v>
          </cell>
          <cell r="E2213">
            <v>21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0</v>
          </cell>
          <cell r="Q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0</v>
          </cell>
          <cell r="V2213">
            <v>0</v>
          </cell>
          <cell r="W2213">
            <v>0</v>
          </cell>
        </row>
        <row r="2214">
          <cell r="A2214" t="str">
            <v>453406</v>
          </cell>
          <cell r="B2214" t="str">
            <v>1251</v>
          </cell>
          <cell r="C2214" t="str">
            <v>12</v>
          </cell>
          <cell r="D2214" t="str">
            <v>06</v>
          </cell>
          <cell r="E2214">
            <v>26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0</v>
          </cell>
          <cell r="V2214">
            <v>0</v>
          </cell>
          <cell r="W2214">
            <v>0</v>
          </cell>
        </row>
        <row r="2215">
          <cell r="A2215" t="str">
            <v>453406</v>
          </cell>
          <cell r="B2215" t="str">
            <v>1251</v>
          </cell>
          <cell r="C2215" t="str">
            <v>12</v>
          </cell>
          <cell r="D2215" t="str">
            <v>06</v>
          </cell>
          <cell r="E2215">
            <v>31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0</v>
          </cell>
          <cell r="Q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0</v>
          </cell>
          <cell r="V2215">
            <v>0</v>
          </cell>
          <cell r="W2215">
            <v>0</v>
          </cell>
        </row>
        <row r="2216">
          <cell r="A2216" t="str">
            <v>453406</v>
          </cell>
          <cell r="B2216" t="str">
            <v>1251</v>
          </cell>
          <cell r="C2216" t="str">
            <v>12</v>
          </cell>
          <cell r="D2216" t="str">
            <v>06</v>
          </cell>
          <cell r="E2216">
            <v>36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0</v>
          </cell>
          <cell r="V2216">
            <v>0</v>
          </cell>
          <cell r="W2216">
            <v>0</v>
          </cell>
        </row>
        <row r="2217">
          <cell r="A2217" t="str">
            <v>453406</v>
          </cell>
          <cell r="B2217" t="str">
            <v>1251</v>
          </cell>
          <cell r="C2217" t="str">
            <v>12</v>
          </cell>
          <cell r="D2217" t="str">
            <v>06</v>
          </cell>
          <cell r="E2217">
            <v>41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0</v>
          </cell>
          <cell r="Q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0</v>
          </cell>
          <cell r="V2217">
            <v>0</v>
          </cell>
          <cell r="W2217">
            <v>0</v>
          </cell>
        </row>
        <row r="2218">
          <cell r="A2218" t="str">
            <v>453406</v>
          </cell>
          <cell r="B2218" t="str">
            <v>1251</v>
          </cell>
          <cell r="C2218" t="str">
            <v>12</v>
          </cell>
          <cell r="D2218" t="str">
            <v>06</v>
          </cell>
          <cell r="E2218">
            <v>46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0</v>
          </cell>
          <cell r="Q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0</v>
          </cell>
          <cell r="V2218">
            <v>0</v>
          </cell>
          <cell r="W2218">
            <v>0</v>
          </cell>
        </row>
        <row r="2219">
          <cell r="A2219" t="str">
            <v>453406</v>
          </cell>
          <cell r="B2219" t="str">
            <v>1251</v>
          </cell>
          <cell r="C2219" t="str">
            <v>12</v>
          </cell>
          <cell r="D2219" t="str">
            <v>06</v>
          </cell>
          <cell r="E2219">
            <v>51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0</v>
          </cell>
          <cell r="W2219">
            <v>0</v>
          </cell>
        </row>
        <row r="2220">
          <cell r="A2220" t="str">
            <v>453406</v>
          </cell>
          <cell r="B2220" t="str">
            <v>1251</v>
          </cell>
          <cell r="C2220" t="str">
            <v>12</v>
          </cell>
          <cell r="D2220" t="str">
            <v>06</v>
          </cell>
          <cell r="E2220">
            <v>56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0</v>
          </cell>
          <cell r="Q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0</v>
          </cell>
          <cell r="V2220">
            <v>0</v>
          </cell>
          <cell r="W2220">
            <v>0</v>
          </cell>
        </row>
        <row r="2221">
          <cell r="A2221" t="str">
            <v>453406</v>
          </cell>
          <cell r="B2221" t="str">
            <v>1251</v>
          </cell>
          <cell r="C2221" t="str">
            <v>12</v>
          </cell>
          <cell r="D2221" t="str">
            <v>06</v>
          </cell>
          <cell r="E2221">
            <v>61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V2221">
            <v>0</v>
          </cell>
          <cell r="W2221">
            <v>0</v>
          </cell>
        </row>
        <row r="2222">
          <cell r="A2222" t="str">
            <v>453406</v>
          </cell>
          <cell r="B2222" t="str">
            <v>1251</v>
          </cell>
          <cell r="C2222" t="str">
            <v>12</v>
          </cell>
          <cell r="D2222" t="str">
            <v>06</v>
          </cell>
          <cell r="E2222">
            <v>66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  <cell r="O2222">
            <v>0</v>
          </cell>
          <cell r="P2222">
            <v>0</v>
          </cell>
          <cell r="Q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0</v>
          </cell>
          <cell r="V2222">
            <v>0</v>
          </cell>
          <cell r="W2222">
            <v>0</v>
          </cell>
        </row>
        <row r="2223">
          <cell r="A2223" t="str">
            <v>453406</v>
          </cell>
          <cell r="B2223" t="str">
            <v>1251</v>
          </cell>
          <cell r="C2223" t="str">
            <v>12</v>
          </cell>
          <cell r="D2223" t="str">
            <v>06</v>
          </cell>
          <cell r="E2223">
            <v>71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0</v>
          </cell>
          <cell r="V2223">
            <v>0</v>
          </cell>
          <cell r="W2223">
            <v>0</v>
          </cell>
        </row>
        <row r="2224">
          <cell r="A2224" t="str">
            <v>453406</v>
          </cell>
          <cell r="B2224" t="str">
            <v>1251</v>
          </cell>
          <cell r="C2224" t="str">
            <v>12</v>
          </cell>
          <cell r="D2224" t="str">
            <v>06</v>
          </cell>
          <cell r="E2224">
            <v>76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0</v>
          </cell>
          <cell r="V2224">
            <v>0</v>
          </cell>
          <cell r="W2224">
            <v>0</v>
          </cell>
        </row>
        <row r="2225">
          <cell r="A2225" t="str">
            <v>453406</v>
          </cell>
          <cell r="B2225" t="str">
            <v>1251</v>
          </cell>
          <cell r="C2225" t="str">
            <v>12</v>
          </cell>
          <cell r="D2225" t="str">
            <v>06</v>
          </cell>
          <cell r="E2225">
            <v>81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0</v>
          </cell>
          <cell r="M2225">
            <v>0</v>
          </cell>
          <cell r="N2225">
            <v>0</v>
          </cell>
          <cell r="O2225">
            <v>0</v>
          </cell>
          <cell r="P2225">
            <v>0</v>
          </cell>
          <cell r="Q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0</v>
          </cell>
          <cell r="V2225">
            <v>0</v>
          </cell>
          <cell r="W2225">
            <v>0</v>
          </cell>
        </row>
        <row r="2226">
          <cell r="A2226" t="str">
            <v>453406</v>
          </cell>
          <cell r="B2226" t="str">
            <v>1251</v>
          </cell>
          <cell r="C2226" t="str">
            <v>12</v>
          </cell>
          <cell r="D2226" t="str">
            <v>06</v>
          </cell>
          <cell r="E2226">
            <v>86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0</v>
          </cell>
          <cell r="V2226">
            <v>0</v>
          </cell>
          <cell r="W2226">
            <v>0</v>
          </cell>
        </row>
        <row r="2227">
          <cell r="A2227" t="str">
            <v>453406</v>
          </cell>
          <cell r="B2227" t="str">
            <v>1251</v>
          </cell>
          <cell r="C2227" t="str">
            <v>12</v>
          </cell>
          <cell r="D2227" t="str">
            <v>06</v>
          </cell>
          <cell r="E2227">
            <v>91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0</v>
          </cell>
          <cell r="V2227">
            <v>0</v>
          </cell>
          <cell r="W2227">
            <v>0</v>
          </cell>
        </row>
        <row r="2228">
          <cell r="A2228" t="str">
            <v>453406</v>
          </cell>
          <cell r="B2228" t="str">
            <v>1251</v>
          </cell>
          <cell r="C2228" t="str">
            <v>12</v>
          </cell>
          <cell r="D2228" t="str">
            <v>06</v>
          </cell>
          <cell r="E2228">
            <v>96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0</v>
          </cell>
          <cell r="V2228">
            <v>0</v>
          </cell>
          <cell r="W2228">
            <v>0</v>
          </cell>
        </row>
        <row r="2229">
          <cell r="A2229" t="str">
            <v>453406</v>
          </cell>
          <cell r="B2229" t="str">
            <v>1251</v>
          </cell>
          <cell r="C2229" t="str">
            <v>12</v>
          </cell>
          <cell r="D2229" t="str">
            <v>06</v>
          </cell>
          <cell r="E2229">
            <v>101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0</v>
          </cell>
          <cell r="Q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0</v>
          </cell>
          <cell r="V2229">
            <v>0</v>
          </cell>
          <cell r="W2229">
            <v>0</v>
          </cell>
        </row>
        <row r="2230">
          <cell r="A2230" t="str">
            <v>453406</v>
          </cell>
          <cell r="B2230" t="str">
            <v>1251</v>
          </cell>
          <cell r="C2230" t="str">
            <v>12</v>
          </cell>
          <cell r="D2230" t="str">
            <v>06</v>
          </cell>
          <cell r="E2230">
            <v>106</v>
          </cell>
          <cell r="G2230">
            <v>0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-7199</v>
          </cell>
          <cell r="P2230">
            <v>0</v>
          </cell>
          <cell r="Q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-7199</v>
          </cell>
          <cell r="V2230">
            <v>0</v>
          </cell>
          <cell r="W2230">
            <v>0</v>
          </cell>
        </row>
        <row r="2231">
          <cell r="A2231" t="str">
            <v>453406</v>
          </cell>
          <cell r="B2231" t="str">
            <v>1251</v>
          </cell>
          <cell r="C2231" t="str">
            <v>12</v>
          </cell>
          <cell r="D2231" t="str">
            <v>07</v>
          </cell>
          <cell r="E2231">
            <v>1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0</v>
          </cell>
          <cell r="M2231">
            <v>0</v>
          </cell>
          <cell r="N2231">
            <v>0</v>
          </cell>
          <cell r="O2231">
            <v>0</v>
          </cell>
          <cell r="P2231">
            <v>0</v>
          </cell>
          <cell r="Q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0</v>
          </cell>
          <cell r="V2231">
            <v>0</v>
          </cell>
          <cell r="W2231">
            <v>0</v>
          </cell>
        </row>
        <row r="2232">
          <cell r="A2232" t="str">
            <v>453406</v>
          </cell>
          <cell r="B2232" t="str">
            <v>1251</v>
          </cell>
          <cell r="C2232" t="str">
            <v>12</v>
          </cell>
          <cell r="D2232" t="str">
            <v>07</v>
          </cell>
          <cell r="E2232">
            <v>5</v>
          </cell>
          <cell r="G2232">
            <v>8000</v>
          </cell>
          <cell r="H2232">
            <v>4250</v>
          </cell>
          <cell r="I2232">
            <v>4250</v>
          </cell>
          <cell r="J2232">
            <v>0</v>
          </cell>
          <cell r="K2232">
            <v>2200</v>
          </cell>
          <cell r="L2232">
            <v>12696</v>
          </cell>
          <cell r="M2232">
            <v>12689</v>
          </cell>
          <cell r="N2232">
            <v>0</v>
          </cell>
          <cell r="O2232">
            <v>1060</v>
          </cell>
          <cell r="P2232">
            <v>0</v>
          </cell>
          <cell r="Q2232">
            <v>9</v>
          </cell>
          <cell r="R2232">
            <v>0</v>
          </cell>
          <cell r="S2232">
            <v>1982</v>
          </cell>
          <cell r="T2232">
            <v>1581</v>
          </cell>
          <cell r="U2232">
            <v>1581</v>
          </cell>
          <cell r="V2232">
            <v>0</v>
          </cell>
          <cell r="W2232">
            <v>0</v>
          </cell>
        </row>
        <row r="2233">
          <cell r="A2233" t="str">
            <v>453406</v>
          </cell>
          <cell r="B2233" t="str">
            <v>1251</v>
          </cell>
          <cell r="C2233" t="str">
            <v>12</v>
          </cell>
          <cell r="D2233" t="str">
            <v>07</v>
          </cell>
          <cell r="E2233">
            <v>9</v>
          </cell>
          <cell r="G2233">
            <v>5018</v>
          </cell>
          <cell r="H2233">
            <v>4274</v>
          </cell>
          <cell r="I2233">
            <v>4273</v>
          </cell>
          <cell r="J2233">
            <v>0</v>
          </cell>
          <cell r="K2233">
            <v>49522</v>
          </cell>
          <cell r="L2233">
            <v>19247</v>
          </cell>
          <cell r="M2233">
            <v>19246</v>
          </cell>
          <cell r="N2233">
            <v>0</v>
          </cell>
          <cell r="O2233">
            <v>0</v>
          </cell>
          <cell r="P2233">
            <v>15</v>
          </cell>
          <cell r="Q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</v>
          </cell>
          <cell r="V2233">
            <v>0</v>
          </cell>
          <cell r="W2233">
            <v>0</v>
          </cell>
        </row>
        <row r="2234">
          <cell r="A2234" t="str">
            <v>453406</v>
          </cell>
          <cell r="B2234" t="str">
            <v>1251</v>
          </cell>
          <cell r="C2234" t="str">
            <v>12</v>
          </cell>
          <cell r="D2234" t="str">
            <v>07</v>
          </cell>
          <cell r="E2234">
            <v>13</v>
          </cell>
          <cell r="G2234">
            <v>65</v>
          </cell>
          <cell r="H2234">
            <v>0</v>
          </cell>
          <cell r="I2234">
            <v>12</v>
          </cell>
          <cell r="J2234">
            <v>0</v>
          </cell>
          <cell r="K2234">
            <v>67847</v>
          </cell>
          <cell r="L2234">
            <v>42063</v>
          </cell>
          <cell r="M2234">
            <v>42063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0</v>
          </cell>
          <cell r="V2234">
            <v>0</v>
          </cell>
          <cell r="W2234">
            <v>0</v>
          </cell>
        </row>
        <row r="2235">
          <cell r="A2235" t="str">
            <v>453406</v>
          </cell>
          <cell r="B2235" t="str">
            <v>1251</v>
          </cell>
          <cell r="C2235" t="str">
            <v>12</v>
          </cell>
          <cell r="D2235" t="str">
            <v>07</v>
          </cell>
          <cell r="E2235">
            <v>17</v>
          </cell>
          <cell r="G2235">
            <v>9816</v>
          </cell>
          <cell r="H2235">
            <v>6012</v>
          </cell>
          <cell r="I2235">
            <v>6012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9816</v>
          </cell>
          <cell r="P2235">
            <v>6012</v>
          </cell>
          <cell r="Q2235">
            <v>6012</v>
          </cell>
          <cell r="R2235">
            <v>0</v>
          </cell>
          <cell r="S2235">
            <v>0</v>
          </cell>
          <cell r="T2235">
            <v>0</v>
          </cell>
          <cell r="U2235">
            <v>0</v>
          </cell>
          <cell r="V2235">
            <v>0</v>
          </cell>
          <cell r="W2235">
            <v>0</v>
          </cell>
        </row>
        <row r="2236">
          <cell r="A2236" t="str">
            <v>453406</v>
          </cell>
          <cell r="B2236" t="str">
            <v>1251</v>
          </cell>
          <cell r="C2236" t="str">
            <v>12</v>
          </cell>
          <cell r="D2236" t="str">
            <v>07</v>
          </cell>
          <cell r="E2236">
            <v>21</v>
          </cell>
          <cell r="G2236">
            <v>0</v>
          </cell>
          <cell r="H2236">
            <v>0</v>
          </cell>
          <cell r="I2236">
            <v>4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0</v>
          </cell>
          <cell r="Q2236">
            <v>4</v>
          </cell>
          <cell r="R2236">
            <v>0</v>
          </cell>
          <cell r="S2236">
            <v>0</v>
          </cell>
          <cell r="T2236">
            <v>0</v>
          </cell>
          <cell r="U2236">
            <v>0</v>
          </cell>
          <cell r="V2236">
            <v>0</v>
          </cell>
          <cell r="W2236">
            <v>0</v>
          </cell>
        </row>
        <row r="2237">
          <cell r="A2237" t="str">
            <v>453406</v>
          </cell>
          <cell r="B2237" t="str">
            <v>1251</v>
          </cell>
          <cell r="C2237" t="str">
            <v>12</v>
          </cell>
          <cell r="D2237" t="str">
            <v>07</v>
          </cell>
          <cell r="E2237">
            <v>25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0</v>
          </cell>
          <cell r="Q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0</v>
          </cell>
          <cell r="V2237">
            <v>0</v>
          </cell>
          <cell r="W2237">
            <v>0</v>
          </cell>
        </row>
        <row r="2238">
          <cell r="A2238" t="str">
            <v>453406</v>
          </cell>
          <cell r="B2238" t="str">
            <v>1251</v>
          </cell>
          <cell r="C2238" t="str">
            <v>12</v>
          </cell>
          <cell r="D2238" t="str">
            <v>07</v>
          </cell>
          <cell r="E2238">
            <v>29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77663</v>
          </cell>
          <cell r="P2238">
            <v>48075</v>
          </cell>
          <cell r="Q2238">
            <v>48079</v>
          </cell>
          <cell r="R2238">
            <v>0</v>
          </cell>
          <cell r="S2238">
            <v>0</v>
          </cell>
          <cell r="T2238">
            <v>0</v>
          </cell>
          <cell r="U2238">
            <v>0</v>
          </cell>
          <cell r="V2238">
            <v>0</v>
          </cell>
          <cell r="W2238">
            <v>0</v>
          </cell>
        </row>
        <row r="2239">
          <cell r="A2239" t="str">
            <v>453406</v>
          </cell>
          <cell r="B2239" t="str">
            <v>1251</v>
          </cell>
          <cell r="C2239" t="str">
            <v>12</v>
          </cell>
          <cell r="D2239" t="str">
            <v>08</v>
          </cell>
          <cell r="E2239">
            <v>1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0</v>
          </cell>
          <cell r="Q2239">
            <v>0</v>
          </cell>
          <cell r="R2239">
            <v>0</v>
          </cell>
          <cell r="S2239">
            <v>0</v>
          </cell>
          <cell r="T2239">
            <v>1333</v>
          </cell>
          <cell r="U2239">
            <v>1333</v>
          </cell>
          <cell r="V2239">
            <v>0</v>
          </cell>
          <cell r="W2239">
            <v>0</v>
          </cell>
        </row>
        <row r="2240">
          <cell r="A2240" t="str">
            <v>453406</v>
          </cell>
          <cell r="B2240" t="str">
            <v>1251</v>
          </cell>
          <cell r="C2240" t="str">
            <v>12</v>
          </cell>
          <cell r="D2240" t="str">
            <v>08</v>
          </cell>
          <cell r="E2240">
            <v>6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0</v>
          </cell>
          <cell r="Q2240">
            <v>1333</v>
          </cell>
          <cell r="R2240">
            <v>1333</v>
          </cell>
          <cell r="S2240">
            <v>0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</row>
        <row r="2241">
          <cell r="A2241" t="str">
            <v>453406</v>
          </cell>
          <cell r="B2241" t="str">
            <v>1251</v>
          </cell>
          <cell r="C2241" t="str">
            <v>12</v>
          </cell>
          <cell r="D2241" t="str">
            <v>08</v>
          </cell>
          <cell r="E2241">
            <v>11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0</v>
          </cell>
          <cell r="V2241">
            <v>0</v>
          </cell>
          <cell r="W2241">
            <v>0</v>
          </cell>
        </row>
        <row r="2242">
          <cell r="A2242" t="str">
            <v>453406</v>
          </cell>
          <cell r="B2242" t="str">
            <v>1251</v>
          </cell>
          <cell r="C2242" t="str">
            <v>12</v>
          </cell>
          <cell r="D2242" t="str">
            <v>08</v>
          </cell>
          <cell r="E2242">
            <v>16</v>
          </cell>
          <cell r="G2242">
            <v>5200</v>
          </cell>
          <cell r="H2242">
            <v>1650</v>
          </cell>
          <cell r="I2242">
            <v>1033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0</v>
          </cell>
          <cell r="Q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0</v>
          </cell>
          <cell r="V2242">
            <v>0</v>
          </cell>
          <cell r="W2242">
            <v>0</v>
          </cell>
        </row>
        <row r="2243">
          <cell r="A2243" t="str">
            <v>453406</v>
          </cell>
          <cell r="B2243" t="str">
            <v>1251</v>
          </cell>
          <cell r="C2243" t="str">
            <v>12</v>
          </cell>
          <cell r="D2243" t="str">
            <v>08</v>
          </cell>
          <cell r="E2243">
            <v>21</v>
          </cell>
          <cell r="G2243">
            <v>5200</v>
          </cell>
          <cell r="H2243">
            <v>1650</v>
          </cell>
          <cell r="I2243">
            <v>1033</v>
          </cell>
          <cell r="J2243">
            <v>5200</v>
          </cell>
          <cell r="K2243">
            <v>2983</v>
          </cell>
          <cell r="L2243">
            <v>2366</v>
          </cell>
          <cell r="M2243">
            <v>0</v>
          </cell>
          <cell r="N2243">
            <v>0</v>
          </cell>
          <cell r="O2243">
            <v>0</v>
          </cell>
          <cell r="P2243">
            <v>0</v>
          </cell>
          <cell r="Q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0</v>
          </cell>
          <cell r="V2243">
            <v>0</v>
          </cell>
          <cell r="W2243">
            <v>0</v>
          </cell>
        </row>
        <row r="2244">
          <cell r="A2244" t="str">
            <v>453406</v>
          </cell>
          <cell r="B2244" t="str">
            <v>1251</v>
          </cell>
          <cell r="C2244" t="str">
            <v>12</v>
          </cell>
          <cell r="D2244" t="str">
            <v>09</v>
          </cell>
          <cell r="E2244">
            <v>1</v>
          </cell>
          <cell r="G2244">
            <v>353715</v>
          </cell>
          <cell r="H2244">
            <v>261985</v>
          </cell>
          <cell r="I2244">
            <v>261950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  <cell r="R2244">
            <v>0</v>
          </cell>
          <cell r="S2244">
            <v>353715</v>
          </cell>
          <cell r="T2244">
            <v>261985</v>
          </cell>
          <cell r="U2244">
            <v>261950</v>
          </cell>
          <cell r="V2244">
            <v>0</v>
          </cell>
          <cell r="W2244">
            <v>0</v>
          </cell>
        </row>
        <row r="2245">
          <cell r="A2245" t="str">
            <v>453406</v>
          </cell>
          <cell r="B2245" t="str">
            <v>1251</v>
          </cell>
          <cell r="C2245" t="str">
            <v>12</v>
          </cell>
          <cell r="D2245" t="str">
            <v>09</v>
          </cell>
          <cell r="E2245">
            <v>6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560</v>
          </cell>
          <cell r="R2245">
            <v>560</v>
          </cell>
          <cell r="S2245">
            <v>0</v>
          </cell>
          <cell r="T2245">
            <v>322</v>
          </cell>
          <cell r="U2245">
            <v>322</v>
          </cell>
          <cell r="V2245">
            <v>0</v>
          </cell>
          <cell r="W2245">
            <v>0</v>
          </cell>
        </row>
        <row r="2246">
          <cell r="A2246" t="str">
            <v>453406</v>
          </cell>
          <cell r="B2246" t="str">
            <v>1251</v>
          </cell>
          <cell r="C2246" t="str">
            <v>12</v>
          </cell>
          <cell r="D2246" t="str">
            <v>09</v>
          </cell>
          <cell r="E2246">
            <v>11</v>
          </cell>
          <cell r="G2246">
            <v>0</v>
          </cell>
          <cell r="H2246">
            <v>50</v>
          </cell>
          <cell r="I2246">
            <v>50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0</v>
          </cell>
          <cell r="Q2246">
            <v>932</v>
          </cell>
          <cell r="R2246">
            <v>932</v>
          </cell>
          <cell r="S2246">
            <v>0</v>
          </cell>
          <cell r="T2246">
            <v>0</v>
          </cell>
          <cell r="U2246">
            <v>0</v>
          </cell>
          <cell r="V2246">
            <v>0</v>
          </cell>
          <cell r="W2246">
            <v>0</v>
          </cell>
        </row>
        <row r="2247">
          <cell r="A2247" t="str">
            <v>453406</v>
          </cell>
          <cell r="B2247" t="str">
            <v>1251</v>
          </cell>
          <cell r="C2247" t="str">
            <v>12</v>
          </cell>
          <cell r="D2247" t="str">
            <v>09</v>
          </cell>
          <cell r="E2247">
            <v>16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428</v>
          </cell>
          <cell r="P2247">
            <v>0</v>
          </cell>
          <cell r="Q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0</v>
          </cell>
          <cell r="V2247">
            <v>0</v>
          </cell>
          <cell r="W2247">
            <v>0</v>
          </cell>
        </row>
        <row r="2248">
          <cell r="A2248" t="str">
            <v>453406</v>
          </cell>
          <cell r="B2248" t="str">
            <v>1251</v>
          </cell>
          <cell r="C2248" t="str">
            <v>12</v>
          </cell>
          <cell r="D2248" t="str">
            <v>09</v>
          </cell>
          <cell r="E2248">
            <v>21</v>
          </cell>
          <cell r="G2248">
            <v>0</v>
          </cell>
          <cell r="H2248">
            <v>0</v>
          </cell>
          <cell r="I2248">
            <v>428</v>
          </cell>
          <cell r="J2248">
            <v>0</v>
          </cell>
          <cell r="K2248">
            <v>932</v>
          </cell>
          <cell r="L2248">
            <v>1360</v>
          </cell>
          <cell r="M2248">
            <v>0</v>
          </cell>
          <cell r="N2248">
            <v>0</v>
          </cell>
          <cell r="O2248">
            <v>0</v>
          </cell>
          <cell r="P2248">
            <v>0</v>
          </cell>
          <cell r="Q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0</v>
          </cell>
          <cell r="V2248">
            <v>0</v>
          </cell>
          <cell r="W2248">
            <v>0</v>
          </cell>
        </row>
        <row r="2249">
          <cell r="A2249" t="str">
            <v>453406</v>
          </cell>
          <cell r="B2249" t="str">
            <v>1251</v>
          </cell>
          <cell r="C2249" t="str">
            <v>12</v>
          </cell>
          <cell r="D2249" t="str">
            <v>09</v>
          </cell>
          <cell r="E2249">
            <v>26</v>
          </cell>
          <cell r="G2249">
            <v>0</v>
          </cell>
          <cell r="H2249">
            <v>0</v>
          </cell>
          <cell r="I2249">
            <v>0</v>
          </cell>
          <cell r="J2249">
            <v>353715</v>
          </cell>
          <cell r="K2249">
            <v>262917</v>
          </cell>
          <cell r="L2249">
            <v>263310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>
            <v>0</v>
          </cell>
          <cell r="W2249">
            <v>0</v>
          </cell>
        </row>
        <row r="2250">
          <cell r="A2250" t="str">
            <v>453406</v>
          </cell>
          <cell r="B2250" t="str">
            <v>1251</v>
          </cell>
          <cell r="C2250" t="str">
            <v>12</v>
          </cell>
          <cell r="D2250" t="str">
            <v>10</v>
          </cell>
          <cell r="E2250">
            <v>1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0</v>
          </cell>
          <cell r="Q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0</v>
          </cell>
          <cell r="V2250">
            <v>0</v>
          </cell>
          <cell r="W2250">
            <v>0</v>
          </cell>
        </row>
        <row r="2251">
          <cell r="A2251" t="str">
            <v>453406</v>
          </cell>
          <cell r="B2251" t="str">
            <v>1251</v>
          </cell>
          <cell r="C2251" t="str">
            <v>12</v>
          </cell>
          <cell r="D2251" t="str">
            <v>10</v>
          </cell>
          <cell r="E2251">
            <v>6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0</v>
          </cell>
          <cell r="Q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0</v>
          </cell>
          <cell r="V2251">
            <v>0</v>
          </cell>
          <cell r="W2251">
            <v>0</v>
          </cell>
        </row>
        <row r="2252">
          <cell r="A2252" t="str">
            <v>453406</v>
          </cell>
          <cell r="B2252" t="str">
            <v>1251</v>
          </cell>
          <cell r="C2252" t="str">
            <v>12</v>
          </cell>
          <cell r="D2252" t="str">
            <v>10</v>
          </cell>
          <cell r="E2252">
            <v>11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0</v>
          </cell>
          <cell r="Q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0</v>
          </cell>
          <cell r="V2252">
            <v>0</v>
          </cell>
          <cell r="W2252">
            <v>0</v>
          </cell>
        </row>
        <row r="2253">
          <cell r="A2253" t="str">
            <v>453406</v>
          </cell>
          <cell r="B2253" t="str">
            <v>1251</v>
          </cell>
          <cell r="C2253" t="str">
            <v>12</v>
          </cell>
          <cell r="D2253" t="str">
            <v>10</v>
          </cell>
          <cell r="E2253">
            <v>16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0</v>
          </cell>
          <cell r="Q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0</v>
          </cell>
          <cell r="V2253">
            <v>0</v>
          </cell>
          <cell r="W2253">
            <v>0</v>
          </cell>
        </row>
        <row r="2254">
          <cell r="A2254" t="str">
            <v>453406</v>
          </cell>
          <cell r="B2254" t="str">
            <v>1251</v>
          </cell>
          <cell r="C2254" t="str">
            <v>12</v>
          </cell>
          <cell r="D2254" t="str">
            <v>10</v>
          </cell>
          <cell r="E2254">
            <v>21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0</v>
          </cell>
          <cell r="Q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0</v>
          </cell>
          <cell r="V2254">
            <v>0</v>
          </cell>
          <cell r="W2254">
            <v>0</v>
          </cell>
        </row>
        <row r="2255">
          <cell r="A2255" t="str">
            <v>453406</v>
          </cell>
          <cell r="B2255" t="str">
            <v>1251</v>
          </cell>
          <cell r="C2255" t="str">
            <v>12</v>
          </cell>
          <cell r="D2255" t="str">
            <v>10</v>
          </cell>
          <cell r="E2255">
            <v>26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0</v>
          </cell>
          <cell r="Q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0</v>
          </cell>
          <cell r="V2255">
            <v>0</v>
          </cell>
          <cell r="W2255">
            <v>0</v>
          </cell>
        </row>
        <row r="2256">
          <cell r="A2256" t="str">
            <v>453406</v>
          </cell>
          <cell r="B2256" t="str">
            <v>1251</v>
          </cell>
          <cell r="C2256" t="str">
            <v>12</v>
          </cell>
          <cell r="D2256" t="str">
            <v>10</v>
          </cell>
          <cell r="E2256">
            <v>31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  <cell r="M2256">
            <v>0</v>
          </cell>
          <cell r="N2256">
            <v>0</v>
          </cell>
          <cell r="O2256">
            <v>0</v>
          </cell>
          <cell r="P2256">
            <v>0</v>
          </cell>
          <cell r="Q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0</v>
          </cell>
          <cell r="V2256">
            <v>0</v>
          </cell>
          <cell r="W2256">
            <v>0</v>
          </cell>
        </row>
        <row r="2257">
          <cell r="A2257" t="str">
            <v>453406</v>
          </cell>
          <cell r="B2257" t="str">
            <v>1251</v>
          </cell>
          <cell r="C2257" t="str">
            <v>12</v>
          </cell>
          <cell r="D2257" t="str">
            <v>10</v>
          </cell>
          <cell r="E2257">
            <v>36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0</v>
          </cell>
          <cell r="Q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0</v>
          </cell>
          <cell r="V2257">
            <v>0</v>
          </cell>
          <cell r="W2257">
            <v>0</v>
          </cell>
        </row>
        <row r="2258">
          <cell r="A2258" t="str">
            <v>453406</v>
          </cell>
          <cell r="B2258" t="str">
            <v>1251</v>
          </cell>
          <cell r="C2258" t="str">
            <v>12</v>
          </cell>
          <cell r="D2258" t="str">
            <v>10</v>
          </cell>
          <cell r="E2258">
            <v>41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0</v>
          </cell>
          <cell r="Q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0</v>
          </cell>
          <cell r="V2258">
            <v>0</v>
          </cell>
          <cell r="W2258">
            <v>0</v>
          </cell>
        </row>
        <row r="2259">
          <cell r="A2259" t="str">
            <v>453406</v>
          </cell>
          <cell r="B2259" t="str">
            <v>1251</v>
          </cell>
          <cell r="C2259" t="str">
            <v>12</v>
          </cell>
          <cell r="D2259" t="str">
            <v>10</v>
          </cell>
          <cell r="E2259">
            <v>46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0</v>
          </cell>
          <cell r="Q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0</v>
          </cell>
          <cell r="V2259">
            <v>0</v>
          </cell>
          <cell r="W2259">
            <v>0</v>
          </cell>
        </row>
        <row r="2260">
          <cell r="A2260" t="str">
            <v>453406</v>
          </cell>
          <cell r="B2260" t="str">
            <v>1251</v>
          </cell>
          <cell r="C2260" t="str">
            <v>12</v>
          </cell>
          <cell r="D2260" t="str">
            <v>10</v>
          </cell>
          <cell r="E2260">
            <v>51</v>
          </cell>
          <cell r="G2260">
            <v>0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0</v>
          </cell>
          <cell r="Q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0</v>
          </cell>
          <cell r="V2260">
            <v>0</v>
          </cell>
          <cell r="W2260">
            <v>0</v>
          </cell>
        </row>
        <row r="2261">
          <cell r="A2261" t="str">
            <v>453406</v>
          </cell>
          <cell r="B2261" t="str">
            <v>1251</v>
          </cell>
          <cell r="C2261" t="str">
            <v>12</v>
          </cell>
          <cell r="D2261" t="str">
            <v>10</v>
          </cell>
          <cell r="E2261">
            <v>56</v>
          </cell>
          <cell r="G2261">
            <v>0</v>
          </cell>
          <cell r="H2261">
            <v>10671</v>
          </cell>
          <cell r="I2261">
            <v>10671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10671</v>
          </cell>
          <cell r="R2261">
            <v>10671</v>
          </cell>
          <cell r="S2261">
            <v>0</v>
          </cell>
          <cell r="T2261">
            <v>0</v>
          </cell>
          <cell r="U2261">
            <v>0</v>
          </cell>
          <cell r="V2261">
            <v>0</v>
          </cell>
          <cell r="W2261">
            <v>0</v>
          </cell>
        </row>
        <row r="2262">
          <cell r="A2262" t="str">
            <v>453406</v>
          </cell>
          <cell r="B2262" t="str">
            <v>1251</v>
          </cell>
          <cell r="C2262" t="str">
            <v>12</v>
          </cell>
          <cell r="D2262" t="str">
            <v>10</v>
          </cell>
          <cell r="E2262">
            <v>61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0</v>
          </cell>
          <cell r="Q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0</v>
          </cell>
          <cell r="V2262">
            <v>0</v>
          </cell>
          <cell r="W2262">
            <v>0</v>
          </cell>
        </row>
        <row r="2263">
          <cell r="A2263" t="str">
            <v>453406</v>
          </cell>
          <cell r="B2263" t="str">
            <v>1251</v>
          </cell>
          <cell r="C2263" t="str">
            <v>12</v>
          </cell>
          <cell r="D2263" t="str">
            <v>10</v>
          </cell>
          <cell r="E2263">
            <v>66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0</v>
          </cell>
          <cell r="Q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0</v>
          </cell>
          <cell r="V2263">
            <v>0</v>
          </cell>
          <cell r="W2263">
            <v>0</v>
          </cell>
        </row>
        <row r="2264">
          <cell r="A2264" t="str">
            <v>453406</v>
          </cell>
          <cell r="B2264" t="str">
            <v>1251</v>
          </cell>
          <cell r="C2264" t="str">
            <v>12</v>
          </cell>
          <cell r="D2264" t="str">
            <v>10</v>
          </cell>
          <cell r="E2264">
            <v>71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0</v>
          </cell>
          <cell r="Q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0</v>
          </cell>
          <cell r="V2264">
            <v>0</v>
          </cell>
          <cell r="W2264">
            <v>0</v>
          </cell>
        </row>
        <row r="2265">
          <cell r="A2265" t="str">
            <v>453406</v>
          </cell>
          <cell r="B2265" t="str">
            <v>1251</v>
          </cell>
          <cell r="C2265" t="str">
            <v>12</v>
          </cell>
          <cell r="D2265" t="str">
            <v>10</v>
          </cell>
          <cell r="E2265">
            <v>76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0</v>
          </cell>
          <cell r="V2265">
            <v>0</v>
          </cell>
          <cell r="W2265">
            <v>0</v>
          </cell>
        </row>
        <row r="2266">
          <cell r="A2266" t="str">
            <v>453406</v>
          </cell>
          <cell r="B2266" t="str">
            <v>1251</v>
          </cell>
          <cell r="C2266" t="str">
            <v>12</v>
          </cell>
          <cell r="D2266" t="str">
            <v>10</v>
          </cell>
          <cell r="E2266">
            <v>81</v>
          </cell>
          <cell r="G2266">
            <v>0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0</v>
          </cell>
          <cell r="Q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0</v>
          </cell>
          <cell r="V2266">
            <v>0</v>
          </cell>
          <cell r="W2266">
            <v>0</v>
          </cell>
        </row>
        <row r="2267">
          <cell r="A2267" t="str">
            <v>453406</v>
          </cell>
          <cell r="B2267" t="str">
            <v>1251</v>
          </cell>
          <cell r="C2267" t="str">
            <v>12</v>
          </cell>
          <cell r="D2267" t="str">
            <v>10</v>
          </cell>
          <cell r="E2267">
            <v>86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V2267">
            <v>0</v>
          </cell>
          <cell r="W2267">
            <v>0</v>
          </cell>
        </row>
        <row r="2268">
          <cell r="A2268" t="str">
            <v>453406</v>
          </cell>
          <cell r="B2268" t="str">
            <v>1251</v>
          </cell>
          <cell r="C2268" t="str">
            <v>12</v>
          </cell>
          <cell r="D2268" t="str">
            <v>10</v>
          </cell>
          <cell r="E2268">
            <v>91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0</v>
          </cell>
          <cell r="Q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0</v>
          </cell>
          <cell r="V2268">
            <v>0</v>
          </cell>
          <cell r="W2268">
            <v>0</v>
          </cell>
        </row>
        <row r="2269">
          <cell r="A2269" t="str">
            <v>453406</v>
          </cell>
          <cell r="B2269" t="str">
            <v>1251</v>
          </cell>
          <cell r="C2269" t="str">
            <v>12</v>
          </cell>
          <cell r="D2269" t="str">
            <v>10</v>
          </cell>
          <cell r="E2269">
            <v>96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V2269">
            <v>0</v>
          </cell>
          <cell r="W2269">
            <v>0</v>
          </cell>
        </row>
        <row r="2270">
          <cell r="A2270" t="str">
            <v>453406</v>
          </cell>
          <cell r="B2270" t="str">
            <v>1251</v>
          </cell>
          <cell r="C2270" t="str">
            <v>12</v>
          </cell>
          <cell r="D2270" t="str">
            <v>10</v>
          </cell>
          <cell r="E2270">
            <v>101</v>
          </cell>
          <cell r="G2270">
            <v>0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0</v>
          </cell>
          <cell r="Q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0</v>
          </cell>
          <cell r="V2270">
            <v>0</v>
          </cell>
          <cell r="W2270">
            <v>0</v>
          </cell>
        </row>
        <row r="2271">
          <cell r="A2271" t="str">
            <v>453406</v>
          </cell>
          <cell r="B2271" t="str">
            <v>1251</v>
          </cell>
          <cell r="C2271" t="str">
            <v>12</v>
          </cell>
          <cell r="D2271" t="str">
            <v>10</v>
          </cell>
          <cell r="E2271">
            <v>106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0</v>
          </cell>
          <cell r="Q2271">
            <v>0</v>
          </cell>
          <cell r="R2271">
            <v>-399</v>
          </cell>
          <cell r="S2271">
            <v>0</v>
          </cell>
          <cell r="T2271">
            <v>0</v>
          </cell>
          <cell r="U2271">
            <v>0</v>
          </cell>
          <cell r="V2271">
            <v>0</v>
          </cell>
          <cell r="W2271">
            <v>0</v>
          </cell>
        </row>
        <row r="2272">
          <cell r="A2272" t="str">
            <v>453406</v>
          </cell>
          <cell r="B2272" t="str">
            <v>1251</v>
          </cell>
          <cell r="C2272" t="str">
            <v>12</v>
          </cell>
          <cell r="D2272" t="str">
            <v>10</v>
          </cell>
          <cell r="E2272">
            <v>111</v>
          </cell>
          <cell r="G2272">
            <v>0</v>
          </cell>
          <cell r="H2272">
            <v>0</v>
          </cell>
          <cell r="I2272">
            <v>-399</v>
          </cell>
          <cell r="J2272">
            <v>0</v>
          </cell>
          <cell r="K2272">
            <v>10671</v>
          </cell>
          <cell r="L2272">
            <v>10272</v>
          </cell>
          <cell r="M2272">
            <v>0</v>
          </cell>
          <cell r="N2272">
            <v>0</v>
          </cell>
          <cell r="O2272">
            <v>0</v>
          </cell>
          <cell r="P2272">
            <v>0</v>
          </cell>
          <cell r="Q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0</v>
          </cell>
          <cell r="V2272">
            <v>0</v>
          </cell>
          <cell r="W2272">
            <v>0</v>
          </cell>
        </row>
        <row r="2273">
          <cell r="A2273" t="str">
            <v>453406</v>
          </cell>
          <cell r="B2273" t="str">
            <v>1251</v>
          </cell>
          <cell r="C2273" t="str">
            <v>12</v>
          </cell>
          <cell r="D2273" t="str">
            <v>21</v>
          </cell>
          <cell r="E2273">
            <v>1</v>
          </cell>
          <cell r="G2273">
            <v>552323</v>
          </cell>
          <cell r="H2273">
            <v>11932</v>
          </cell>
          <cell r="I2273">
            <v>807</v>
          </cell>
          <cell r="J2273">
            <v>28</v>
          </cell>
          <cell r="K2273">
            <v>12767</v>
          </cell>
          <cell r="L2273">
            <v>4268</v>
          </cell>
          <cell r="M2273">
            <v>37405</v>
          </cell>
          <cell r="N2273">
            <v>311</v>
          </cell>
          <cell r="O2273">
            <v>0</v>
          </cell>
          <cell r="P2273">
            <v>0</v>
          </cell>
          <cell r="Q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0</v>
          </cell>
          <cell r="V2273">
            <v>0</v>
          </cell>
          <cell r="W2273">
            <v>0</v>
          </cell>
        </row>
        <row r="2274">
          <cell r="A2274" t="str">
            <v>453406</v>
          </cell>
          <cell r="B2274" t="str">
            <v>1251</v>
          </cell>
          <cell r="C2274" t="str">
            <v>12</v>
          </cell>
          <cell r="D2274" t="str">
            <v>21</v>
          </cell>
          <cell r="E2274">
            <v>1</v>
          </cell>
          <cell r="G2274">
            <v>552411</v>
          </cell>
          <cell r="H2274">
            <v>2500</v>
          </cell>
          <cell r="I2274">
            <v>170</v>
          </cell>
          <cell r="J2274">
            <v>7</v>
          </cell>
          <cell r="K2274">
            <v>2677</v>
          </cell>
          <cell r="L2274">
            <v>895</v>
          </cell>
          <cell r="M2274">
            <v>8000</v>
          </cell>
          <cell r="N2274">
            <v>65</v>
          </cell>
          <cell r="O2274">
            <v>0</v>
          </cell>
          <cell r="P2274">
            <v>0</v>
          </cell>
          <cell r="Q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0</v>
          </cell>
          <cell r="V2274">
            <v>0</v>
          </cell>
          <cell r="W2274">
            <v>0</v>
          </cell>
        </row>
        <row r="2275">
          <cell r="A2275" t="str">
            <v>453406</v>
          </cell>
          <cell r="B2275" t="str">
            <v>1251</v>
          </cell>
          <cell r="C2275" t="str">
            <v>12</v>
          </cell>
          <cell r="D2275" t="str">
            <v>21</v>
          </cell>
          <cell r="E2275">
            <v>1</v>
          </cell>
          <cell r="G2275">
            <v>751768</v>
          </cell>
          <cell r="H2275">
            <v>25855</v>
          </cell>
          <cell r="I2275">
            <v>3217</v>
          </cell>
          <cell r="J2275">
            <v>750</v>
          </cell>
          <cell r="K2275">
            <v>29822</v>
          </cell>
          <cell r="L2275">
            <v>9722</v>
          </cell>
          <cell r="M2275">
            <v>26466</v>
          </cell>
          <cell r="N2275">
            <v>341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6107</v>
          </cell>
          <cell r="T2275">
            <v>0</v>
          </cell>
          <cell r="U2275">
            <v>6107</v>
          </cell>
          <cell r="V2275">
            <v>0</v>
          </cell>
          <cell r="W2275">
            <v>0</v>
          </cell>
        </row>
        <row r="2276">
          <cell r="A2276" t="str">
            <v>453406</v>
          </cell>
          <cell r="B2276" t="str">
            <v>1251</v>
          </cell>
          <cell r="C2276" t="str">
            <v>12</v>
          </cell>
          <cell r="D2276" t="str">
            <v>21</v>
          </cell>
          <cell r="E2276">
            <v>1</v>
          </cell>
          <cell r="G2276">
            <v>802144</v>
          </cell>
          <cell r="H2276">
            <v>1585</v>
          </cell>
          <cell r="I2276">
            <v>335</v>
          </cell>
          <cell r="J2276">
            <v>68</v>
          </cell>
          <cell r="K2276">
            <v>1988</v>
          </cell>
          <cell r="L2276">
            <v>638</v>
          </cell>
          <cell r="M2276">
            <v>96</v>
          </cell>
          <cell r="N2276">
            <v>0</v>
          </cell>
          <cell r="O2276">
            <v>0</v>
          </cell>
          <cell r="P2276">
            <v>0</v>
          </cell>
          <cell r="Q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0</v>
          </cell>
          <cell r="V2276">
            <v>0</v>
          </cell>
          <cell r="W2276">
            <v>0</v>
          </cell>
        </row>
        <row r="2277">
          <cell r="A2277" t="str">
            <v>453406</v>
          </cell>
          <cell r="B2277" t="str">
            <v>1251</v>
          </cell>
          <cell r="C2277" t="str">
            <v>12</v>
          </cell>
          <cell r="D2277" t="str">
            <v>21</v>
          </cell>
          <cell r="E2277">
            <v>1</v>
          </cell>
          <cell r="G2277">
            <v>802177</v>
          </cell>
          <cell r="H2277">
            <v>42956</v>
          </cell>
          <cell r="I2277">
            <v>9054</v>
          </cell>
          <cell r="J2277">
            <v>2481</v>
          </cell>
          <cell r="K2277">
            <v>54491</v>
          </cell>
          <cell r="L2277">
            <v>17181</v>
          </cell>
          <cell r="M2277">
            <v>4546</v>
          </cell>
          <cell r="N2277">
            <v>931</v>
          </cell>
          <cell r="O2277">
            <v>0</v>
          </cell>
          <cell r="P2277">
            <v>0</v>
          </cell>
          <cell r="Q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0</v>
          </cell>
          <cell r="V2277">
            <v>0</v>
          </cell>
          <cell r="W2277">
            <v>0</v>
          </cell>
        </row>
        <row r="2278">
          <cell r="A2278" t="str">
            <v>453406</v>
          </cell>
          <cell r="B2278" t="str">
            <v>1251</v>
          </cell>
          <cell r="C2278" t="str">
            <v>12</v>
          </cell>
          <cell r="D2278" t="str">
            <v>21</v>
          </cell>
          <cell r="E2278">
            <v>1</v>
          </cell>
          <cell r="G2278">
            <v>802214</v>
          </cell>
          <cell r="H2278">
            <v>15902</v>
          </cell>
          <cell r="I2278">
            <v>3731</v>
          </cell>
          <cell r="J2278">
            <v>655</v>
          </cell>
          <cell r="K2278">
            <v>20288</v>
          </cell>
          <cell r="L2278">
            <v>6459</v>
          </cell>
          <cell r="M2278">
            <v>644</v>
          </cell>
          <cell r="N2278">
            <v>48</v>
          </cell>
          <cell r="O2278">
            <v>0</v>
          </cell>
          <cell r="P2278">
            <v>0</v>
          </cell>
          <cell r="Q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0</v>
          </cell>
          <cell r="V2278">
            <v>0</v>
          </cell>
          <cell r="W2278">
            <v>0</v>
          </cell>
        </row>
        <row r="2279">
          <cell r="A2279" t="str">
            <v>453406</v>
          </cell>
          <cell r="B2279" t="str">
            <v>1251</v>
          </cell>
          <cell r="C2279" t="str">
            <v>12</v>
          </cell>
          <cell r="D2279" t="str">
            <v>21</v>
          </cell>
          <cell r="E2279">
            <v>1</v>
          </cell>
          <cell r="G2279">
            <v>802241</v>
          </cell>
          <cell r="H2279">
            <v>31665</v>
          </cell>
          <cell r="I2279">
            <v>8875</v>
          </cell>
          <cell r="J2279">
            <v>3956</v>
          </cell>
          <cell r="K2279">
            <v>44496</v>
          </cell>
          <cell r="L2279">
            <v>14054</v>
          </cell>
          <cell r="M2279">
            <v>12229</v>
          </cell>
          <cell r="N2279">
            <v>93</v>
          </cell>
          <cell r="O2279">
            <v>0</v>
          </cell>
          <cell r="P2279">
            <v>0</v>
          </cell>
          <cell r="Q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0</v>
          </cell>
          <cell r="V2279">
            <v>0</v>
          </cell>
          <cell r="W2279">
            <v>0</v>
          </cell>
        </row>
        <row r="2280">
          <cell r="A2280" t="str">
            <v>453406</v>
          </cell>
          <cell r="B2280" t="str">
            <v>1251</v>
          </cell>
          <cell r="C2280" t="str">
            <v>12</v>
          </cell>
          <cell r="D2280" t="str">
            <v>21</v>
          </cell>
          <cell r="E2280">
            <v>1</v>
          </cell>
          <cell r="G2280">
            <v>999999</v>
          </cell>
          <cell r="H2280">
            <v>132395</v>
          </cell>
          <cell r="I2280">
            <v>26189</v>
          </cell>
          <cell r="J2280">
            <v>7945</v>
          </cell>
          <cell r="K2280">
            <v>166529</v>
          </cell>
          <cell r="L2280">
            <v>53217</v>
          </cell>
          <cell r="M2280">
            <v>89386</v>
          </cell>
          <cell r="N2280">
            <v>1789</v>
          </cell>
          <cell r="O2280">
            <v>0</v>
          </cell>
          <cell r="P2280">
            <v>0</v>
          </cell>
          <cell r="Q2280">
            <v>0</v>
          </cell>
          <cell r="R2280">
            <v>0</v>
          </cell>
          <cell r="S2280">
            <v>6107</v>
          </cell>
          <cell r="T2280">
            <v>0</v>
          </cell>
          <cell r="U2280">
            <v>6107</v>
          </cell>
          <cell r="V2280">
            <v>0</v>
          </cell>
          <cell r="W2280">
            <v>0</v>
          </cell>
        </row>
        <row r="2281">
          <cell r="A2281" t="str">
            <v>453406</v>
          </cell>
          <cell r="B2281" t="str">
            <v>1251</v>
          </cell>
          <cell r="C2281" t="str">
            <v>12</v>
          </cell>
          <cell r="D2281" t="str">
            <v>21</v>
          </cell>
          <cell r="E2281">
            <v>17</v>
          </cell>
          <cell r="G2281">
            <v>552323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V2281">
            <v>0</v>
          </cell>
          <cell r="W2281">
            <v>0</v>
          </cell>
        </row>
        <row r="2282">
          <cell r="A2282" t="str">
            <v>453406</v>
          </cell>
          <cell r="B2282" t="str">
            <v>1251</v>
          </cell>
          <cell r="C2282" t="str">
            <v>12</v>
          </cell>
          <cell r="D2282" t="str">
            <v>21</v>
          </cell>
          <cell r="E2282">
            <v>17</v>
          </cell>
          <cell r="G2282">
            <v>552411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0</v>
          </cell>
          <cell r="Q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0</v>
          </cell>
          <cell r="V2282">
            <v>0</v>
          </cell>
          <cell r="W2282">
            <v>0</v>
          </cell>
        </row>
        <row r="2283">
          <cell r="A2283" t="str">
            <v>453406</v>
          </cell>
          <cell r="B2283" t="str">
            <v>1251</v>
          </cell>
          <cell r="C2283" t="str">
            <v>12</v>
          </cell>
          <cell r="D2283" t="str">
            <v>21</v>
          </cell>
          <cell r="E2283">
            <v>17</v>
          </cell>
          <cell r="G2283">
            <v>751768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6107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0</v>
          </cell>
          <cell r="V2283">
            <v>0</v>
          </cell>
          <cell r="W2283">
            <v>0</v>
          </cell>
        </row>
        <row r="2284">
          <cell r="A2284" t="str">
            <v>453406</v>
          </cell>
          <cell r="B2284" t="str">
            <v>1251</v>
          </cell>
          <cell r="C2284" t="str">
            <v>12</v>
          </cell>
          <cell r="D2284" t="str">
            <v>21</v>
          </cell>
          <cell r="E2284">
            <v>17</v>
          </cell>
          <cell r="G2284">
            <v>802144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0</v>
          </cell>
          <cell r="V2284">
            <v>0</v>
          </cell>
          <cell r="W2284">
            <v>0</v>
          </cell>
        </row>
        <row r="2285">
          <cell r="A2285" t="str">
            <v>453406</v>
          </cell>
          <cell r="B2285" t="str">
            <v>1251</v>
          </cell>
          <cell r="C2285" t="str">
            <v>12</v>
          </cell>
          <cell r="D2285" t="str">
            <v>21</v>
          </cell>
          <cell r="E2285">
            <v>17</v>
          </cell>
          <cell r="G2285">
            <v>802177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0</v>
          </cell>
          <cell r="V2285">
            <v>0</v>
          </cell>
          <cell r="W2285">
            <v>0</v>
          </cell>
        </row>
        <row r="2286">
          <cell r="A2286" t="str">
            <v>453406</v>
          </cell>
          <cell r="B2286" t="str">
            <v>1251</v>
          </cell>
          <cell r="C2286" t="str">
            <v>12</v>
          </cell>
          <cell r="D2286" t="str">
            <v>21</v>
          </cell>
          <cell r="E2286">
            <v>17</v>
          </cell>
          <cell r="G2286">
            <v>802214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0</v>
          </cell>
          <cell r="V2286">
            <v>0</v>
          </cell>
          <cell r="W2286">
            <v>0</v>
          </cell>
        </row>
        <row r="2287">
          <cell r="A2287" t="str">
            <v>453406</v>
          </cell>
          <cell r="B2287" t="str">
            <v>1251</v>
          </cell>
          <cell r="C2287" t="str">
            <v>12</v>
          </cell>
          <cell r="D2287" t="str">
            <v>21</v>
          </cell>
          <cell r="E2287">
            <v>17</v>
          </cell>
          <cell r="G2287">
            <v>802241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0</v>
          </cell>
          <cell r="V2287">
            <v>0</v>
          </cell>
          <cell r="W2287">
            <v>0</v>
          </cell>
        </row>
        <row r="2288">
          <cell r="A2288" t="str">
            <v>453406</v>
          </cell>
          <cell r="B2288" t="str">
            <v>1251</v>
          </cell>
          <cell r="C2288" t="str">
            <v>12</v>
          </cell>
          <cell r="D2288" t="str">
            <v>21</v>
          </cell>
          <cell r="E2288">
            <v>17</v>
          </cell>
          <cell r="G2288">
            <v>999999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6107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0</v>
          </cell>
          <cell r="V2288">
            <v>0</v>
          </cell>
          <cell r="W2288">
            <v>0</v>
          </cell>
        </row>
        <row r="2289">
          <cell r="A2289" t="str">
            <v>453406</v>
          </cell>
          <cell r="B2289" t="str">
            <v>1251</v>
          </cell>
          <cell r="C2289" t="str">
            <v>12</v>
          </cell>
          <cell r="D2289" t="str">
            <v>21</v>
          </cell>
          <cell r="E2289">
            <v>33</v>
          </cell>
          <cell r="G2289">
            <v>552323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0</v>
          </cell>
          <cell r="V2289">
            <v>0</v>
          </cell>
          <cell r="W2289">
            <v>0</v>
          </cell>
        </row>
        <row r="2290">
          <cell r="A2290" t="str">
            <v>453406</v>
          </cell>
          <cell r="B2290" t="str">
            <v>1251</v>
          </cell>
          <cell r="C2290" t="str">
            <v>12</v>
          </cell>
          <cell r="D2290" t="str">
            <v>21</v>
          </cell>
          <cell r="E2290">
            <v>33</v>
          </cell>
          <cell r="G2290">
            <v>552411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0</v>
          </cell>
          <cell r="V2290">
            <v>0</v>
          </cell>
          <cell r="W2290">
            <v>0</v>
          </cell>
        </row>
        <row r="2291">
          <cell r="A2291" t="str">
            <v>453406</v>
          </cell>
          <cell r="B2291" t="str">
            <v>1251</v>
          </cell>
          <cell r="C2291" t="str">
            <v>12</v>
          </cell>
          <cell r="D2291" t="str">
            <v>21</v>
          </cell>
          <cell r="E2291">
            <v>33</v>
          </cell>
          <cell r="G2291">
            <v>751768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0</v>
          </cell>
          <cell r="V2291">
            <v>0</v>
          </cell>
          <cell r="W2291">
            <v>0</v>
          </cell>
        </row>
        <row r="2292">
          <cell r="A2292" t="str">
            <v>453406</v>
          </cell>
          <cell r="B2292" t="str">
            <v>1251</v>
          </cell>
          <cell r="C2292" t="str">
            <v>12</v>
          </cell>
          <cell r="D2292" t="str">
            <v>21</v>
          </cell>
          <cell r="E2292">
            <v>33</v>
          </cell>
          <cell r="G2292">
            <v>802144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0</v>
          </cell>
          <cell r="V2292">
            <v>0</v>
          </cell>
          <cell r="W2292">
            <v>0</v>
          </cell>
        </row>
        <row r="2293">
          <cell r="A2293" t="str">
            <v>453406</v>
          </cell>
          <cell r="B2293" t="str">
            <v>1251</v>
          </cell>
          <cell r="C2293" t="str">
            <v>12</v>
          </cell>
          <cell r="D2293" t="str">
            <v>21</v>
          </cell>
          <cell r="E2293">
            <v>33</v>
          </cell>
          <cell r="G2293">
            <v>802177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0</v>
          </cell>
          <cell r="V2293">
            <v>0</v>
          </cell>
          <cell r="W2293">
            <v>0</v>
          </cell>
        </row>
        <row r="2294">
          <cell r="A2294" t="str">
            <v>453406</v>
          </cell>
          <cell r="B2294" t="str">
            <v>1251</v>
          </cell>
          <cell r="C2294" t="str">
            <v>12</v>
          </cell>
          <cell r="D2294" t="str">
            <v>21</v>
          </cell>
          <cell r="E2294">
            <v>33</v>
          </cell>
          <cell r="G2294">
            <v>802214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>
            <v>0</v>
          </cell>
          <cell r="W2294">
            <v>0</v>
          </cell>
        </row>
        <row r="2295">
          <cell r="A2295" t="str">
            <v>453406</v>
          </cell>
          <cell r="B2295" t="str">
            <v>1251</v>
          </cell>
          <cell r="C2295" t="str">
            <v>12</v>
          </cell>
          <cell r="D2295" t="str">
            <v>21</v>
          </cell>
          <cell r="E2295">
            <v>33</v>
          </cell>
          <cell r="G2295">
            <v>802241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>
            <v>0</v>
          </cell>
          <cell r="W2295">
            <v>0</v>
          </cell>
        </row>
        <row r="2296">
          <cell r="A2296" t="str">
            <v>453406</v>
          </cell>
          <cell r="B2296" t="str">
            <v>1251</v>
          </cell>
          <cell r="C2296" t="str">
            <v>12</v>
          </cell>
          <cell r="D2296" t="str">
            <v>21</v>
          </cell>
          <cell r="E2296">
            <v>33</v>
          </cell>
          <cell r="G2296">
            <v>999999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</row>
        <row r="2297">
          <cell r="A2297" t="str">
            <v>453406</v>
          </cell>
          <cell r="B2297" t="str">
            <v>1251</v>
          </cell>
          <cell r="C2297" t="str">
            <v>12</v>
          </cell>
          <cell r="D2297" t="str">
            <v>21</v>
          </cell>
          <cell r="E2297">
            <v>49</v>
          </cell>
          <cell r="G2297">
            <v>552323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>
            <v>0</v>
          </cell>
          <cell r="W2297">
            <v>0</v>
          </cell>
        </row>
        <row r="2298">
          <cell r="A2298" t="str">
            <v>453406</v>
          </cell>
          <cell r="B2298" t="str">
            <v>1251</v>
          </cell>
          <cell r="C2298" t="str">
            <v>12</v>
          </cell>
          <cell r="D2298" t="str">
            <v>21</v>
          </cell>
          <cell r="E2298">
            <v>49</v>
          </cell>
          <cell r="G2298">
            <v>552411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>
            <v>0</v>
          </cell>
          <cell r="W2298">
            <v>0</v>
          </cell>
        </row>
        <row r="2299">
          <cell r="A2299" t="str">
            <v>453406</v>
          </cell>
          <cell r="B2299" t="str">
            <v>1251</v>
          </cell>
          <cell r="C2299" t="str">
            <v>12</v>
          </cell>
          <cell r="D2299" t="str">
            <v>21</v>
          </cell>
          <cell r="E2299">
            <v>49</v>
          </cell>
          <cell r="G2299">
            <v>751768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>
            <v>0</v>
          </cell>
          <cell r="W2299">
            <v>5256</v>
          </cell>
        </row>
        <row r="2300">
          <cell r="A2300" t="str">
            <v>453406</v>
          </cell>
          <cell r="B2300" t="str">
            <v>1251</v>
          </cell>
          <cell r="C2300" t="str">
            <v>12</v>
          </cell>
          <cell r="D2300" t="str">
            <v>21</v>
          </cell>
          <cell r="E2300">
            <v>49</v>
          </cell>
          <cell r="G2300">
            <v>802144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V2300">
            <v>0</v>
          </cell>
          <cell r="W2300">
            <v>0</v>
          </cell>
        </row>
        <row r="2301">
          <cell r="A2301" t="str">
            <v>453406</v>
          </cell>
          <cell r="B2301" t="str">
            <v>1251</v>
          </cell>
          <cell r="C2301" t="str">
            <v>12</v>
          </cell>
          <cell r="D2301" t="str">
            <v>21</v>
          </cell>
          <cell r="E2301">
            <v>49</v>
          </cell>
          <cell r="G2301">
            <v>802177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>
            <v>0</v>
          </cell>
          <cell r="W2301">
            <v>0</v>
          </cell>
        </row>
        <row r="2302">
          <cell r="A2302" t="str">
            <v>453406</v>
          </cell>
          <cell r="B2302" t="str">
            <v>1251</v>
          </cell>
          <cell r="C2302" t="str">
            <v>12</v>
          </cell>
          <cell r="D2302" t="str">
            <v>21</v>
          </cell>
          <cell r="E2302">
            <v>49</v>
          </cell>
          <cell r="G2302">
            <v>802214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163</v>
          </cell>
        </row>
        <row r="2303">
          <cell r="A2303" t="str">
            <v>453406</v>
          </cell>
          <cell r="B2303" t="str">
            <v>1251</v>
          </cell>
          <cell r="C2303" t="str">
            <v>12</v>
          </cell>
          <cell r="D2303" t="str">
            <v>21</v>
          </cell>
          <cell r="E2303">
            <v>49</v>
          </cell>
          <cell r="G2303">
            <v>802241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0</v>
          </cell>
          <cell r="V2303">
            <v>0</v>
          </cell>
          <cell r="W2303">
            <v>717</v>
          </cell>
        </row>
        <row r="2304">
          <cell r="A2304" t="str">
            <v>453406</v>
          </cell>
          <cell r="B2304" t="str">
            <v>1251</v>
          </cell>
          <cell r="C2304" t="str">
            <v>12</v>
          </cell>
          <cell r="D2304" t="str">
            <v>21</v>
          </cell>
          <cell r="E2304">
            <v>49</v>
          </cell>
          <cell r="G2304">
            <v>999999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0</v>
          </cell>
          <cell r="V2304">
            <v>0</v>
          </cell>
          <cell r="W2304">
            <v>6136</v>
          </cell>
        </row>
        <row r="2305">
          <cell r="A2305" t="str">
            <v>453406</v>
          </cell>
          <cell r="B2305" t="str">
            <v>1251</v>
          </cell>
          <cell r="C2305" t="str">
            <v>12</v>
          </cell>
          <cell r="D2305" t="str">
            <v>21</v>
          </cell>
          <cell r="E2305">
            <v>65</v>
          </cell>
          <cell r="G2305">
            <v>552323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54751</v>
          </cell>
          <cell r="M2305">
            <v>0</v>
          </cell>
          <cell r="N2305">
            <v>54751</v>
          </cell>
          <cell r="O2305">
            <v>0</v>
          </cell>
          <cell r="P2305">
            <v>54751</v>
          </cell>
          <cell r="Q2305">
            <v>1</v>
          </cell>
          <cell r="R2305">
            <v>1</v>
          </cell>
          <cell r="S2305">
            <v>17</v>
          </cell>
          <cell r="T2305">
            <v>16</v>
          </cell>
          <cell r="U2305">
            <v>0</v>
          </cell>
          <cell r="V2305">
            <v>0</v>
          </cell>
          <cell r="W2305">
            <v>0</v>
          </cell>
        </row>
        <row r="2306">
          <cell r="A2306" t="str">
            <v>453406</v>
          </cell>
          <cell r="B2306" t="str">
            <v>1251</v>
          </cell>
          <cell r="C2306" t="str">
            <v>12</v>
          </cell>
          <cell r="D2306" t="str">
            <v>21</v>
          </cell>
          <cell r="E2306">
            <v>65</v>
          </cell>
          <cell r="G2306">
            <v>552411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11637</v>
          </cell>
          <cell r="M2306">
            <v>0</v>
          </cell>
          <cell r="N2306">
            <v>11637</v>
          </cell>
          <cell r="O2306">
            <v>0</v>
          </cell>
          <cell r="P2306">
            <v>11637</v>
          </cell>
          <cell r="Q2306">
            <v>1</v>
          </cell>
          <cell r="R2306">
            <v>1</v>
          </cell>
          <cell r="S2306">
            <v>1</v>
          </cell>
          <cell r="T2306">
            <v>1</v>
          </cell>
          <cell r="U2306">
            <v>0</v>
          </cell>
          <cell r="V2306">
            <v>0</v>
          </cell>
          <cell r="W2306">
            <v>0</v>
          </cell>
        </row>
        <row r="2307">
          <cell r="A2307" t="str">
            <v>453406</v>
          </cell>
          <cell r="B2307" t="str">
            <v>1251</v>
          </cell>
          <cell r="C2307" t="str">
            <v>12</v>
          </cell>
          <cell r="D2307" t="str">
            <v>21</v>
          </cell>
          <cell r="E2307">
            <v>65</v>
          </cell>
          <cell r="G2307">
            <v>751768</v>
          </cell>
          <cell r="H2307">
            <v>0</v>
          </cell>
          <cell r="I2307">
            <v>1046</v>
          </cell>
          <cell r="J2307">
            <v>0</v>
          </cell>
          <cell r="K2307">
            <v>0</v>
          </cell>
          <cell r="L2307">
            <v>78760</v>
          </cell>
          <cell r="M2307">
            <v>0</v>
          </cell>
          <cell r="N2307">
            <v>78760</v>
          </cell>
          <cell r="O2307">
            <v>0</v>
          </cell>
          <cell r="P2307">
            <v>78760</v>
          </cell>
          <cell r="Q2307">
            <v>34</v>
          </cell>
          <cell r="R2307">
            <v>33</v>
          </cell>
          <cell r="S2307">
            <v>0</v>
          </cell>
          <cell r="T2307">
            <v>0</v>
          </cell>
          <cell r="U2307">
            <v>0</v>
          </cell>
          <cell r="V2307">
            <v>0</v>
          </cell>
          <cell r="W2307">
            <v>0</v>
          </cell>
        </row>
        <row r="2308">
          <cell r="A2308" t="str">
            <v>453406</v>
          </cell>
          <cell r="B2308" t="str">
            <v>1251</v>
          </cell>
          <cell r="C2308" t="str">
            <v>12</v>
          </cell>
          <cell r="D2308" t="str">
            <v>21</v>
          </cell>
          <cell r="E2308">
            <v>65</v>
          </cell>
          <cell r="G2308">
            <v>802144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2722</v>
          </cell>
          <cell r="M2308">
            <v>0</v>
          </cell>
          <cell r="N2308">
            <v>2722</v>
          </cell>
          <cell r="O2308">
            <v>0</v>
          </cell>
          <cell r="P2308">
            <v>2722</v>
          </cell>
          <cell r="Q2308">
            <v>0</v>
          </cell>
          <cell r="R2308">
            <v>0</v>
          </cell>
          <cell r="S2308">
            <v>7</v>
          </cell>
          <cell r="T2308">
            <v>1</v>
          </cell>
          <cell r="U2308">
            <v>0</v>
          </cell>
          <cell r="V2308">
            <v>0</v>
          </cell>
          <cell r="W2308">
            <v>0</v>
          </cell>
        </row>
        <row r="2309">
          <cell r="A2309" t="str">
            <v>453406</v>
          </cell>
          <cell r="B2309" t="str">
            <v>1251</v>
          </cell>
          <cell r="C2309" t="str">
            <v>12</v>
          </cell>
          <cell r="D2309" t="str">
            <v>21</v>
          </cell>
          <cell r="E2309">
            <v>65</v>
          </cell>
          <cell r="G2309">
            <v>802177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77149</v>
          </cell>
          <cell r="M2309">
            <v>0</v>
          </cell>
          <cell r="N2309">
            <v>77149</v>
          </cell>
          <cell r="O2309">
            <v>0</v>
          </cell>
          <cell r="P2309">
            <v>77149</v>
          </cell>
          <cell r="Q2309">
            <v>0</v>
          </cell>
          <cell r="R2309">
            <v>0</v>
          </cell>
          <cell r="S2309">
            <v>35</v>
          </cell>
          <cell r="T2309">
            <v>30</v>
          </cell>
          <cell r="U2309">
            <v>0</v>
          </cell>
          <cell r="V2309">
            <v>0</v>
          </cell>
          <cell r="W2309">
            <v>0</v>
          </cell>
        </row>
        <row r="2310">
          <cell r="A2310" t="str">
            <v>453406</v>
          </cell>
          <cell r="B2310" t="str">
            <v>1251</v>
          </cell>
          <cell r="C2310" t="str">
            <v>12</v>
          </cell>
          <cell r="D2310" t="str">
            <v>21</v>
          </cell>
          <cell r="E2310">
            <v>65</v>
          </cell>
          <cell r="G2310">
            <v>802214</v>
          </cell>
          <cell r="H2310">
            <v>0</v>
          </cell>
          <cell r="I2310">
            <v>37</v>
          </cell>
          <cell r="J2310">
            <v>0</v>
          </cell>
          <cell r="K2310">
            <v>0</v>
          </cell>
          <cell r="L2310">
            <v>27639</v>
          </cell>
          <cell r="M2310">
            <v>0</v>
          </cell>
          <cell r="N2310">
            <v>27639</v>
          </cell>
          <cell r="O2310">
            <v>0</v>
          </cell>
          <cell r="P2310">
            <v>27639</v>
          </cell>
          <cell r="Q2310">
            <v>0</v>
          </cell>
          <cell r="R2310">
            <v>0</v>
          </cell>
          <cell r="S2310">
            <v>7</v>
          </cell>
          <cell r="T2310">
            <v>11</v>
          </cell>
          <cell r="U2310">
            <v>0</v>
          </cell>
          <cell r="V2310">
            <v>0</v>
          </cell>
          <cell r="W2310">
            <v>0</v>
          </cell>
        </row>
        <row r="2311">
          <cell r="A2311" t="str">
            <v>453406</v>
          </cell>
          <cell r="B2311" t="str">
            <v>1251</v>
          </cell>
          <cell r="C2311" t="str">
            <v>12</v>
          </cell>
          <cell r="D2311" t="str">
            <v>21</v>
          </cell>
          <cell r="E2311">
            <v>65</v>
          </cell>
          <cell r="G2311">
            <v>802241</v>
          </cell>
          <cell r="H2311">
            <v>0</v>
          </cell>
          <cell r="I2311">
            <v>179</v>
          </cell>
          <cell r="J2311">
            <v>0</v>
          </cell>
          <cell r="K2311">
            <v>0</v>
          </cell>
          <cell r="L2311">
            <v>71768</v>
          </cell>
          <cell r="M2311">
            <v>0</v>
          </cell>
          <cell r="N2311">
            <v>71768</v>
          </cell>
          <cell r="O2311">
            <v>0</v>
          </cell>
          <cell r="P2311">
            <v>71768</v>
          </cell>
          <cell r="Q2311">
            <v>0</v>
          </cell>
          <cell r="R2311">
            <v>0</v>
          </cell>
          <cell r="S2311">
            <v>27</v>
          </cell>
          <cell r="T2311">
            <v>23</v>
          </cell>
          <cell r="U2311">
            <v>0</v>
          </cell>
          <cell r="V2311">
            <v>0</v>
          </cell>
          <cell r="W2311">
            <v>0</v>
          </cell>
        </row>
        <row r="2312">
          <cell r="A2312" t="str">
            <v>453406</v>
          </cell>
          <cell r="B2312" t="str">
            <v>1251</v>
          </cell>
          <cell r="C2312" t="str">
            <v>12</v>
          </cell>
          <cell r="D2312" t="str">
            <v>21</v>
          </cell>
          <cell r="E2312">
            <v>65</v>
          </cell>
          <cell r="G2312">
            <v>999999</v>
          </cell>
          <cell r="H2312">
            <v>0</v>
          </cell>
          <cell r="I2312">
            <v>1262</v>
          </cell>
          <cell r="J2312">
            <v>0</v>
          </cell>
          <cell r="K2312">
            <v>0</v>
          </cell>
          <cell r="L2312">
            <v>324426</v>
          </cell>
          <cell r="M2312">
            <v>0</v>
          </cell>
          <cell r="N2312">
            <v>324426</v>
          </cell>
          <cell r="O2312">
            <v>0</v>
          </cell>
          <cell r="P2312">
            <v>324426</v>
          </cell>
          <cell r="Q2312">
            <v>36</v>
          </cell>
          <cell r="R2312">
            <v>35</v>
          </cell>
          <cell r="S2312">
            <v>94</v>
          </cell>
          <cell r="T2312">
            <v>82</v>
          </cell>
          <cell r="U2312">
            <v>0</v>
          </cell>
          <cell r="V2312">
            <v>0</v>
          </cell>
          <cell r="W2312">
            <v>0</v>
          </cell>
        </row>
        <row r="2313">
          <cell r="A2313" t="str">
            <v>453406</v>
          </cell>
          <cell r="B2313" t="str">
            <v>1251</v>
          </cell>
          <cell r="C2313" t="str">
            <v>12</v>
          </cell>
          <cell r="D2313" t="str">
            <v>22</v>
          </cell>
          <cell r="E2313">
            <v>1</v>
          </cell>
          <cell r="G2313">
            <v>552323</v>
          </cell>
          <cell r="H2313">
            <v>0</v>
          </cell>
          <cell r="I2313">
            <v>18789</v>
          </cell>
          <cell r="J2313">
            <v>2819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0</v>
          </cell>
          <cell r="V2313">
            <v>0</v>
          </cell>
          <cell r="W2313">
            <v>0</v>
          </cell>
        </row>
        <row r="2314">
          <cell r="A2314" t="str">
            <v>453406</v>
          </cell>
          <cell r="B2314" t="str">
            <v>1251</v>
          </cell>
          <cell r="C2314" t="str">
            <v>12</v>
          </cell>
          <cell r="D2314" t="str">
            <v>22</v>
          </cell>
          <cell r="E2314">
            <v>1</v>
          </cell>
          <cell r="G2314">
            <v>552411</v>
          </cell>
          <cell r="H2314">
            <v>0</v>
          </cell>
          <cell r="I2314">
            <v>8521</v>
          </cell>
          <cell r="J2314">
            <v>1266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0</v>
          </cell>
          <cell r="V2314">
            <v>0</v>
          </cell>
          <cell r="W2314">
            <v>0</v>
          </cell>
        </row>
        <row r="2315">
          <cell r="A2315" t="str">
            <v>453406</v>
          </cell>
          <cell r="B2315" t="str">
            <v>1251</v>
          </cell>
          <cell r="C2315" t="str">
            <v>12</v>
          </cell>
          <cell r="D2315" t="str">
            <v>22</v>
          </cell>
          <cell r="E2315">
            <v>1</v>
          </cell>
          <cell r="G2315">
            <v>751768</v>
          </cell>
          <cell r="H2315">
            <v>0</v>
          </cell>
          <cell r="I2315">
            <v>7495</v>
          </cell>
          <cell r="J2315">
            <v>969</v>
          </cell>
          <cell r="K2315">
            <v>4</v>
          </cell>
          <cell r="L2315">
            <v>0</v>
          </cell>
          <cell r="M2315">
            <v>0</v>
          </cell>
          <cell r="N2315">
            <v>462</v>
          </cell>
          <cell r="O2315">
            <v>0</v>
          </cell>
          <cell r="P2315">
            <v>0</v>
          </cell>
          <cell r="Q2315">
            <v>0</v>
          </cell>
          <cell r="R2315">
            <v>462</v>
          </cell>
          <cell r="S2315">
            <v>0</v>
          </cell>
          <cell r="T2315">
            <v>0</v>
          </cell>
          <cell r="U2315">
            <v>0</v>
          </cell>
          <cell r="V2315">
            <v>0</v>
          </cell>
          <cell r="W2315">
            <v>0</v>
          </cell>
        </row>
        <row r="2316">
          <cell r="A2316" t="str">
            <v>453406</v>
          </cell>
          <cell r="B2316" t="str">
            <v>1251</v>
          </cell>
          <cell r="C2316" t="str">
            <v>12</v>
          </cell>
          <cell r="D2316" t="str">
            <v>22</v>
          </cell>
          <cell r="E2316">
            <v>1</v>
          </cell>
          <cell r="G2316">
            <v>751922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</row>
        <row r="2317">
          <cell r="A2317" t="str">
            <v>453406</v>
          </cell>
          <cell r="B2317" t="str">
            <v>1251</v>
          </cell>
          <cell r="C2317" t="str">
            <v>12</v>
          </cell>
          <cell r="D2317" t="str">
            <v>22</v>
          </cell>
          <cell r="E2317">
            <v>1</v>
          </cell>
          <cell r="G2317">
            <v>802144</v>
          </cell>
          <cell r="H2317">
            <v>0</v>
          </cell>
          <cell r="I2317">
            <v>22</v>
          </cell>
          <cell r="J2317">
            <v>5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V2317">
            <v>0</v>
          </cell>
          <cell r="W2317">
            <v>0</v>
          </cell>
        </row>
        <row r="2318">
          <cell r="A2318" t="str">
            <v>453406</v>
          </cell>
          <cell r="B2318" t="str">
            <v>1251</v>
          </cell>
          <cell r="C2318" t="str">
            <v>12</v>
          </cell>
          <cell r="D2318" t="str">
            <v>22</v>
          </cell>
          <cell r="E2318">
            <v>1</v>
          </cell>
          <cell r="G2318">
            <v>802177</v>
          </cell>
          <cell r="H2318">
            <v>0</v>
          </cell>
          <cell r="I2318">
            <v>411</v>
          </cell>
          <cell r="J2318">
            <v>43</v>
          </cell>
          <cell r="K2318">
            <v>0</v>
          </cell>
          <cell r="L2318">
            <v>0</v>
          </cell>
          <cell r="M2318">
            <v>0</v>
          </cell>
          <cell r="N2318">
            <v>98</v>
          </cell>
          <cell r="O2318">
            <v>18</v>
          </cell>
          <cell r="P2318">
            <v>50</v>
          </cell>
          <cell r="Q2318">
            <v>0</v>
          </cell>
          <cell r="R2318">
            <v>166</v>
          </cell>
          <cell r="S2318">
            <v>0</v>
          </cell>
          <cell r="T2318">
            <v>0</v>
          </cell>
          <cell r="U2318">
            <v>0</v>
          </cell>
          <cell r="V2318">
            <v>0</v>
          </cell>
          <cell r="W2318">
            <v>0</v>
          </cell>
        </row>
        <row r="2319">
          <cell r="A2319" t="str">
            <v>453406</v>
          </cell>
          <cell r="B2319" t="str">
            <v>1251</v>
          </cell>
          <cell r="C2319" t="str">
            <v>12</v>
          </cell>
          <cell r="D2319" t="str">
            <v>22</v>
          </cell>
          <cell r="E2319">
            <v>1</v>
          </cell>
          <cell r="G2319">
            <v>802214</v>
          </cell>
          <cell r="H2319">
            <v>0</v>
          </cell>
          <cell r="I2319">
            <v>49</v>
          </cell>
          <cell r="J2319">
            <v>10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304</v>
          </cell>
          <cell r="P2319">
            <v>0</v>
          </cell>
          <cell r="Q2319">
            <v>0</v>
          </cell>
          <cell r="R2319">
            <v>304</v>
          </cell>
          <cell r="S2319">
            <v>0</v>
          </cell>
          <cell r="T2319">
            <v>0</v>
          </cell>
          <cell r="U2319">
            <v>0</v>
          </cell>
          <cell r="V2319">
            <v>0</v>
          </cell>
          <cell r="W2319">
            <v>0</v>
          </cell>
        </row>
        <row r="2320">
          <cell r="A2320" t="str">
            <v>453406</v>
          </cell>
          <cell r="B2320" t="str">
            <v>1251</v>
          </cell>
          <cell r="C2320" t="str">
            <v>12</v>
          </cell>
          <cell r="D2320" t="str">
            <v>22</v>
          </cell>
          <cell r="E2320">
            <v>1</v>
          </cell>
          <cell r="G2320">
            <v>802241</v>
          </cell>
          <cell r="H2320">
            <v>0</v>
          </cell>
          <cell r="I2320">
            <v>6776</v>
          </cell>
          <cell r="J2320">
            <v>900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0</v>
          </cell>
          <cell r="V2320">
            <v>0</v>
          </cell>
          <cell r="W2320">
            <v>0</v>
          </cell>
        </row>
        <row r="2321">
          <cell r="A2321" t="str">
            <v>453406</v>
          </cell>
          <cell r="B2321" t="str">
            <v>1251</v>
          </cell>
          <cell r="C2321" t="str">
            <v>12</v>
          </cell>
          <cell r="D2321" t="str">
            <v>22</v>
          </cell>
          <cell r="E2321">
            <v>1</v>
          </cell>
          <cell r="G2321">
            <v>999999</v>
          </cell>
          <cell r="H2321">
            <v>0</v>
          </cell>
          <cell r="I2321">
            <v>42063</v>
          </cell>
          <cell r="J2321">
            <v>6012</v>
          </cell>
          <cell r="K2321">
            <v>4</v>
          </cell>
          <cell r="L2321">
            <v>0</v>
          </cell>
          <cell r="M2321">
            <v>0</v>
          </cell>
          <cell r="N2321">
            <v>560</v>
          </cell>
          <cell r="O2321">
            <v>322</v>
          </cell>
          <cell r="P2321">
            <v>50</v>
          </cell>
          <cell r="Q2321">
            <v>0</v>
          </cell>
          <cell r="R2321">
            <v>932</v>
          </cell>
          <cell r="S2321">
            <v>0</v>
          </cell>
          <cell r="T2321">
            <v>0</v>
          </cell>
          <cell r="U2321">
            <v>0</v>
          </cell>
          <cell r="V2321">
            <v>0</v>
          </cell>
          <cell r="W2321">
            <v>0</v>
          </cell>
        </row>
        <row r="2322">
          <cell r="A2322" t="str">
            <v>453406</v>
          </cell>
          <cell r="B2322" t="str">
            <v>1251</v>
          </cell>
          <cell r="C2322" t="str">
            <v>12</v>
          </cell>
          <cell r="D2322" t="str">
            <v>22</v>
          </cell>
          <cell r="E2322">
            <v>17</v>
          </cell>
          <cell r="G2322">
            <v>552323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21608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</row>
        <row r="2323">
          <cell r="A2323" t="str">
            <v>453406</v>
          </cell>
          <cell r="B2323" t="str">
            <v>1251</v>
          </cell>
          <cell r="C2323" t="str">
            <v>12</v>
          </cell>
          <cell r="D2323" t="str">
            <v>22</v>
          </cell>
          <cell r="E2323">
            <v>17</v>
          </cell>
          <cell r="G2323">
            <v>552411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0</v>
          </cell>
          <cell r="Q2323">
            <v>9787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V2323">
            <v>0</v>
          </cell>
          <cell r="W2323">
            <v>0</v>
          </cell>
        </row>
        <row r="2324">
          <cell r="A2324" t="str">
            <v>453406</v>
          </cell>
          <cell r="B2324" t="str">
            <v>1251</v>
          </cell>
          <cell r="C2324" t="str">
            <v>12</v>
          </cell>
          <cell r="D2324" t="str">
            <v>22</v>
          </cell>
          <cell r="E2324">
            <v>17</v>
          </cell>
          <cell r="G2324">
            <v>751768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  <cell r="Q2324">
            <v>8930</v>
          </cell>
          <cell r="R2324">
            <v>1333</v>
          </cell>
          <cell r="S2324">
            <v>0</v>
          </cell>
          <cell r="T2324">
            <v>0</v>
          </cell>
          <cell r="U2324">
            <v>0</v>
          </cell>
          <cell r="V2324">
            <v>0</v>
          </cell>
          <cell r="W2324">
            <v>0</v>
          </cell>
        </row>
        <row r="2325">
          <cell r="A2325" t="str">
            <v>453406</v>
          </cell>
          <cell r="B2325" t="str">
            <v>1251</v>
          </cell>
          <cell r="C2325" t="str">
            <v>12</v>
          </cell>
          <cell r="D2325" t="str">
            <v>22</v>
          </cell>
          <cell r="E2325">
            <v>17</v>
          </cell>
          <cell r="G2325">
            <v>751922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0</v>
          </cell>
          <cell r="V2325">
            <v>0</v>
          </cell>
          <cell r="W2325">
            <v>0</v>
          </cell>
        </row>
        <row r="2326">
          <cell r="A2326" t="str">
            <v>453406</v>
          </cell>
          <cell r="B2326" t="str">
            <v>1251</v>
          </cell>
          <cell r="C2326" t="str">
            <v>12</v>
          </cell>
          <cell r="D2326" t="str">
            <v>22</v>
          </cell>
          <cell r="E2326">
            <v>17</v>
          </cell>
          <cell r="G2326">
            <v>802144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  <cell r="Q2326">
            <v>27</v>
          </cell>
          <cell r="R2326">
            <v>0</v>
          </cell>
          <cell r="S2326">
            <v>0</v>
          </cell>
          <cell r="T2326">
            <v>0</v>
          </cell>
          <cell r="U2326">
            <v>0</v>
          </cell>
          <cell r="V2326">
            <v>0</v>
          </cell>
          <cell r="W2326">
            <v>0</v>
          </cell>
        </row>
        <row r="2327">
          <cell r="A2327" t="str">
            <v>453406</v>
          </cell>
          <cell r="B2327" t="str">
            <v>1251</v>
          </cell>
          <cell r="C2327" t="str">
            <v>12</v>
          </cell>
          <cell r="D2327" t="str">
            <v>22</v>
          </cell>
          <cell r="E2327">
            <v>17</v>
          </cell>
          <cell r="G2327">
            <v>802177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  <cell r="Q2327">
            <v>620</v>
          </cell>
          <cell r="R2327">
            <v>0</v>
          </cell>
          <cell r="S2327">
            <v>0</v>
          </cell>
          <cell r="T2327">
            <v>0</v>
          </cell>
          <cell r="U2327">
            <v>0</v>
          </cell>
          <cell r="V2327">
            <v>0</v>
          </cell>
          <cell r="W2327">
            <v>428</v>
          </cell>
        </row>
        <row r="2328">
          <cell r="A2328" t="str">
            <v>453406</v>
          </cell>
          <cell r="B2328" t="str">
            <v>1251</v>
          </cell>
          <cell r="C2328" t="str">
            <v>12</v>
          </cell>
          <cell r="D2328" t="str">
            <v>22</v>
          </cell>
          <cell r="E2328">
            <v>17</v>
          </cell>
          <cell r="G2328">
            <v>802214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0</v>
          </cell>
          <cell r="M2328">
            <v>0</v>
          </cell>
          <cell r="N2328">
            <v>0</v>
          </cell>
          <cell r="O2328">
            <v>0</v>
          </cell>
          <cell r="P2328">
            <v>0</v>
          </cell>
          <cell r="Q2328">
            <v>363</v>
          </cell>
          <cell r="R2328">
            <v>0</v>
          </cell>
          <cell r="S2328">
            <v>0</v>
          </cell>
          <cell r="T2328">
            <v>0</v>
          </cell>
          <cell r="U2328">
            <v>0</v>
          </cell>
          <cell r="V2328">
            <v>0</v>
          </cell>
          <cell r="W2328">
            <v>0</v>
          </cell>
        </row>
        <row r="2329">
          <cell r="A2329" t="str">
            <v>453406</v>
          </cell>
          <cell r="B2329" t="str">
            <v>1251</v>
          </cell>
          <cell r="C2329" t="str">
            <v>12</v>
          </cell>
          <cell r="D2329" t="str">
            <v>22</v>
          </cell>
          <cell r="E2329">
            <v>17</v>
          </cell>
          <cell r="G2329">
            <v>802241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0</v>
          </cell>
          <cell r="M2329">
            <v>0</v>
          </cell>
          <cell r="N2329">
            <v>0</v>
          </cell>
          <cell r="O2329">
            <v>0</v>
          </cell>
          <cell r="P2329">
            <v>0</v>
          </cell>
          <cell r="Q2329">
            <v>7676</v>
          </cell>
          <cell r="R2329">
            <v>0</v>
          </cell>
          <cell r="S2329">
            <v>0</v>
          </cell>
          <cell r="T2329">
            <v>0</v>
          </cell>
          <cell r="U2329">
            <v>0</v>
          </cell>
          <cell r="V2329">
            <v>0</v>
          </cell>
          <cell r="W2329">
            <v>0</v>
          </cell>
        </row>
        <row r="2330">
          <cell r="A2330" t="str">
            <v>453406</v>
          </cell>
          <cell r="B2330" t="str">
            <v>1251</v>
          </cell>
          <cell r="C2330" t="str">
            <v>12</v>
          </cell>
          <cell r="D2330" t="str">
            <v>22</v>
          </cell>
          <cell r="E2330">
            <v>17</v>
          </cell>
          <cell r="G2330">
            <v>999999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0</v>
          </cell>
          <cell r="Q2330">
            <v>49011</v>
          </cell>
          <cell r="R2330">
            <v>1333</v>
          </cell>
          <cell r="S2330">
            <v>0</v>
          </cell>
          <cell r="T2330">
            <v>0</v>
          </cell>
          <cell r="U2330">
            <v>0</v>
          </cell>
          <cell r="V2330">
            <v>0</v>
          </cell>
          <cell r="W2330">
            <v>428</v>
          </cell>
        </row>
        <row r="2331">
          <cell r="A2331" t="str">
            <v>453406</v>
          </cell>
          <cell r="B2331" t="str">
            <v>1251</v>
          </cell>
          <cell r="C2331" t="str">
            <v>12</v>
          </cell>
          <cell r="D2331" t="str">
            <v>22</v>
          </cell>
          <cell r="E2331">
            <v>33</v>
          </cell>
          <cell r="G2331">
            <v>552323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</row>
        <row r="2332">
          <cell r="A2332" t="str">
            <v>453406</v>
          </cell>
          <cell r="B2332" t="str">
            <v>1251</v>
          </cell>
          <cell r="C2332" t="str">
            <v>12</v>
          </cell>
          <cell r="D2332" t="str">
            <v>22</v>
          </cell>
          <cell r="E2332">
            <v>33</v>
          </cell>
          <cell r="G2332">
            <v>552411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0</v>
          </cell>
          <cell r="V2332">
            <v>0</v>
          </cell>
          <cell r="W2332">
            <v>0</v>
          </cell>
        </row>
        <row r="2333">
          <cell r="A2333" t="str">
            <v>453406</v>
          </cell>
          <cell r="B2333" t="str">
            <v>1251</v>
          </cell>
          <cell r="C2333" t="str">
            <v>12</v>
          </cell>
          <cell r="D2333" t="str">
            <v>22</v>
          </cell>
          <cell r="E2333">
            <v>33</v>
          </cell>
          <cell r="G2333">
            <v>751768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0</v>
          </cell>
          <cell r="V2333">
            <v>0</v>
          </cell>
          <cell r="W2333">
            <v>1333</v>
          </cell>
        </row>
        <row r="2334">
          <cell r="A2334" t="str">
            <v>453406</v>
          </cell>
          <cell r="B2334" t="str">
            <v>1251</v>
          </cell>
          <cell r="C2334" t="str">
            <v>12</v>
          </cell>
          <cell r="D2334" t="str">
            <v>22</v>
          </cell>
          <cell r="E2334">
            <v>33</v>
          </cell>
          <cell r="G2334">
            <v>751922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0</v>
          </cell>
          <cell r="V2334">
            <v>0</v>
          </cell>
          <cell r="W2334">
            <v>0</v>
          </cell>
        </row>
        <row r="2335">
          <cell r="A2335" t="str">
            <v>453406</v>
          </cell>
          <cell r="B2335" t="str">
            <v>1251</v>
          </cell>
          <cell r="C2335" t="str">
            <v>12</v>
          </cell>
          <cell r="D2335" t="str">
            <v>22</v>
          </cell>
          <cell r="E2335">
            <v>33</v>
          </cell>
          <cell r="G2335">
            <v>802144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</row>
        <row r="2336">
          <cell r="A2336" t="str">
            <v>453406</v>
          </cell>
          <cell r="B2336" t="str">
            <v>1251</v>
          </cell>
          <cell r="C2336" t="str">
            <v>12</v>
          </cell>
          <cell r="D2336" t="str">
            <v>22</v>
          </cell>
          <cell r="E2336">
            <v>33</v>
          </cell>
          <cell r="G2336">
            <v>802177</v>
          </cell>
          <cell r="H2336">
            <v>0</v>
          </cell>
          <cell r="I2336">
            <v>0</v>
          </cell>
          <cell r="J2336">
            <v>428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0</v>
          </cell>
          <cell r="V2336">
            <v>0</v>
          </cell>
          <cell r="W2336">
            <v>428</v>
          </cell>
        </row>
        <row r="2337">
          <cell r="A2337" t="str">
            <v>453406</v>
          </cell>
          <cell r="B2337" t="str">
            <v>1251</v>
          </cell>
          <cell r="C2337" t="str">
            <v>12</v>
          </cell>
          <cell r="D2337" t="str">
            <v>22</v>
          </cell>
          <cell r="E2337">
            <v>33</v>
          </cell>
          <cell r="G2337">
            <v>802214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0</v>
          </cell>
          <cell r="V2337">
            <v>0</v>
          </cell>
          <cell r="W2337">
            <v>0</v>
          </cell>
        </row>
        <row r="2338">
          <cell r="A2338" t="str">
            <v>453406</v>
          </cell>
          <cell r="B2338" t="str">
            <v>1251</v>
          </cell>
          <cell r="C2338" t="str">
            <v>12</v>
          </cell>
          <cell r="D2338" t="str">
            <v>22</v>
          </cell>
          <cell r="E2338">
            <v>33</v>
          </cell>
          <cell r="G2338">
            <v>802241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1033</v>
          </cell>
          <cell r="N2338">
            <v>0</v>
          </cell>
          <cell r="O2338">
            <v>1033</v>
          </cell>
          <cell r="P2338">
            <v>0</v>
          </cell>
          <cell r="Q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1033</v>
          </cell>
          <cell r="V2338">
            <v>0</v>
          </cell>
          <cell r="W2338">
            <v>1033</v>
          </cell>
        </row>
        <row r="2339">
          <cell r="A2339" t="str">
            <v>453406</v>
          </cell>
          <cell r="B2339" t="str">
            <v>1251</v>
          </cell>
          <cell r="C2339" t="str">
            <v>12</v>
          </cell>
          <cell r="D2339" t="str">
            <v>22</v>
          </cell>
          <cell r="E2339">
            <v>33</v>
          </cell>
          <cell r="G2339">
            <v>999999</v>
          </cell>
          <cell r="H2339">
            <v>0</v>
          </cell>
          <cell r="I2339">
            <v>0</v>
          </cell>
          <cell r="J2339">
            <v>428</v>
          </cell>
          <cell r="K2339">
            <v>0</v>
          </cell>
          <cell r="L2339">
            <v>0</v>
          </cell>
          <cell r="M2339">
            <v>1033</v>
          </cell>
          <cell r="N2339">
            <v>0</v>
          </cell>
          <cell r="O2339">
            <v>1033</v>
          </cell>
          <cell r="P2339">
            <v>0</v>
          </cell>
          <cell r="Q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1033</v>
          </cell>
          <cell r="V2339">
            <v>0</v>
          </cell>
          <cell r="W2339">
            <v>2794</v>
          </cell>
        </row>
        <row r="2340">
          <cell r="A2340" t="str">
            <v>453406</v>
          </cell>
          <cell r="B2340" t="str">
            <v>1251</v>
          </cell>
          <cell r="C2340" t="str">
            <v>12</v>
          </cell>
          <cell r="D2340" t="str">
            <v>22</v>
          </cell>
          <cell r="E2340">
            <v>49</v>
          </cell>
          <cell r="G2340">
            <v>552323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21608</v>
          </cell>
          <cell r="P2340">
            <v>204</v>
          </cell>
          <cell r="Q2340">
            <v>21812</v>
          </cell>
          <cell r="R2340">
            <v>0</v>
          </cell>
          <cell r="S2340">
            <v>21812</v>
          </cell>
          <cell r="T2340">
            <v>0</v>
          </cell>
          <cell r="U2340">
            <v>0</v>
          </cell>
          <cell r="V2340">
            <v>0</v>
          </cell>
          <cell r="W2340">
            <v>0</v>
          </cell>
        </row>
        <row r="2341">
          <cell r="A2341" t="str">
            <v>453406</v>
          </cell>
          <cell r="B2341" t="str">
            <v>1251</v>
          </cell>
          <cell r="C2341" t="str">
            <v>12</v>
          </cell>
          <cell r="D2341" t="str">
            <v>22</v>
          </cell>
          <cell r="E2341">
            <v>49</v>
          </cell>
          <cell r="G2341">
            <v>552411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9787</v>
          </cell>
          <cell r="P2341">
            <v>0</v>
          </cell>
          <cell r="Q2341">
            <v>9787</v>
          </cell>
          <cell r="R2341">
            <v>0</v>
          </cell>
          <cell r="S2341">
            <v>9787</v>
          </cell>
          <cell r="T2341">
            <v>0</v>
          </cell>
          <cell r="U2341">
            <v>0</v>
          </cell>
          <cell r="V2341">
            <v>0</v>
          </cell>
          <cell r="W2341">
            <v>0</v>
          </cell>
        </row>
        <row r="2342">
          <cell r="A2342" t="str">
            <v>453406</v>
          </cell>
          <cell r="B2342" t="str">
            <v>1251</v>
          </cell>
          <cell r="C2342" t="str">
            <v>12</v>
          </cell>
          <cell r="D2342" t="str">
            <v>22</v>
          </cell>
          <cell r="E2342">
            <v>49</v>
          </cell>
          <cell r="G2342">
            <v>751768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10263</v>
          </cell>
          <cell r="P2342">
            <v>0</v>
          </cell>
          <cell r="Q2342">
            <v>10263</v>
          </cell>
          <cell r="R2342">
            <v>0</v>
          </cell>
          <cell r="S2342">
            <v>10263</v>
          </cell>
          <cell r="T2342">
            <v>0</v>
          </cell>
          <cell r="U2342">
            <v>0</v>
          </cell>
          <cell r="V2342">
            <v>0</v>
          </cell>
          <cell r="W2342">
            <v>0</v>
          </cell>
        </row>
        <row r="2343">
          <cell r="A2343" t="str">
            <v>453406</v>
          </cell>
          <cell r="B2343" t="str">
            <v>1251</v>
          </cell>
          <cell r="C2343" t="str">
            <v>12</v>
          </cell>
          <cell r="D2343" t="str">
            <v>22</v>
          </cell>
          <cell r="E2343">
            <v>49</v>
          </cell>
          <cell r="G2343">
            <v>751922</v>
          </cell>
          <cell r="H2343">
            <v>261950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261950</v>
          </cell>
          <cell r="P2343">
            <v>0</v>
          </cell>
          <cell r="Q2343">
            <v>261950</v>
          </cell>
          <cell r="R2343">
            <v>0</v>
          </cell>
          <cell r="S2343">
            <v>261950</v>
          </cell>
          <cell r="T2343">
            <v>0</v>
          </cell>
          <cell r="U2343">
            <v>0</v>
          </cell>
          <cell r="V2343">
            <v>0</v>
          </cell>
          <cell r="W2343">
            <v>0</v>
          </cell>
        </row>
        <row r="2344">
          <cell r="A2344" t="str">
            <v>453406</v>
          </cell>
          <cell r="B2344" t="str">
            <v>1251</v>
          </cell>
          <cell r="C2344" t="str">
            <v>12</v>
          </cell>
          <cell r="D2344" t="str">
            <v>22</v>
          </cell>
          <cell r="E2344">
            <v>49</v>
          </cell>
          <cell r="G2344">
            <v>802144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27</v>
          </cell>
          <cell r="P2344">
            <v>0</v>
          </cell>
          <cell r="Q2344">
            <v>27</v>
          </cell>
          <cell r="R2344">
            <v>0</v>
          </cell>
          <cell r="S2344">
            <v>27</v>
          </cell>
          <cell r="T2344">
            <v>0</v>
          </cell>
          <cell r="U2344">
            <v>0</v>
          </cell>
          <cell r="V2344">
            <v>0</v>
          </cell>
          <cell r="W2344">
            <v>0</v>
          </cell>
        </row>
        <row r="2345">
          <cell r="A2345" t="str">
            <v>453406</v>
          </cell>
          <cell r="B2345" t="str">
            <v>1251</v>
          </cell>
          <cell r="C2345" t="str">
            <v>12</v>
          </cell>
          <cell r="D2345" t="str">
            <v>22</v>
          </cell>
          <cell r="E2345">
            <v>49</v>
          </cell>
          <cell r="G2345">
            <v>802177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1048</v>
          </cell>
          <cell r="P2345">
            <v>10467</v>
          </cell>
          <cell r="Q2345">
            <v>11515</v>
          </cell>
          <cell r="R2345">
            <v>0</v>
          </cell>
          <cell r="S2345">
            <v>11515</v>
          </cell>
          <cell r="T2345">
            <v>0</v>
          </cell>
          <cell r="U2345">
            <v>0</v>
          </cell>
          <cell r="V2345">
            <v>0</v>
          </cell>
          <cell r="W2345">
            <v>0</v>
          </cell>
        </row>
        <row r="2346">
          <cell r="A2346" t="str">
            <v>453406</v>
          </cell>
          <cell r="B2346" t="str">
            <v>1251</v>
          </cell>
          <cell r="C2346" t="str">
            <v>12</v>
          </cell>
          <cell r="D2346" t="str">
            <v>22</v>
          </cell>
          <cell r="E2346">
            <v>49</v>
          </cell>
          <cell r="G2346">
            <v>802214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363</v>
          </cell>
          <cell r="P2346">
            <v>0</v>
          </cell>
          <cell r="Q2346">
            <v>363</v>
          </cell>
          <cell r="R2346">
            <v>0</v>
          </cell>
          <cell r="S2346">
            <v>363</v>
          </cell>
          <cell r="T2346">
            <v>0</v>
          </cell>
          <cell r="U2346">
            <v>0</v>
          </cell>
          <cell r="V2346">
            <v>0</v>
          </cell>
          <cell r="W2346">
            <v>0</v>
          </cell>
        </row>
        <row r="2347">
          <cell r="A2347" t="str">
            <v>453406</v>
          </cell>
          <cell r="B2347" t="str">
            <v>1251</v>
          </cell>
          <cell r="C2347" t="str">
            <v>12</v>
          </cell>
          <cell r="D2347" t="str">
            <v>22</v>
          </cell>
          <cell r="E2347">
            <v>49</v>
          </cell>
          <cell r="G2347">
            <v>802241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8709</v>
          </cell>
          <cell r="P2347">
            <v>0</v>
          </cell>
          <cell r="Q2347">
            <v>8709</v>
          </cell>
          <cell r="R2347">
            <v>0</v>
          </cell>
          <cell r="S2347">
            <v>8709</v>
          </cell>
          <cell r="T2347">
            <v>0</v>
          </cell>
          <cell r="U2347">
            <v>0</v>
          </cell>
          <cell r="V2347">
            <v>0</v>
          </cell>
          <cell r="W2347">
            <v>0</v>
          </cell>
        </row>
        <row r="2348">
          <cell r="A2348" t="str">
            <v>453406</v>
          </cell>
          <cell r="B2348" t="str">
            <v>1251</v>
          </cell>
          <cell r="C2348" t="str">
            <v>12</v>
          </cell>
          <cell r="D2348" t="str">
            <v>22</v>
          </cell>
          <cell r="E2348">
            <v>49</v>
          </cell>
          <cell r="G2348">
            <v>999999</v>
          </cell>
          <cell r="H2348">
            <v>261950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313755</v>
          </cell>
          <cell r="P2348">
            <v>10671</v>
          </cell>
          <cell r="Q2348">
            <v>324426</v>
          </cell>
          <cell r="R2348">
            <v>0</v>
          </cell>
          <cell r="S2348">
            <v>324426</v>
          </cell>
          <cell r="T2348">
            <v>0</v>
          </cell>
          <cell r="U2348">
            <v>0</v>
          </cell>
          <cell r="V2348">
            <v>0</v>
          </cell>
          <cell r="W2348">
            <v>0</v>
          </cell>
        </row>
        <row r="2349">
          <cell r="A2349" t="str">
            <v>453406</v>
          </cell>
          <cell r="B2349" t="str">
            <v>1251</v>
          </cell>
          <cell r="C2349" t="str">
            <v>12</v>
          </cell>
          <cell r="D2349" t="str">
            <v>23</v>
          </cell>
          <cell r="E2349">
            <v>1</v>
          </cell>
          <cell r="G2349">
            <v>235510</v>
          </cell>
          <cell r="H2349">
            <v>0</v>
          </cell>
          <cell r="I2349">
            <v>0</v>
          </cell>
          <cell r="J2349">
            <v>-69137</v>
          </cell>
          <cell r="K2349">
            <v>0</v>
          </cell>
          <cell r="L2349">
            <v>-69137</v>
          </cell>
          <cell r="M2349">
            <v>166373</v>
          </cell>
          <cell r="N2349">
            <v>166529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  <cell r="S2349">
            <v>0</v>
          </cell>
          <cell r="T2349">
            <v>0</v>
          </cell>
          <cell r="U2349">
            <v>0</v>
          </cell>
          <cell r="V2349">
            <v>0</v>
          </cell>
          <cell r="W2349">
            <v>0</v>
          </cell>
        </row>
        <row r="2350">
          <cell r="A2350" t="str">
            <v>453406</v>
          </cell>
          <cell r="B2350" t="str">
            <v>1251</v>
          </cell>
          <cell r="C2350" t="str">
            <v>12</v>
          </cell>
          <cell r="D2350" t="str">
            <v>23</v>
          </cell>
          <cell r="E2350">
            <v>2</v>
          </cell>
          <cell r="G2350">
            <v>75720</v>
          </cell>
          <cell r="H2350">
            <v>0</v>
          </cell>
          <cell r="I2350">
            <v>0</v>
          </cell>
          <cell r="J2350">
            <v>-22503</v>
          </cell>
          <cell r="K2350">
            <v>0</v>
          </cell>
          <cell r="L2350">
            <v>-22503</v>
          </cell>
          <cell r="M2350">
            <v>53217</v>
          </cell>
          <cell r="N2350">
            <v>53217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  <cell r="S2350">
            <v>0</v>
          </cell>
          <cell r="T2350">
            <v>0</v>
          </cell>
          <cell r="U2350">
            <v>0</v>
          </cell>
          <cell r="V2350">
            <v>0</v>
          </cell>
          <cell r="W2350">
            <v>0</v>
          </cell>
        </row>
        <row r="2351">
          <cell r="A2351" t="str">
            <v>453406</v>
          </cell>
          <cell r="B2351" t="str">
            <v>1251</v>
          </cell>
          <cell r="C2351" t="str">
            <v>12</v>
          </cell>
          <cell r="D2351" t="str">
            <v>23</v>
          </cell>
          <cell r="E2351">
            <v>3</v>
          </cell>
          <cell r="G2351">
            <v>121348</v>
          </cell>
          <cell r="H2351">
            <v>0</v>
          </cell>
          <cell r="I2351">
            <v>0</v>
          </cell>
          <cell r="J2351">
            <v>-25377</v>
          </cell>
          <cell r="K2351">
            <v>0</v>
          </cell>
          <cell r="L2351">
            <v>-25377</v>
          </cell>
          <cell r="M2351">
            <v>95971</v>
          </cell>
          <cell r="N2351">
            <v>90883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</row>
        <row r="2352">
          <cell r="A2352" t="str">
            <v>453406</v>
          </cell>
          <cell r="B2352" t="str">
            <v>1251</v>
          </cell>
          <cell r="C2352" t="str">
            <v>12</v>
          </cell>
          <cell r="D2352" t="str">
            <v>23</v>
          </cell>
          <cell r="E2352">
            <v>4</v>
          </cell>
          <cell r="G2352">
            <v>0</v>
          </cell>
          <cell r="H2352">
            <v>0</v>
          </cell>
          <cell r="I2352">
            <v>0</v>
          </cell>
          <cell r="J2352">
            <v>295</v>
          </cell>
          <cell r="K2352">
            <v>0</v>
          </cell>
          <cell r="L2352">
            <v>295</v>
          </cell>
          <cell r="M2352">
            <v>295</v>
          </cell>
          <cell r="N2352">
            <v>292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  <cell r="S2352">
            <v>0</v>
          </cell>
          <cell r="T2352">
            <v>0</v>
          </cell>
          <cell r="U2352">
            <v>0</v>
          </cell>
          <cell r="V2352">
            <v>0</v>
          </cell>
          <cell r="W2352">
            <v>0</v>
          </cell>
        </row>
        <row r="2353">
          <cell r="A2353" t="str">
            <v>453406</v>
          </cell>
          <cell r="B2353" t="str">
            <v>1251</v>
          </cell>
          <cell r="C2353" t="str">
            <v>12</v>
          </cell>
          <cell r="D2353" t="str">
            <v>23</v>
          </cell>
          <cell r="E2353">
            <v>5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  <cell r="S2353">
            <v>0</v>
          </cell>
          <cell r="T2353">
            <v>0</v>
          </cell>
          <cell r="U2353">
            <v>0</v>
          </cell>
          <cell r="V2353">
            <v>0</v>
          </cell>
          <cell r="W2353">
            <v>0</v>
          </cell>
        </row>
        <row r="2354">
          <cell r="A2354" t="str">
            <v>453406</v>
          </cell>
          <cell r="B2354" t="str">
            <v>1251</v>
          </cell>
          <cell r="C2354" t="str">
            <v>12</v>
          </cell>
          <cell r="D2354" t="str">
            <v>23</v>
          </cell>
          <cell r="E2354">
            <v>6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6107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>
            <v>0</v>
          </cell>
          <cell r="W2354">
            <v>0</v>
          </cell>
        </row>
        <row r="2355">
          <cell r="A2355" t="str">
            <v>453406</v>
          </cell>
          <cell r="B2355" t="str">
            <v>1251</v>
          </cell>
          <cell r="C2355" t="str">
            <v>12</v>
          </cell>
          <cell r="D2355" t="str">
            <v>23</v>
          </cell>
          <cell r="E2355">
            <v>7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</row>
        <row r="2356">
          <cell r="A2356" t="str">
            <v>453406</v>
          </cell>
          <cell r="B2356" t="str">
            <v>1251</v>
          </cell>
          <cell r="C2356" t="str">
            <v>12</v>
          </cell>
          <cell r="D2356" t="str">
            <v>23</v>
          </cell>
          <cell r="E2356">
            <v>8</v>
          </cell>
          <cell r="G2356">
            <v>0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  <cell r="S2356">
            <v>0</v>
          </cell>
          <cell r="T2356">
            <v>0</v>
          </cell>
          <cell r="U2356">
            <v>0</v>
          </cell>
          <cell r="V2356">
            <v>0</v>
          </cell>
          <cell r="W2356">
            <v>0</v>
          </cell>
        </row>
        <row r="2357">
          <cell r="A2357" t="str">
            <v>453406</v>
          </cell>
          <cell r="B2357" t="str">
            <v>1251</v>
          </cell>
          <cell r="C2357" t="str">
            <v>12</v>
          </cell>
          <cell r="D2357" t="str">
            <v>23</v>
          </cell>
          <cell r="E2357">
            <v>9</v>
          </cell>
          <cell r="G2357">
            <v>0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  <cell r="S2357">
            <v>0</v>
          </cell>
          <cell r="T2357">
            <v>0</v>
          </cell>
          <cell r="U2357">
            <v>0</v>
          </cell>
          <cell r="V2357">
            <v>0</v>
          </cell>
          <cell r="W2357">
            <v>0</v>
          </cell>
        </row>
        <row r="2358">
          <cell r="A2358" t="str">
            <v>453406</v>
          </cell>
          <cell r="B2358" t="str">
            <v>1251</v>
          </cell>
          <cell r="C2358" t="str">
            <v>12</v>
          </cell>
          <cell r="D2358" t="str">
            <v>23</v>
          </cell>
          <cell r="E2358">
            <v>10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0</v>
          </cell>
          <cell r="M2358">
            <v>0</v>
          </cell>
          <cell r="N2358">
            <v>0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  <cell r="S2358">
            <v>0</v>
          </cell>
          <cell r="T2358">
            <v>0</v>
          </cell>
          <cell r="U2358">
            <v>0</v>
          </cell>
          <cell r="V2358">
            <v>0</v>
          </cell>
          <cell r="W2358">
            <v>0</v>
          </cell>
        </row>
        <row r="2359">
          <cell r="A2359" t="str">
            <v>453406</v>
          </cell>
          <cell r="B2359" t="str">
            <v>1251</v>
          </cell>
          <cell r="C2359" t="str">
            <v>12</v>
          </cell>
          <cell r="D2359" t="str">
            <v>23</v>
          </cell>
          <cell r="E2359">
            <v>11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0</v>
          </cell>
          <cell r="M2359">
            <v>0</v>
          </cell>
          <cell r="N2359">
            <v>0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  <cell r="S2359">
            <v>0</v>
          </cell>
          <cell r="T2359">
            <v>0</v>
          </cell>
          <cell r="U2359">
            <v>0</v>
          </cell>
          <cell r="V2359">
            <v>0</v>
          </cell>
          <cell r="W2359">
            <v>0</v>
          </cell>
        </row>
        <row r="2360">
          <cell r="A2360" t="str">
            <v>453406</v>
          </cell>
          <cell r="B2360" t="str">
            <v>1251</v>
          </cell>
          <cell r="C2360" t="str">
            <v>12</v>
          </cell>
          <cell r="D2360" t="str">
            <v>23</v>
          </cell>
          <cell r="E2360">
            <v>12</v>
          </cell>
          <cell r="G2360">
            <v>432578</v>
          </cell>
          <cell r="H2360">
            <v>0</v>
          </cell>
          <cell r="I2360">
            <v>0</v>
          </cell>
          <cell r="J2360">
            <v>-116722</v>
          </cell>
          <cell r="K2360">
            <v>0</v>
          </cell>
          <cell r="L2360">
            <v>-116722</v>
          </cell>
          <cell r="M2360">
            <v>315856</v>
          </cell>
          <cell r="N2360">
            <v>317028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  <cell r="S2360">
            <v>0</v>
          </cell>
          <cell r="T2360">
            <v>0</v>
          </cell>
          <cell r="U2360">
            <v>0</v>
          </cell>
          <cell r="V2360">
            <v>0</v>
          </cell>
          <cell r="W2360">
            <v>0</v>
          </cell>
        </row>
        <row r="2361">
          <cell r="A2361" t="str">
            <v>453406</v>
          </cell>
          <cell r="B2361" t="str">
            <v>1251</v>
          </cell>
          <cell r="C2361" t="str">
            <v>12</v>
          </cell>
          <cell r="D2361" t="str">
            <v>23</v>
          </cell>
          <cell r="E2361">
            <v>13</v>
          </cell>
          <cell r="G2361">
            <v>4000</v>
          </cell>
          <cell r="H2361">
            <v>0</v>
          </cell>
          <cell r="I2361">
            <v>0</v>
          </cell>
          <cell r="J2361">
            <v>4790</v>
          </cell>
          <cell r="K2361">
            <v>0</v>
          </cell>
          <cell r="L2361">
            <v>4790</v>
          </cell>
          <cell r="M2361">
            <v>8790</v>
          </cell>
          <cell r="N2361">
            <v>7398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  <cell r="S2361">
            <v>0</v>
          </cell>
          <cell r="T2361">
            <v>0</v>
          </cell>
          <cell r="U2361">
            <v>0</v>
          </cell>
          <cell r="V2361">
            <v>0</v>
          </cell>
          <cell r="W2361">
            <v>0</v>
          </cell>
        </row>
        <row r="2362">
          <cell r="A2362" t="str">
            <v>453406</v>
          </cell>
          <cell r="B2362" t="str">
            <v>1251</v>
          </cell>
          <cell r="C2362" t="str">
            <v>12</v>
          </cell>
          <cell r="D2362" t="str">
            <v>23</v>
          </cell>
          <cell r="E2362">
            <v>14</v>
          </cell>
          <cell r="G2362">
            <v>0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  <cell r="T2362">
            <v>0</v>
          </cell>
          <cell r="U2362">
            <v>0</v>
          </cell>
          <cell r="V2362">
            <v>0</v>
          </cell>
          <cell r="W2362">
            <v>0</v>
          </cell>
        </row>
        <row r="2363">
          <cell r="A2363" t="str">
            <v>453406</v>
          </cell>
          <cell r="B2363" t="str">
            <v>1251</v>
          </cell>
          <cell r="C2363" t="str">
            <v>12</v>
          </cell>
          <cell r="D2363" t="str">
            <v>23</v>
          </cell>
          <cell r="E2363">
            <v>15</v>
          </cell>
          <cell r="G2363">
            <v>0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0</v>
          </cell>
          <cell r="Q2363">
            <v>0</v>
          </cell>
          <cell r="R2363">
            <v>0</v>
          </cell>
          <cell r="S2363">
            <v>0</v>
          </cell>
          <cell r="T2363">
            <v>0</v>
          </cell>
          <cell r="U2363">
            <v>0</v>
          </cell>
          <cell r="V2363">
            <v>0</v>
          </cell>
          <cell r="W2363">
            <v>0</v>
          </cell>
        </row>
        <row r="2364">
          <cell r="A2364" t="str">
            <v>453406</v>
          </cell>
          <cell r="B2364" t="str">
            <v>1251</v>
          </cell>
          <cell r="C2364" t="str">
            <v>12</v>
          </cell>
          <cell r="D2364" t="str">
            <v>23</v>
          </cell>
          <cell r="E2364">
            <v>16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0</v>
          </cell>
          <cell r="M2364">
            <v>0</v>
          </cell>
          <cell r="N2364">
            <v>0</v>
          </cell>
          <cell r="O2364">
            <v>0</v>
          </cell>
          <cell r="P2364">
            <v>0</v>
          </cell>
          <cell r="Q2364">
            <v>0</v>
          </cell>
          <cell r="R2364">
            <v>0</v>
          </cell>
          <cell r="S2364">
            <v>0</v>
          </cell>
          <cell r="T2364">
            <v>0</v>
          </cell>
          <cell r="U2364">
            <v>0</v>
          </cell>
          <cell r="V2364">
            <v>0</v>
          </cell>
          <cell r="W2364">
            <v>0</v>
          </cell>
        </row>
        <row r="2365">
          <cell r="A2365" t="str">
            <v>453406</v>
          </cell>
          <cell r="B2365" t="str">
            <v>1251</v>
          </cell>
          <cell r="C2365" t="str">
            <v>12</v>
          </cell>
          <cell r="D2365" t="str">
            <v>23</v>
          </cell>
          <cell r="E2365">
            <v>17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0</v>
          </cell>
          <cell r="M2365">
            <v>0</v>
          </cell>
          <cell r="N2365">
            <v>0</v>
          </cell>
          <cell r="O2365">
            <v>0</v>
          </cell>
          <cell r="P2365">
            <v>0</v>
          </cell>
          <cell r="Q2365">
            <v>0</v>
          </cell>
          <cell r="R2365">
            <v>0</v>
          </cell>
          <cell r="S2365">
            <v>0</v>
          </cell>
          <cell r="T2365">
            <v>0</v>
          </cell>
          <cell r="U2365">
            <v>0</v>
          </cell>
          <cell r="V2365">
            <v>0</v>
          </cell>
          <cell r="W2365">
            <v>0</v>
          </cell>
        </row>
        <row r="2366">
          <cell r="A2366" t="str">
            <v>453406</v>
          </cell>
          <cell r="B2366" t="str">
            <v>1251</v>
          </cell>
          <cell r="C2366" t="str">
            <v>12</v>
          </cell>
          <cell r="D2366" t="str">
            <v>23</v>
          </cell>
          <cell r="E2366">
            <v>18</v>
          </cell>
          <cell r="G2366">
            <v>0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0</v>
          </cell>
          <cell r="Q2366">
            <v>0</v>
          </cell>
          <cell r="R2366">
            <v>0</v>
          </cell>
          <cell r="S2366">
            <v>0</v>
          </cell>
          <cell r="T2366">
            <v>0</v>
          </cell>
          <cell r="U2366">
            <v>0</v>
          </cell>
          <cell r="V2366">
            <v>0</v>
          </cell>
          <cell r="W2366">
            <v>0</v>
          </cell>
        </row>
        <row r="2367">
          <cell r="A2367" t="str">
            <v>453406</v>
          </cell>
          <cell r="B2367" t="str">
            <v>1251</v>
          </cell>
          <cell r="C2367" t="str">
            <v>12</v>
          </cell>
          <cell r="D2367" t="str">
            <v>23</v>
          </cell>
          <cell r="E2367">
            <v>19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  <cell r="R2367">
            <v>0</v>
          </cell>
          <cell r="S2367">
            <v>0</v>
          </cell>
          <cell r="T2367">
            <v>0</v>
          </cell>
          <cell r="U2367">
            <v>0</v>
          </cell>
          <cell r="V2367">
            <v>0</v>
          </cell>
          <cell r="W2367">
            <v>0</v>
          </cell>
        </row>
        <row r="2368">
          <cell r="A2368" t="str">
            <v>453406</v>
          </cell>
          <cell r="B2368" t="str">
            <v>1251</v>
          </cell>
          <cell r="C2368" t="str">
            <v>12</v>
          </cell>
          <cell r="D2368" t="str">
            <v>23</v>
          </cell>
          <cell r="E2368">
            <v>20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  <cell r="U2368">
            <v>0</v>
          </cell>
          <cell r="V2368">
            <v>0</v>
          </cell>
          <cell r="W2368">
            <v>0</v>
          </cell>
        </row>
        <row r="2369">
          <cell r="A2369" t="str">
            <v>453406</v>
          </cell>
          <cell r="B2369" t="str">
            <v>1251</v>
          </cell>
          <cell r="C2369" t="str">
            <v>12</v>
          </cell>
          <cell r="D2369" t="str">
            <v>23</v>
          </cell>
          <cell r="E2369">
            <v>21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  <cell r="U2369">
            <v>0</v>
          </cell>
          <cell r="V2369">
            <v>0</v>
          </cell>
          <cell r="W2369">
            <v>0</v>
          </cell>
        </row>
        <row r="2370">
          <cell r="A2370" t="str">
            <v>453406</v>
          </cell>
          <cell r="B2370" t="str">
            <v>1251</v>
          </cell>
          <cell r="C2370" t="str">
            <v>12</v>
          </cell>
          <cell r="D2370" t="str">
            <v>23</v>
          </cell>
          <cell r="E2370">
            <v>22</v>
          </cell>
          <cell r="G2370">
            <v>4000</v>
          </cell>
          <cell r="H2370">
            <v>0</v>
          </cell>
          <cell r="I2370">
            <v>0</v>
          </cell>
          <cell r="J2370">
            <v>4790</v>
          </cell>
          <cell r="K2370">
            <v>0</v>
          </cell>
          <cell r="L2370">
            <v>4790</v>
          </cell>
          <cell r="M2370">
            <v>8790</v>
          </cell>
          <cell r="N2370">
            <v>7398</v>
          </cell>
          <cell r="O2370">
            <v>0</v>
          </cell>
          <cell r="P2370">
            <v>0</v>
          </cell>
          <cell r="Q2370">
            <v>0</v>
          </cell>
          <cell r="R2370">
            <v>0</v>
          </cell>
          <cell r="S2370">
            <v>0</v>
          </cell>
          <cell r="T2370">
            <v>0</v>
          </cell>
          <cell r="U2370">
            <v>0</v>
          </cell>
          <cell r="V2370">
            <v>0</v>
          </cell>
          <cell r="W2370">
            <v>0</v>
          </cell>
        </row>
        <row r="2371">
          <cell r="A2371" t="str">
            <v>453406</v>
          </cell>
          <cell r="B2371" t="str">
            <v>1251</v>
          </cell>
          <cell r="C2371" t="str">
            <v>12</v>
          </cell>
          <cell r="D2371" t="str">
            <v>23</v>
          </cell>
          <cell r="E2371">
            <v>23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0</v>
          </cell>
          <cell r="M2371">
            <v>0</v>
          </cell>
          <cell r="N2371">
            <v>0</v>
          </cell>
          <cell r="O2371">
            <v>0</v>
          </cell>
          <cell r="P2371">
            <v>0</v>
          </cell>
          <cell r="Q2371">
            <v>0</v>
          </cell>
          <cell r="R2371">
            <v>0</v>
          </cell>
          <cell r="S2371">
            <v>0</v>
          </cell>
          <cell r="T2371">
            <v>0</v>
          </cell>
          <cell r="U2371">
            <v>0</v>
          </cell>
          <cell r="V2371">
            <v>0</v>
          </cell>
          <cell r="W2371">
            <v>0</v>
          </cell>
        </row>
        <row r="2372">
          <cell r="A2372" t="str">
            <v>453406</v>
          </cell>
          <cell r="B2372" t="str">
            <v>1251</v>
          </cell>
          <cell r="C2372" t="str">
            <v>12</v>
          </cell>
          <cell r="D2372" t="str">
            <v>23</v>
          </cell>
          <cell r="E2372">
            <v>24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  <cell r="R2372">
            <v>0</v>
          </cell>
          <cell r="S2372">
            <v>0</v>
          </cell>
          <cell r="T2372">
            <v>0</v>
          </cell>
          <cell r="U2372">
            <v>0</v>
          </cell>
          <cell r="V2372">
            <v>0</v>
          </cell>
          <cell r="W2372">
            <v>0</v>
          </cell>
        </row>
        <row r="2373">
          <cell r="A2373" t="str">
            <v>453406</v>
          </cell>
          <cell r="B2373" t="str">
            <v>1251</v>
          </cell>
          <cell r="C2373" t="str">
            <v>12</v>
          </cell>
          <cell r="D2373" t="str">
            <v>23</v>
          </cell>
          <cell r="E2373">
            <v>25</v>
          </cell>
          <cell r="G2373">
            <v>0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0</v>
          </cell>
          <cell r="Q2373">
            <v>0</v>
          </cell>
          <cell r="R2373">
            <v>0</v>
          </cell>
          <cell r="S2373">
            <v>0</v>
          </cell>
          <cell r="T2373">
            <v>0</v>
          </cell>
          <cell r="U2373">
            <v>0</v>
          </cell>
          <cell r="V2373">
            <v>0</v>
          </cell>
          <cell r="W2373">
            <v>0</v>
          </cell>
        </row>
        <row r="2374">
          <cell r="A2374" t="str">
            <v>453406</v>
          </cell>
          <cell r="B2374" t="str">
            <v>1251</v>
          </cell>
          <cell r="C2374" t="str">
            <v>12</v>
          </cell>
          <cell r="D2374" t="str">
            <v>23</v>
          </cell>
          <cell r="E2374">
            <v>26</v>
          </cell>
          <cell r="G2374">
            <v>436578</v>
          </cell>
          <cell r="H2374">
            <v>0</v>
          </cell>
          <cell r="I2374">
            <v>0</v>
          </cell>
          <cell r="J2374">
            <v>-111932</v>
          </cell>
          <cell r="K2374">
            <v>0</v>
          </cell>
          <cell r="L2374">
            <v>-111932</v>
          </cell>
          <cell r="M2374">
            <v>324646</v>
          </cell>
          <cell r="N2374">
            <v>324426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  <cell r="U2374">
            <v>0</v>
          </cell>
          <cell r="V2374">
            <v>0</v>
          </cell>
          <cell r="W2374">
            <v>0</v>
          </cell>
        </row>
        <row r="2375">
          <cell r="A2375" t="str">
            <v>453406</v>
          </cell>
          <cell r="B2375" t="str">
            <v>1251</v>
          </cell>
          <cell r="C2375" t="str">
            <v>12</v>
          </cell>
          <cell r="D2375" t="str">
            <v>23</v>
          </cell>
          <cell r="E2375">
            <v>27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0</v>
          </cell>
          <cell r="M2375">
            <v>0</v>
          </cell>
          <cell r="N2375">
            <v>0</v>
          </cell>
          <cell r="O2375">
            <v>0</v>
          </cell>
          <cell r="P2375">
            <v>0</v>
          </cell>
          <cell r="Q2375">
            <v>0</v>
          </cell>
          <cell r="R2375">
            <v>0</v>
          </cell>
          <cell r="S2375">
            <v>0</v>
          </cell>
          <cell r="T2375">
            <v>0</v>
          </cell>
          <cell r="U2375">
            <v>0</v>
          </cell>
          <cell r="V2375">
            <v>0</v>
          </cell>
          <cell r="W2375">
            <v>0</v>
          </cell>
        </row>
        <row r="2376">
          <cell r="A2376" t="str">
            <v>453406</v>
          </cell>
          <cell r="B2376" t="str">
            <v>1251</v>
          </cell>
          <cell r="C2376" t="str">
            <v>12</v>
          </cell>
          <cell r="D2376" t="str">
            <v>23</v>
          </cell>
          <cell r="E2376">
            <v>28</v>
          </cell>
          <cell r="G2376">
            <v>0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0</v>
          </cell>
          <cell r="M2376">
            <v>0</v>
          </cell>
          <cell r="N2376">
            <v>-7199</v>
          </cell>
          <cell r="O2376">
            <v>0</v>
          </cell>
          <cell r="P2376">
            <v>0</v>
          </cell>
          <cell r="Q2376">
            <v>0</v>
          </cell>
          <cell r="R2376">
            <v>0</v>
          </cell>
          <cell r="S2376">
            <v>0</v>
          </cell>
          <cell r="T2376">
            <v>0</v>
          </cell>
          <cell r="U2376">
            <v>0</v>
          </cell>
          <cell r="V2376">
            <v>0</v>
          </cell>
          <cell r="W2376">
            <v>0</v>
          </cell>
        </row>
        <row r="2377">
          <cell r="A2377" t="str">
            <v>453406</v>
          </cell>
          <cell r="B2377" t="str">
            <v>1251</v>
          </cell>
          <cell r="C2377" t="str">
            <v>12</v>
          </cell>
          <cell r="D2377" t="str">
            <v>23</v>
          </cell>
          <cell r="E2377">
            <v>29</v>
          </cell>
          <cell r="G2377">
            <v>436578</v>
          </cell>
          <cell r="H2377">
            <v>0</v>
          </cell>
          <cell r="I2377">
            <v>0</v>
          </cell>
          <cell r="J2377">
            <v>-111932</v>
          </cell>
          <cell r="K2377">
            <v>0</v>
          </cell>
          <cell r="L2377">
            <v>-111932</v>
          </cell>
          <cell r="M2377">
            <v>324646</v>
          </cell>
          <cell r="N2377">
            <v>317227</v>
          </cell>
          <cell r="O2377">
            <v>0</v>
          </cell>
          <cell r="P2377">
            <v>0</v>
          </cell>
          <cell r="Q2377">
            <v>0</v>
          </cell>
          <cell r="R2377">
            <v>0</v>
          </cell>
          <cell r="S2377">
            <v>0</v>
          </cell>
          <cell r="T2377">
            <v>0</v>
          </cell>
          <cell r="U2377">
            <v>0</v>
          </cell>
          <cell r="V2377">
            <v>0</v>
          </cell>
          <cell r="W2377">
            <v>0</v>
          </cell>
        </row>
        <row r="2378">
          <cell r="A2378" t="str">
            <v>453406</v>
          </cell>
          <cell r="B2378" t="str">
            <v>1251</v>
          </cell>
          <cell r="C2378" t="str">
            <v>12</v>
          </cell>
          <cell r="D2378" t="str">
            <v>23</v>
          </cell>
          <cell r="E2378">
            <v>30</v>
          </cell>
          <cell r="G2378">
            <v>77663</v>
          </cell>
          <cell r="H2378">
            <v>0</v>
          </cell>
          <cell r="I2378">
            <v>0</v>
          </cell>
          <cell r="J2378">
            <v>-28656</v>
          </cell>
          <cell r="K2378">
            <v>0</v>
          </cell>
          <cell r="L2378">
            <v>-28656</v>
          </cell>
          <cell r="M2378">
            <v>49007</v>
          </cell>
          <cell r="N2378">
            <v>49011</v>
          </cell>
          <cell r="O2378">
            <v>0</v>
          </cell>
          <cell r="P2378">
            <v>0</v>
          </cell>
          <cell r="Q2378">
            <v>0</v>
          </cell>
          <cell r="R2378">
            <v>0</v>
          </cell>
          <cell r="S2378">
            <v>0</v>
          </cell>
          <cell r="T2378">
            <v>0</v>
          </cell>
          <cell r="U2378">
            <v>0</v>
          </cell>
          <cell r="V2378">
            <v>0</v>
          </cell>
          <cell r="W2378">
            <v>0</v>
          </cell>
        </row>
        <row r="2379">
          <cell r="A2379" t="str">
            <v>453406</v>
          </cell>
          <cell r="B2379" t="str">
            <v>1251</v>
          </cell>
          <cell r="C2379" t="str">
            <v>12</v>
          </cell>
          <cell r="D2379" t="str">
            <v>23</v>
          </cell>
          <cell r="E2379">
            <v>31</v>
          </cell>
          <cell r="G2379">
            <v>5200</v>
          </cell>
          <cell r="H2379">
            <v>0</v>
          </cell>
          <cell r="I2379">
            <v>0</v>
          </cell>
          <cell r="J2379">
            <v>-2217</v>
          </cell>
          <cell r="K2379">
            <v>0</v>
          </cell>
          <cell r="L2379">
            <v>-2217</v>
          </cell>
          <cell r="M2379">
            <v>2983</v>
          </cell>
          <cell r="N2379">
            <v>2794</v>
          </cell>
          <cell r="O2379">
            <v>0</v>
          </cell>
          <cell r="P2379">
            <v>0</v>
          </cell>
          <cell r="Q2379">
            <v>0</v>
          </cell>
          <cell r="R2379">
            <v>0</v>
          </cell>
          <cell r="S2379">
            <v>0</v>
          </cell>
          <cell r="T2379">
            <v>0</v>
          </cell>
          <cell r="U2379">
            <v>0</v>
          </cell>
          <cell r="V2379">
            <v>0</v>
          </cell>
          <cell r="W2379">
            <v>0</v>
          </cell>
        </row>
        <row r="2380">
          <cell r="A2380" t="str">
            <v>453406</v>
          </cell>
          <cell r="B2380" t="str">
            <v>1251</v>
          </cell>
          <cell r="C2380" t="str">
            <v>12</v>
          </cell>
          <cell r="D2380" t="str">
            <v>23</v>
          </cell>
          <cell r="E2380">
            <v>32</v>
          </cell>
          <cell r="G2380">
            <v>0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0</v>
          </cell>
          <cell r="Q2380">
            <v>0</v>
          </cell>
          <cell r="R2380">
            <v>0</v>
          </cell>
          <cell r="S2380">
            <v>0</v>
          </cell>
          <cell r="T2380">
            <v>0</v>
          </cell>
          <cell r="U2380">
            <v>0</v>
          </cell>
          <cell r="V2380">
            <v>0</v>
          </cell>
          <cell r="W2380">
            <v>0</v>
          </cell>
        </row>
        <row r="2381">
          <cell r="A2381" t="str">
            <v>453406</v>
          </cell>
          <cell r="B2381" t="str">
            <v>1251</v>
          </cell>
          <cell r="C2381" t="str">
            <v>12</v>
          </cell>
          <cell r="D2381" t="str">
            <v>23</v>
          </cell>
          <cell r="E2381">
            <v>33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  <cell r="R2381">
            <v>0</v>
          </cell>
          <cell r="S2381">
            <v>0</v>
          </cell>
          <cell r="T2381">
            <v>0</v>
          </cell>
          <cell r="U2381">
            <v>0</v>
          </cell>
          <cell r="V2381">
            <v>0</v>
          </cell>
          <cell r="W2381">
            <v>0</v>
          </cell>
        </row>
        <row r="2382">
          <cell r="A2382" t="str">
            <v>453406</v>
          </cell>
          <cell r="B2382" t="str">
            <v>1251</v>
          </cell>
          <cell r="C2382" t="str">
            <v>12</v>
          </cell>
          <cell r="D2382" t="str">
            <v>23</v>
          </cell>
          <cell r="E2382">
            <v>34</v>
          </cell>
          <cell r="G2382">
            <v>353715</v>
          </cell>
          <cell r="H2382">
            <v>0</v>
          </cell>
          <cell r="I2382">
            <v>0</v>
          </cell>
          <cell r="J2382">
            <v>-91730</v>
          </cell>
          <cell r="K2382">
            <v>0</v>
          </cell>
          <cell r="L2382">
            <v>-91730</v>
          </cell>
          <cell r="M2382">
            <v>261985</v>
          </cell>
          <cell r="N2382">
            <v>261950</v>
          </cell>
          <cell r="O2382">
            <v>0</v>
          </cell>
          <cell r="P2382">
            <v>0</v>
          </cell>
          <cell r="Q2382">
            <v>0</v>
          </cell>
          <cell r="R2382">
            <v>0</v>
          </cell>
          <cell r="S2382">
            <v>0</v>
          </cell>
          <cell r="T2382">
            <v>0</v>
          </cell>
          <cell r="U2382">
            <v>0</v>
          </cell>
          <cell r="V2382">
            <v>0</v>
          </cell>
          <cell r="W2382">
            <v>0</v>
          </cell>
        </row>
        <row r="2383">
          <cell r="A2383" t="str">
            <v>453406</v>
          </cell>
          <cell r="B2383" t="str">
            <v>1251</v>
          </cell>
          <cell r="C2383" t="str">
            <v>12</v>
          </cell>
          <cell r="D2383" t="str">
            <v>23</v>
          </cell>
          <cell r="E2383">
            <v>35</v>
          </cell>
          <cell r="G2383">
            <v>0</v>
          </cell>
          <cell r="H2383">
            <v>0</v>
          </cell>
          <cell r="I2383">
            <v>0</v>
          </cell>
          <cell r="J2383">
            <v>10671</v>
          </cell>
          <cell r="K2383">
            <v>0</v>
          </cell>
          <cell r="L2383">
            <v>10671</v>
          </cell>
          <cell r="M2383">
            <v>10671</v>
          </cell>
          <cell r="N2383">
            <v>10671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  <cell r="U2383">
            <v>0</v>
          </cell>
          <cell r="V2383">
            <v>0</v>
          </cell>
          <cell r="W2383">
            <v>0</v>
          </cell>
        </row>
        <row r="2384">
          <cell r="A2384" t="str">
            <v>453406</v>
          </cell>
          <cell r="B2384" t="str">
            <v>1251</v>
          </cell>
          <cell r="C2384" t="str">
            <v>12</v>
          </cell>
          <cell r="D2384" t="str">
            <v>23</v>
          </cell>
          <cell r="E2384">
            <v>36</v>
          </cell>
          <cell r="G2384">
            <v>436578</v>
          </cell>
          <cell r="H2384">
            <v>0</v>
          </cell>
          <cell r="I2384">
            <v>0</v>
          </cell>
          <cell r="J2384">
            <v>-111932</v>
          </cell>
          <cell r="K2384">
            <v>0</v>
          </cell>
          <cell r="L2384">
            <v>-111932</v>
          </cell>
          <cell r="M2384">
            <v>324646</v>
          </cell>
          <cell r="N2384">
            <v>324426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0</v>
          </cell>
          <cell r="W2384">
            <v>0</v>
          </cell>
        </row>
        <row r="2385">
          <cell r="A2385" t="str">
            <v>453406</v>
          </cell>
          <cell r="B2385" t="str">
            <v>1251</v>
          </cell>
          <cell r="C2385" t="str">
            <v>12</v>
          </cell>
          <cell r="D2385" t="str">
            <v>23</v>
          </cell>
          <cell r="E2385">
            <v>37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  <cell r="R2385">
            <v>0</v>
          </cell>
          <cell r="S2385">
            <v>0</v>
          </cell>
          <cell r="T2385">
            <v>0</v>
          </cell>
          <cell r="U2385">
            <v>0</v>
          </cell>
          <cell r="V2385">
            <v>0</v>
          </cell>
          <cell r="W2385">
            <v>0</v>
          </cell>
        </row>
        <row r="2386">
          <cell r="A2386" t="str">
            <v>453406</v>
          </cell>
          <cell r="B2386" t="str">
            <v>1251</v>
          </cell>
          <cell r="C2386" t="str">
            <v>12</v>
          </cell>
          <cell r="D2386" t="str">
            <v>23</v>
          </cell>
          <cell r="E2386">
            <v>38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-399</v>
          </cell>
          <cell r="O2386">
            <v>0</v>
          </cell>
          <cell r="P2386">
            <v>0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  <cell r="U2386">
            <v>0</v>
          </cell>
          <cell r="V2386">
            <v>0</v>
          </cell>
          <cell r="W2386">
            <v>0</v>
          </cell>
        </row>
        <row r="2387">
          <cell r="A2387" t="str">
            <v>453406</v>
          </cell>
          <cell r="B2387" t="str">
            <v>1251</v>
          </cell>
          <cell r="C2387" t="str">
            <v>12</v>
          </cell>
          <cell r="D2387" t="str">
            <v>23</v>
          </cell>
          <cell r="E2387">
            <v>39</v>
          </cell>
          <cell r="G2387">
            <v>436578</v>
          </cell>
          <cell r="H2387">
            <v>0</v>
          </cell>
          <cell r="I2387">
            <v>0</v>
          </cell>
          <cell r="J2387">
            <v>-111932</v>
          </cell>
          <cell r="K2387">
            <v>0</v>
          </cell>
          <cell r="L2387">
            <v>-111932</v>
          </cell>
          <cell r="M2387">
            <v>324646</v>
          </cell>
          <cell r="N2387">
            <v>324027</v>
          </cell>
          <cell r="O2387">
            <v>0</v>
          </cell>
          <cell r="P2387">
            <v>0</v>
          </cell>
          <cell r="Q2387">
            <v>0</v>
          </cell>
          <cell r="R2387">
            <v>0</v>
          </cell>
          <cell r="S2387">
            <v>0</v>
          </cell>
          <cell r="T2387">
            <v>0</v>
          </cell>
          <cell r="U2387">
            <v>0</v>
          </cell>
          <cell r="V2387">
            <v>0</v>
          </cell>
          <cell r="W2387">
            <v>0</v>
          </cell>
        </row>
        <row r="2388">
          <cell r="A2388" t="str">
            <v>453406</v>
          </cell>
          <cell r="B2388" t="str">
            <v>1251</v>
          </cell>
          <cell r="C2388" t="str">
            <v>12</v>
          </cell>
          <cell r="D2388" t="str">
            <v>24</v>
          </cell>
          <cell r="E2388">
            <v>1</v>
          </cell>
          <cell r="G2388">
            <v>3664</v>
          </cell>
          <cell r="H2388">
            <v>0</v>
          </cell>
          <cell r="I2388">
            <v>207</v>
          </cell>
          <cell r="J2388">
            <v>0</v>
          </cell>
          <cell r="K2388">
            <v>3871</v>
          </cell>
          <cell r="L2388">
            <v>313356</v>
          </cell>
          <cell r="M2388">
            <v>317227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  <cell r="R2388">
            <v>0</v>
          </cell>
          <cell r="S2388">
            <v>0</v>
          </cell>
          <cell r="T2388">
            <v>0</v>
          </cell>
          <cell r="U2388">
            <v>0</v>
          </cell>
          <cell r="V2388">
            <v>0</v>
          </cell>
          <cell r="W2388">
            <v>0</v>
          </cell>
        </row>
        <row r="2389">
          <cell r="A2389" t="str">
            <v>453406</v>
          </cell>
          <cell r="B2389" t="str">
            <v>1251</v>
          </cell>
          <cell r="C2389" t="str">
            <v>12</v>
          </cell>
          <cell r="D2389" t="str">
            <v>29</v>
          </cell>
          <cell r="E2389">
            <v>1</v>
          </cell>
          <cell r="G2389">
            <v>3664</v>
          </cell>
          <cell r="H2389">
            <v>0</v>
          </cell>
          <cell r="I2389">
            <v>207</v>
          </cell>
          <cell r="J2389">
            <v>0</v>
          </cell>
          <cell r="K2389">
            <v>3871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7199</v>
          </cell>
          <cell r="R2389">
            <v>0</v>
          </cell>
          <cell r="S2389">
            <v>399</v>
          </cell>
          <cell r="T2389">
            <v>0</v>
          </cell>
          <cell r="U2389">
            <v>0</v>
          </cell>
          <cell r="V2389">
            <v>0</v>
          </cell>
          <cell r="W2389">
            <v>0</v>
          </cell>
        </row>
        <row r="2390">
          <cell r="A2390" t="str">
            <v>453406</v>
          </cell>
          <cell r="B2390" t="str">
            <v>1251</v>
          </cell>
          <cell r="C2390" t="str">
            <v>12</v>
          </cell>
          <cell r="D2390" t="str">
            <v>29</v>
          </cell>
          <cell r="E2390">
            <v>9</v>
          </cell>
          <cell r="G2390">
            <v>0</v>
          </cell>
          <cell r="H2390">
            <v>0</v>
          </cell>
          <cell r="I2390">
            <v>6800</v>
          </cell>
          <cell r="J2390">
            <v>0</v>
          </cell>
          <cell r="K2390">
            <v>-3251</v>
          </cell>
          <cell r="L2390">
            <v>0</v>
          </cell>
          <cell r="M2390">
            <v>-624</v>
          </cell>
          <cell r="N2390">
            <v>0</v>
          </cell>
          <cell r="O2390">
            <v>14546</v>
          </cell>
          <cell r="P2390">
            <v>0</v>
          </cell>
          <cell r="Q2390">
            <v>0</v>
          </cell>
          <cell r="R2390">
            <v>0</v>
          </cell>
          <cell r="S2390">
            <v>0</v>
          </cell>
          <cell r="T2390">
            <v>0</v>
          </cell>
          <cell r="U2390">
            <v>17883</v>
          </cell>
          <cell r="V2390">
            <v>0</v>
          </cell>
          <cell r="W2390">
            <v>0</v>
          </cell>
        </row>
        <row r="2391">
          <cell r="A2391" t="str">
            <v>453406</v>
          </cell>
          <cell r="B2391" t="str">
            <v>1251</v>
          </cell>
          <cell r="C2391" t="str">
            <v>12</v>
          </cell>
          <cell r="D2391" t="str">
            <v>29</v>
          </cell>
          <cell r="E2391">
            <v>17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32429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32429</v>
          </cell>
          <cell r="R2391">
            <v>0</v>
          </cell>
          <cell r="S2391">
            <v>0</v>
          </cell>
          <cell r="T2391">
            <v>0</v>
          </cell>
          <cell r="U2391">
            <v>23113</v>
          </cell>
          <cell r="V2391">
            <v>0</v>
          </cell>
          <cell r="W2391">
            <v>0</v>
          </cell>
        </row>
        <row r="2392">
          <cell r="A2392" t="str">
            <v>453406</v>
          </cell>
          <cell r="B2392" t="str">
            <v>1251</v>
          </cell>
          <cell r="C2392" t="str">
            <v>12</v>
          </cell>
          <cell r="D2392" t="str">
            <v>29</v>
          </cell>
          <cell r="E2392">
            <v>25</v>
          </cell>
          <cell r="G2392">
            <v>9316</v>
          </cell>
          <cell r="H2392">
            <v>0</v>
          </cell>
          <cell r="I2392">
            <v>64858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  <cell r="R2392">
            <v>0</v>
          </cell>
          <cell r="S2392">
            <v>0</v>
          </cell>
          <cell r="T2392">
            <v>0</v>
          </cell>
          <cell r="U2392">
            <v>0</v>
          </cell>
          <cell r="V2392">
            <v>0</v>
          </cell>
          <cell r="W2392">
            <v>0</v>
          </cell>
        </row>
        <row r="2393">
          <cell r="A2393" t="str">
            <v>453406</v>
          </cell>
          <cell r="B2393" t="str">
            <v>1251</v>
          </cell>
          <cell r="C2393" t="str">
            <v>12</v>
          </cell>
          <cell r="D2393" t="str">
            <v>30</v>
          </cell>
          <cell r="E2393">
            <v>1</v>
          </cell>
          <cell r="G2393">
            <v>2750</v>
          </cell>
          <cell r="H2393">
            <v>0</v>
          </cell>
          <cell r="I2393">
            <v>2733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  <cell r="U2393">
            <v>0</v>
          </cell>
          <cell r="V2393">
            <v>0</v>
          </cell>
          <cell r="W2393">
            <v>0</v>
          </cell>
        </row>
        <row r="2394">
          <cell r="A2394" t="str">
            <v>453406</v>
          </cell>
          <cell r="B2394" t="str">
            <v>1251</v>
          </cell>
          <cell r="C2394" t="str">
            <v>12</v>
          </cell>
          <cell r="D2394" t="str">
            <v>30</v>
          </cell>
          <cell r="E2394">
            <v>9</v>
          </cell>
          <cell r="G2394">
            <v>2733</v>
          </cell>
          <cell r="H2394">
            <v>0</v>
          </cell>
          <cell r="I2394">
            <v>2750</v>
          </cell>
          <cell r="J2394">
            <v>0</v>
          </cell>
          <cell r="K2394">
            <v>3357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  <cell r="R2394">
            <v>0</v>
          </cell>
          <cell r="S2394">
            <v>3357</v>
          </cell>
          <cell r="T2394">
            <v>0</v>
          </cell>
          <cell r="U2394">
            <v>-624</v>
          </cell>
          <cell r="V2394">
            <v>0</v>
          </cell>
          <cell r="W2394">
            <v>0</v>
          </cell>
        </row>
        <row r="2395">
          <cell r="A2395" t="str">
            <v>453406</v>
          </cell>
          <cell r="B2395" t="str">
            <v>1251</v>
          </cell>
          <cell r="C2395" t="str">
            <v>12</v>
          </cell>
          <cell r="D2395" t="str">
            <v>30</v>
          </cell>
          <cell r="E2395">
            <v>17</v>
          </cell>
          <cell r="G2395">
            <v>571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-1195</v>
          </cell>
          <cell r="R2395">
            <v>0</v>
          </cell>
          <cell r="S2395">
            <v>0</v>
          </cell>
          <cell r="T2395">
            <v>0</v>
          </cell>
          <cell r="U2395">
            <v>-624</v>
          </cell>
          <cell r="V2395">
            <v>0</v>
          </cell>
          <cell r="W2395">
            <v>0</v>
          </cell>
        </row>
        <row r="2396">
          <cell r="A2396" t="str">
            <v>453406</v>
          </cell>
          <cell r="B2396" t="str">
            <v>1251</v>
          </cell>
          <cell r="C2396" t="str">
            <v>12</v>
          </cell>
          <cell r="D2396" t="str">
            <v>34</v>
          </cell>
          <cell r="E2396">
            <v>0</v>
          </cell>
          <cell r="G2396">
            <v>84</v>
          </cell>
          <cell r="H2396">
            <v>2052</v>
          </cell>
          <cell r="I2396">
            <v>0</v>
          </cell>
          <cell r="J2396">
            <v>0</v>
          </cell>
          <cell r="K2396">
            <v>462</v>
          </cell>
          <cell r="L2396">
            <v>0</v>
          </cell>
          <cell r="M2396">
            <v>0</v>
          </cell>
          <cell r="N2396">
            <v>0</v>
          </cell>
          <cell r="O2396">
            <v>2514</v>
          </cell>
          <cell r="P2396">
            <v>135</v>
          </cell>
          <cell r="Q2396">
            <v>1</v>
          </cell>
          <cell r="R2396">
            <v>0</v>
          </cell>
          <cell r="S2396">
            <v>0</v>
          </cell>
          <cell r="T2396">
            <v>0</v>
          </cell>
          <cell r="U2396">
            <v>0</v>
          </cell>
          <cell r="V2396">
            <v>0</v>
          </cell>
          <cell r="W2396">
            <v>0</v>
          </cell>
        </row>
        <row r="2397">
          <cell r="A2397" t="str">
            <v>453406</v>
          </cell>
          <cell r="B2397" t="str">
            <v>1251</v>
          </cell>
          <cell r="C2397" t="str">
            <v>12</v>
          </cell>
          <cell r="D2397" t="str">
            <v>34</v>
          </cell>
          <cell r="E2397">
            <v>0</v>
          </cell>
          <cell r="G2397">
            <v>89</v>
          </cell>
          <cell r="H2397">
            <v>20471</v>
          </cell>
          <cell r="I2397">
            <v>0</v>
          </cell>
          <cell r="J2397">
            <v>0</v>
          </cell>
          <cell r="K2397">
            <v>1832</v>
          </cell>
          <cell r="L2397">
            <v>100</v>
          </cell>
          <cell r="M2397">
            <v>0</v>
          </cell>
          <cell r="N2397">
            <v>0</v>
          </cell>
          <cell r="O2397">
            <v>22403</v>
          </cell>
          <cell r="P2397">
            <v>2109</v>
          </cell>
          <cell r="Q2397">
            <v>9</v>
          </cell>
          <cell r="R2397">
            <v>0</v>
          </cell>
          <cell r="S2397">
            <v>0</v>
          </cell>
          <cell r="T2397">
            <v>0</v>
          </cell>
          <cell r="U2397">
            <v>0</v>
          </cell>
          <cell r="V2397">
            <v>0</v>
          </cell>
          <cell r="W2397">
            <v>0</v>
          </cell>
        </row>
        <row r="2398">
          <cell r="A2398" t="str">
            <v>453406</v>
          </cell>
          <cell r="B2398" t="str">
            <v>1251</v>
          </cell>
          <cell r="C2398" t="str">
            <v>12</v>
          </cell>
          <cell r="D2398" t="str">
            <v>34</v>
          </cell>
          <cell r="E2398">
            <v>0</v>
          </cell>
          <cell r="G2398">
            <v>90</v>
          </cell>
          <cell r="H2398">
            <v>2006</v>
          </cell>
          <cell r="I2398">
            <v>0</v>
          </cell>
          <cell r="J2398">
            <v>0</v>
          </cell>
          <cell r="K2398">
            <v>151</v>
          </cell>
          <cell r="L2398">
            <v>0</v>
          </cell>
          <cell r="M2398">
            <v>0</v>
          </cell>
          <cell r="N2398">
            <v>0</v>
          </cell>
          <cell r="O2398">
            <v>2157</v>
          </cell>
          <cell r="P2398">
            <v>494</v>
          </cell>
          <cell r="Q2398">
            <v>1</v>
          </cell>
          <cell r="R2398">
            <v>0</v>
          </cell>
          <cell r="S2398">
            <v>0</v>
          </cell>
          <cell r="T2398">
            <v>0</v>
          </cell>
          <cell r="U2398">
            <v>0</v>
          </cell>
          <cell r="V2398">
            <v>0</v>
          </cell>
          <cell r="W2398">
            <v>0</v>
          </cell>
        </row>
        <row r="2399">
          <cell r="A2399" t="str">
            <v>453406</v>
          </cell>
          <cell r="B2399" t="str">
            <v>1251</v>
          </cell>
          <cell r="C2399" t="str">
            <v>12</v>
          </cell>
          <cell r="D2399" t="str">
            <v>34</v>
          </cell>
          <cell r="E2399">
            <v>0</v>
          </cell>
          <cell r="G2399">
            <v>92</v>
          </cell>
          <cell r="H2399">
            <v>1096</v>
          </cell>
          <cell r="I2399">
            <v>0</v>
          </cell>
          <cell r="J2399">
            <v>0</v>
          </cell>
          <cell r="K2399">
            <v>76</v>
          </cell>
          <cell r="L2399">
            <v>38</v>
          </cell>
          <cell r="M2399">
            <v>0</v>
          </cell>
          <cell r="N2399">
            <v>0</v>
          </cell>
          <cell r="O2399">
            <v>1210</v>
          </cell>
          <cell r="P2399">
            <v>0</v>
          </cell>
          <cell r="Q2399">
            <v>1</v>
          </cell>
          <cell r="R2399">
            <v>0</v>
          </cell>
          <cell r="S2399">
            <v>0</v>
          </cell>
          <cell r="T2399">
            <v>0</v>
          </cell>
          <cell r="U2399">
            <v>0</v>
          </cell>
          <cell r="V2399">
            <v>0</v>
          </cell>
          <cell r="W2399">
            <v>0</v>
          </cell>
        </row>
        <row r="2400">
          <cell r="A2400" t="str">
            <v>453406</v>
          </cell>
          <cell r="B2400" t="str">
            <v>1251</v>
          </cell>
          <cell r="C2400" t="str">
            <v>12</v>
          </cell>
          <cell r="D2400" t="str">
            <v>34</v>
          </cell>
          <cell r="E2400">
            <v>0</v>
          </cell>
          <cell r="G2400">
            <v>94</v>
          </cell>
          <cell r="H2400">
            <v>10567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10567</v>
          </cell>
          <cell r="P2400">
            <v>0</v>
          </cell>
          <cell r="Q2400">
            <v>17</v>
          </cell>
          <cell r="R2400">
            <v>0</v>
          </cell>
          <cell r="S2400">
            <v>0</v>
          </cell>
          <cell r="T2400">
            <v>0</v>
          </cell>
          <cell r="U2400">
            <v>0</v>
          </cell>
          <cell r="V2400">
            <v>0</v>
          </cell>
          <cell r="W2400">
            <v>0</v>
          </cell>
        </row>
        <row r="2401">
          <cell r="A2401" t="str">
            <v>453406</v>
          </cell>
          <cell r="B2401" t="str">
            <v>1251</v>
          </cell>
          <cell r="C2401" t="str">
            <v>12</v>
          </cell>
          <cell r="D2401" t="str">
            <v>34</v>
          </cell>
          <cell r="E2401">
            <v>0</v>
          </cell>
          <cell r="G2401">
            <v>95</v>
          </cell>
          <cell r="H2401">
            <v>8213</v>
          </cell>
          <cell r="I2401">
            <v>0</v>
          </cell>
          <cell r="J2401">
            <v>0</v>
          </cell>
          <cell r="K2401">
            <v>0</v>
          </cell>
          <cell r="L2401">
            <v>43</v>
          </cell>
          <cell r="M2401">
            <v>0</v>
          </cell>
          <cell r="N2401">
            <v>0</v>
          </cell>
          <cell r="O2401">
            <v>8256</v>
          </cell>
          <cell r="P2401">
            <v>244</v>
          </cell>
          <cell r="Q2401">
            <v>11</v>
          </cell>
          <cell r="R2401">
            <v>0</v>
          </cell>
          <cell r="S2401">
            <v>0</v>
          </cell>
          <cell r="T2401">
            <v>0</v>
          </cell>
          <cell r="U2401">
            <v>0</v>
          </cell>
          <cell r="V2401">
            <v>0</v>
          </cell>
          <cell r="W2401">
            <v>0</v>
          </cell>
        </row>
        <row r="2402">
          <cell r="A2402" t="str">
            <v>453406</v>
          </cell>
          <cell r="B2402" t="str">
            <v>1251</v>
          </cell>
          <cell r="C2402" t="str">
            <v>12</v>
          </cell>
          <cell r="D2402" t="str">
            <v>34</v>
          </cell>
          <cell r="E2402">
            <v>0</v>
          </cell>
          <cell r="G2402">
            <v>96</v>
          </cell>
          <cell r="H2402">
            <v>4081</v>
          </cell>
          <cell r="I2402">
            <v>0</v>
          </cell>
          <cell r="J2402">
            <v>0</v>
          </cell>
          <cell r="K2402">
            <v>0</v>
          </cell>
          <cell r="L2402">
            <v>9</v>
          </cell>
          <cell r="M2402">
            <v>0</v>
          </cell>
          <cell r="N2402">
            <v>0</v>
          </cell>
          <cell r="O2402">
            <v>4090</v>
          </cell>
          <cell r="P2402">
            <v>0</v>
          </cell>
          <cell r="Q2402">
            <v>5</v>
          </cell>
          <cell r="R2402">
            <v>0</v>
          </cell>
          <cell r="S2402">
            <v>0</v>
          </cell>
          <cell r="T2402">
            <v>0</v>
          </cell>
          <cell r="U2402">
            <v>0</v>
          </cell>
          <cell r="V2402">
            <v>0</v>
          </cell>
          <cell r="W2402">
            <v>0</v>
          </cell>
        </row>
        <row r="2403">
          <cell r="A2403" t="str">
            <v>453406</v>
          </cell>
          <cell r="B2403" t="str">
            <v>1251</v>
          </cell>
          <cell r="C2403" t="str">
            <v>12</v>
          </cell>
          <cell r="D2403" t="str">
            <v>34</v>
          </cell>
          <cell r="E2403">
            <v>0</v>
          </cell>
          <cell r="G2403">
            <v>97</v>
          </cell>
          <cell r="H2403">
            <v>6949</v>
          </cell>
          <cell r="I2403">
            <v>0</v>
          </cell>
          <cell r="J2403">
            <v>0</v>
          </cell>
          <cell r="K2403">
            <v>0</v>
          </cell>
          <cell r="L2403">
            <v>15</v>
          </cell>
          <cell r="M2403">
            <v>0</v>
          </cell>
          <cell r="N2403">
            <v>0</v>
          </cell>
          <cell r="O2403">
            <v>6964</v>
          </cell>
          <cell r="P2403">
            <v>289</v>
          </cell>
          <cell r="Q2403">
            <v>6</v>
          </cell>
          <cell r="R2403">
            <v>0</v>
          </cell>
          <cell r="S2403">
            <v>0</v>
          </cell>
          <cell r="T2403">
            <v>0</v>
          </cell>
          <cell r="U2403">
            <v>0</v>
          </cell>
          <cell r="V2403">
            <v>0</v>
          </cell>
          <cell r="W2403">
            <v>0</v>
          </cell>
        </row>
        <row r="2404">
          <cell r="A2404" t="str">
            <v>453406</v>
          </cell>
          <cell r="B2404" t="str">
            <v>1251</v>
          </cell>
          <cell r="C2404" t="str">
            <v>12</v>
          </cell>
          <cell r="D2404" t="str">
            <v>34</v>
          </cell>
          <cell r="E2404">
            <v>0</v>
          </cell>
          <cell r="G2404">
            <v>98</v>
          </cell>
          <cell r="H2404">
            <v>4076</v>
          </cell>
          <cell r="I2404">
            <v>0</v>
          </cell>
          <cell r="J2404">
            <v>0</v>
          </cell>
          <cell r="K2404">
            <v>45</v>
          </cell>
          <cell r="L2404">
            <v>15</v>
          </cell>
          <cell r="M2404">
            <v>0</v>
          </cell>
          <cell r="N2404">
            <v>0</v>
          </cell>
          <cell r="O2404">
            <v>4136</v>
          </cell>
          <cell r="P2404">
            <v>412</v>
          </cell>
          <cell r="Q2404">
            <v>5</v>
          </cell>
          <cell r="R2404">
            <v>0</v>
          </cell>
          <cell r="S2404">
            <v>0</v>
          </cell>
          <cell r="T2404">
            <v>0</v>
          </cell>
          <cell r="U2404">
            <v>0</v>
          </cell>
          <cell r="V2404">
            <v>0</v>
          </cell>
          <cell r="W2404">
            <v>0</v>
          </cell>
        </row>
        <row r="2405">
          <cell r="A2405" t="str">
            <v>453406</v>
          </cell>
          <cell r="B2405" t="str">
            <v>1251</v>
          </cell>
          <cell r="C2405" t="str">
            <v>12</v>
          </cell>
          <cell r="D2405" t="str">
            <v>34</v>
          </cell>
          <cell r="E2405">
            <v>0</v>
          </cell>
          <cell r="G2405">
            <v>99</v>
          </cell>
          <cell r="H2405">
            <v>26799</v>
          </cell>
          <cell r="I2405">
            <v>0</v>
          </cell>
          <cell r="J2405">
            <v>0</v>
          </cell>
          <cell r="K2405">
            <v>771</v>
          </cell>
          <cell r="L2405">
            <v>0</v>
          </cell>
          <cell r="M2405">
            <v>0</v>
          </cell>
          <cell r="N2405">
            <v>0</v>
          </cell>
          <cell r="O2405">
            <v>27570</v>
          </cell>
          <cell r="P2405">
            <v>6297</v>
          </cell>
          <cell r="Q2405">
            <v>26</v>
          </cell>
          <cell r="R2405">
            <v>0</v>
          </cell>
          <cell r="S2405">
            <v>0</v>
          </cell>
          <cell r="T2405">
            <v>0</v>
          </cell>
          <cell r="U2405">
            <v>0</v>
          </cell>
          <cell r="V2405">
            <v>0</v>
          </cell>
          <cell r="W2405">
            <v>0</v>
          </cell>
        </row>
        <row r="2406">
          <cell r="A2406" t="str">
            <v>453406</v>
          </cell>
          <cell r="B2406" t="str">
            <v>1251</v>
          </cell>
          <cell r="C2406" t="str">
            <v>12</v>
          </cell>
          <cell r="D2406" t="str">
            <v>34</v>
          </cell>
          <cell r="E2406">
            <v>0</v>
          </cell>
          <cell r="G2406">
            <v>101</v>
          </cell>
          <cell r="H2406">
            <v>29928</v>
          </cell>
          <cell r="I2406">
            <v>0</v>
          </cell>
          <cell r="J2406">
            <v>0</v>
          </cell>
          <cell r="K2406">
            <v>849</v>
          </cell>
          <cell r="L2406">
            <v>30</v>
          </cell>
          <cell r="M2406">
            <v>0</v>
          </cell>
          <cell r="N2406">
            <v>0</v>
          </cell>
          <cell r="O2406">
            <v>30807</v>
          </cell>
          <cell r="P2406">
            <v>6336</v>
          </cell>
          <cell r="Q2406">
            <v>26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0</v>
          </cell>
          <cell r="W2406">
            <v>0</v>
          </cell>
        </row>
        <row r="2407">
          <cell r="A2407" t="str">
            <v>453406</v>
          </cell>
          <cell r="B2407" t="str">
            <v>1251</v>
          </cell>
          <cell r="C2407" t="str">
            <v>12</v>
          </cell>
          <cell r="D2407" t="str">
            <v>34</v>
          </cell>
          <cell r="E2407">
            <v>0</v>
          </cell>
          <cell r="G2407">
            <v>102</v>
          </cell>
          <cell r="H2407">
            <v>3200</v>
          </cell>
          <cell r="I2407">
            <v>0</v>
          </cell>
          <cell r="J2407">
            <v>0</v>
          </cell>
          <cell r="K2407">
            <v>1045</v>
          </cell>
          <cell r="L2407">
            <v>0</v>
          </cell>
          <cell r="M2407">
            <v>0</v>
          </cell>
          <cell r="N2407">
            <v>0</v>
          </cell>
          <cell r="O2407">
            <v>4245</v>
          </cell>
          <cell r="P2407">
            <v>630</v>
          </cell>
          <cell r="Q2407">
            <v>2</v>
          </cell>
          <cell r="R2407">
            <v>0</v>
          </cell>
          <cell r="S2407">
            <v>0</v>
          </cell>
          <cell r="T2407">
            <v>0</v>
          </cell>
          <cell r="U2407">
            <v>0</v>
          </cell>
          <cell r="V2407">
            <v>0</v>
          </cell>
          <cell r="W2407">
            <v>0</v>
          </cell>
        </row>
        <row r="2408">
          <cell r="A2408" t="str">
            <v>453406</v>
          </cell>
          <cell r="B2408" t="str">
            <v>1251</v>
          </cell>
          <cell r="C2408" t="str">
            <v>12</v>
          </cell>
          <cell r="D2408" t="str">
            <v>34</v>
          </cell>
          <cell r="E2408">
            <v>0</v>
          </cell>
          <cell r="G2408">
            <v>105</v>
          </cell>
          <cell r="H2408">
            <v>119438</v>
          </cell>
          <cell r="I2408">
            <v>0</v>
          </cell>
          <cell r="J2408">
            <v>0</v>
          </cell>
          <cell r="K2408">
            <v>5231</v>
          </cell>
          <cell r="L2408">
            <v>250</v>
          </cell>
          <cell r="M2408">
            <v>0</v>
          </cell>
          <cell r="N2408">
            <v>0</v>
          </cell>
          <cell r="O2408">
            <v>124919</v>
          </cell>
          <cell r="P2408">
            <v>16946</v>
          </cell>
          <cell r="Q2408">
            <v>110</v>
          </cell>
          <cell r="R2408">
            <v>0</v>
          </cell>
          <cell r="S2408">
            <v>0</v>
          </cell>
          <cell r="T2408">
            <v>0</v>
          </cell>
          <cell r="U2408">
            <v>0</v>
          </cell>
          <cell r="V2408">
            <v>0</v>
          </cell>
          <cell r="W2408">
            <v>0</v>
          </cell>
        </row>
        <row r="2409">
          <cell r="A2409" t="str">
            <v>453406</v>
          </cell>
          <cell r="B2409" t="str">
            <v>1251</v>
          </cell>
          <cell r="C2409" t="str">
            <v>12</v>
          </cell>
          <cell r="D2409" t="str">
            <v>34</v>
          </cell>
          <cell r="E2409">
            <v>0</v>
          </cell>
          <cell r="G2409">
            <v>151</v>
          </cell>
          <cell r="H2409">
            <v>119438</v>
          </cell>
          <cell r="I2409">
            <v>0</v>
          </cell>
          <cell r="J2409">
            <v>0</v>
          </cell>
          <cell r="K2409">
            <v>5231</v>
          </cell>
          <cell r="L2409">
            <v>250</v>
          </cell>
          <cell r="M2409">
            <v>0</v>
          </cell>
          <cell r="N2409">
            <v>0</v>
          </cell>
          <cell r="O2409">
            <v>124919</v>
          </cell>
          <cell r="P2409">
            <v>16946</v>
          </cell>
          <cell r="Q2409">
            <v>110</v>
          </cell>
          <cell r="R2409">
            <v>0</v>
          </cell>
          <cell r="S2409">
            <v>0</v>
          </cell>
          <cell r="T2409">
            <v>0</v>
          </cell>
          <cell r="U2409">
            <v>0</v>
          </cell>
          <cell r="V2409">
            <v>0</v>
          </cell>
          <cell r="W2409">
            <v>0</v>
          </cell>
        </row>
        <row r="2410">
          <cell r="A2410" t="str">
            <v>453406</v>
          </cell>
          <cell r="B2410" t="str">
            <v>1251</v>
          </cell>
          <cell r="C2410" t="str">
            <v>12</v>
          </cell>
          <cell r="D2410" t="str">
            <v>34</v>
          </cell>
          <cell r="E2410">
            <v>0</v>
          </cell>
          <cell r="G2410">
            <v>153</v>
          </cell>
          <cell r="H2410">
            <v>7476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7476</v>
          </cell>
          <cell r="P2410">
            <v>609</v>
          </cell>
          <cell r="Q2410">
            <v>4</v>
          </cell>
          <cell r="R2410">
            <v>0</v>
          </cell>
          <cell r="S2410">
            <v>0</v>
          </cell>
          <cell r="T2410">
            <v>0</v>
          </cell>
          <cell r="U2410">
            <v>0</v>
          </cell>
          <cell r="V2410">
            <v>0</v>
          </cell>
          <cell r="W2410">
            <v>0</v>
          </cell>
        </row>
        <row r="2411">
          <cell r="A2411" t="str">
            <v>453406</v>
          </cell>
          <cell r="B2411" t="str">
            <v>1251</v>
          </cell>
          <cell r="C2411" t="str">
            <v>12</v>
          </cell>
          <cell r="D2411" t="str">
            <v>34</v>
          </cell>
          <cell r="E2411">
            <v>0</v>
          </cell>
          <cell r="G2411">
            <v>157</v>
          </cell>
          <cell r="H2411">
            <v>7476</v>
          </cell>
          <cell r="I2411">
            <v>0</v>
          </cell>
          <cell r="J2411">
            <v>0</v>
          </cell>
          <cell r="K2411">
            <v>0</v>
          </cell>
          <cell r="L2411">
            <v>0</v>
          </cell>
          <cell r="M2411">
            <v>0</v>
          </cell>
          <cell r="N2411">
            <v>0</v>
          </cell>
          <cell r="O2411">
            <v>7476</v>
          </cell>
          <cell r="P2411">
            <v>609</v>
          </cell>
          <cell r="Q2411">
            <v>4</v>
          </cell>
          <cell r="R2411">
            <v>0</v>
          </cell>
          <cell r="S2411">
            <v>0</v>
          </cell>
          <cell r="T2411">
            <v>0</v>
          </cell>
          <cell r="U2411">
            <v>0</v>
          </cell>
          <cell r="V2411">
            <v>0</v>
          </cell>
          <cell r="W2411">
            <v>0</v>
          </cell>
        </row>
        <row r="2412">
          <cell r="A2412" t="str">
            <v>453406</v>
          </cell>
          <cell r="B2412" t="str">
            <v>1251</v>
          </cell>
          <cell r="C2412" t="str">
            <v>12</v>
          </cell>
          <cell r="D2412" t="str">
            <v>34</v>
          </cell>
          <cell r="E2412">
            <v>0</v>
          </cell>
          <cell r="G2412">
            <v>158</v>
          </cell>
          <cell r="H2412">
            <v>126914</v>
          </cell>
          <cell r="I2412">
            <v>0</v>
          </cell>
          <cell r="J2412">
            <v>0</v>
          </cell>
          <cell r="K2412">
            <v>5231</v>
          </cell>
          <cell r="L2412">
            <v>250</v>
          </cell>
          <cell r="M2412">
            <v>0</v>
          </cell>
          <cell r="N2412">
            <v>0</v>
          </cell>
          <cell r="O2412">
            <v>132395</v>
          </cell>
          <cell r="P2412">
            <v>17555</v>
          </cell>
          <cell r="Q2412">
            <v>114</v>
          </cell>
          <cell r="R2412">
            <v>0</v>
          </cell>
          <cell r="S2412">
            <v>0</v>
          </cell>
          <cell r="T2412">
            <v>0</v>
          </cell>
          <cell r="U2412">
            <v>0</v>
          </cell>
          <cell r="V2412">
            <v>0</v>
          </cell>
          <cell r="W2412">
            <v>0</v>
          </cell>
        </row>
        <row r="2413">
          <cell r="A2413" t="str">
            <v>453406</v>
          </cell>
          <cell r="B2413" t="str">
            <v>1251</v>
          </cell>
          <cell r="C2413" t="str">
            <v>12</v>
          </cell>
          <cell r="D2413" t="str">
            <v>35</v>
          </cell>
          <cell r="E2413">
            <v>1</v>
          </cell>
          <cell r="G2413">
            <v>124919</v>
          </cell>
          <cell r="H2413">
            <v>7476</v>
          </cell>
          <cell r="I2413">
            <v>0</v>
          </cell>
          <cell r="J2413">
            <v>0</v>
          </cell>
          <cell r="K2413">
            <v>132395</v>
          </cell>
          <cell r="L2413">
            <v>16946</v>
          </cell>
          <cell r="M2413">
            <v>609</v>
          </cell>
          <cell r="N2413">
            <v>0</v>
          </cell>
          <cell r="O2413">
            <v>0</v>
          </cell>
          <cell r="P2413">
            <v>17555</v>
          </cell>
          <cell r="Q2413">
            <v>0</v>
          </cell>
          <cell r="R2413">
            <v>0</v>
          </cell>
          <cell r="S2413">
            <v>0</v>
          </cell>
          <cell r="T2413">
            <v>0</v>
          </cell>
          <cell r="U2413">
            <v>0</v>
          </cell>
          <cell r="V2413">
            <v>0</v>
          </cell>
          <cell r="W2413">
            <v>0</v>
          </cell>
        </row>
        <row r="2414">
          <cell r="A2414" t="str">
            <v>453406</v>
          </cell>
          <cell r="B2414" t="str">
            <v>1251</v>
          </cell>
          <cell r="C2414" t="str">
            <v>12</v>
          </cell>
          <cell r="D2414" t="str">
            <v>35</v>
          </cell>
          <cell r="E2414">
            <v>4</v>
          </cell>
          <cell r="G2414">
            <v>3441</v>
          </cell>
          <cell r="H2414">
            <v>105</v>
          </cell>
          <cell r="I2414">
            <v>0</v>
          </cell>
          <cell r="J2414">
            <v>0</v>
          </cell>
          <cell r="K2414">
            <v>3546</v>
          </cell>
          <cell r="L2414">
            <v>4762</v>
          </cell>
          <cell r="M2414">
            <v>326</v>
          </cell>
          <cell r="N2414">
            <v>0</v>
          </cell>
          <cell r="O2414">
            <v>0</v>
          </cell>
          <cell r="P2414">
            <v>5088</v>
          </cell>
          <cell r="Q2414">
            <v>0</v>
          </cell>
          <cell r="R2414">
            <v>0</v>
          </cell>
          <cell r="S2414">
            <v>0</v>
          </cell>
          <cell r="T2414">
            <v>0</v>
          </cell>
          <cell r="U2414">
            <v>0</v>
          </cell>
          <cell r="V2414">
            <v>0</v>
          </cell>
          <cell r="W2414">
            <v>0</v>
          </cell>
        </row>
        <row r="2415">
          <cell r="A2415" t="str">
            <v>453406</v>
          </cell>
          <cell r="B2415" t="str">
            <v>1251</v>
          </cell>
          <cell r="C2415" t="str">
            <v>12</v>
          </cell>
          <cell r="D2415" t="str">
            <v>35</v>
          </cell>
          <cell r="E2415">
            <v>7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25149</v>
          </cell>
          <cell r="M2415">
            <v>1040</v>
          </cell>
          <cell r="N2415">
            <v>0</v>
          </cell>
          <cell r="O2415">
            <v>0</v>
          </cell>
          <cell r="P2415">
            <v>26189</v>
          </cell>
          <cell r="Q2415">
            <v>0</v>
          </cell>
          <cell r="R2415">
            <v>0</v>
          </cell>
          <cell r="S2415">
            <v>7945</v>
          </cell>
          <cell r="T2415">
            <v>0</v>
          </cell>
          <cell r="U2415">
            <v>7945</v>
          </cell>
          <cell r="V2415">
            <v>0</v>
          </cell>
          <cell r="W2415">
            <v>0</v>
          </cell>
        </row>
        <row r="2416">
          <cell r="A2416" t="str">
            <v>453406</v>
          </cell>
          <cell r="B2416" t="str">
            <v>1251</v>
          </cell>
          <cell r="C2416" t="str">
            <v>12</v>
          </cell>
          <cell r="D2416" t="str">
            <v>35</v>
          </cell>
          <cell r="E2416">
            <v>10</v>
          </cell>
          <cell r="G2416">
            <v>150068</v>
          </cell>
          <cell r="H2416">
            <v>8516</v>
          </cell>
          <cell r="I2416">
            <v>7945</v>
          </cell>
          <cell r="J2416">
            <v>0</v>
          </cell>
          <cell r="K2416">
            <v>166529</v>
          </cell>
          <cell r="L2416">
            <v>106</v>
          </cell>
          <cell r="M2416">
            <v>14</v>
          </cell>
          <cell r="N2416">
            <v>0</v>
          </cell>
          <cell r="O2416">
            <v>0</v>
          </cell>
          <cell r="P2416">
            <v>120</v>
          </cell>
          <cell r="Q2416">
            <v>119</v>
          </cell>
          <cell r="R2416">
            <v>11</v>
          </cell>
          <cell r="S2416">
            <v>0</v>
          </cell>
          <cell r="T2416">
            <v>0</v>
          </cell>
          <cell r="U2416">
            <v>130</v>
          </cell>
          <cell r="V2416">
            <v>0</v>
          </cell>
          <cell r="W2416">
            <v>0</v>
          </cell>
        </row>
        <row r="2417">
          <cell r="A2417" t="str">
            <v>453406</v>
          </cell>
          <cell r="B2417" t="str">
            <v>1251</v>
          </cell>
          <cell r="C2417" t="str">
            <v>12</v>
          </cell>
          <cell r="D2417" t="str">
            <v>35</v>
          </cell>
          <cell r="E2417">
            <v>13</v>
          </cell>
          <cell r="G2417">
            <v>114</v>
          </cell>
          <cell r="H2417">
            <v>8</v>
          </cell>
          <cell r="I2417">
            <v>8</v>
          </cell>
          <cell r="J2417">
            <v>0</v>
          </cell>
          <cell r="K2417">
            <v>130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0</v>
          </cell>
          <cell r="Q2417">
            <v>0</v>
          </cell>
          <cell r="R2417">
            <v>0</v>
          </cell>
          <cell r="S2417">
            <v>0</v>
          </cell>
          <cell r="T2417">
            <v>0</v>
          </cell>
          <cell r="U2417">
            <v>0</v>
          </cell>
          <cell r="V2417">
            <v>0</v>
          </cell>
          <cell r="W2417">
            <v>0</v>
          </cell>
        </row>
        <row r="2418">
          <cell r="A2418" t="str">
            <v>453406</v>
          </cell>
          <cell r="B2418" t="str">
            <v>1251</v>
          </cell>
          <cell r="C2418" t="str">
            <v>12</v>
          </cell>
          <cell r="D2418" t="str">
            <v>35</v>
          </cell>
          <cell r="E2418">
            <v>16</v>
          </cell>
          <cell r="G2418">
            <v>0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0</v>
          </cell>
          <cell r="Q2418">
            <v>110</v>
          </cell>
          <cell r="R2418">
            <v>4</v>
          </cell>
          <cell r="S2418">
            <v>3</v>
          </cell>
          <cell r="T2418">
            <v>0</v>
          </cell>
          <cell r="U2418">
            <v>117</v>
          </cell>
          <cell r="V2418">
            <v>0</v>
          </cell>
          <cell r="W2418">
            <v>0</v>
          </cell>
        </row>
        <row r="2419">
          <cell r="A2419" t="str">
            <v>453406</v>
          </cell>
          <cell r="B2419" t="str">
            <v>1251</v>
          </cell>
          <cell r="C2419" t="str">
            <v>12</v>
          </cell>
          <cell r="D2419" t="str">
            <v>35</v>
          </cell>
          <cell r="E2419">
            <v>19</v>
          </cell>
          <cell r="G2419">
            <v>0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0</v>
          </cell>
          <cell r="Q2419">
            <v>0</v>
          </cell>
          <cell r="R2419">
            <v>0</v>
          </cell>
          <cell r="S2419">
            <v>0</v>
          </cell>
          <cell r="T2419">
            <v>0</v>
          </cell>
          <cell r="U2419">
            <v>0</v>
          </cell>
          <cell r="V2419">
            <v>0</v>
          </cell>
          <cell r="W2419">
            <v>0</v>
          </cell>
        </row>
        <row r="2420">
          <cell r="A2420" t="str">
            <v>453406</v>
          </cell>
          <cell r="B2420" t="str">
            <v>1251</v>
          </cell>
          <cell r="C2420" t="str">
            <v>12</v>
          </cell>
          <cell r="D2420" t="str">
            <v>37</v>
          </cell>
          <cell r="E2420">
            <v>0</v>
          </cell>
          <cell r="G2420">
            <v>55232301</v>
          </cell>
          <cell r="H2420">
            <v>0</v>
          </cell>
          <cell r="I2420">
            <v>-1210</v>
          </cell>
          <cell r="J2420">
            <v>1131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0</v>
          </cell>
          <cell r="Q2420">
            <v>0</v>
          </cell>
          <cell r="R2420">
            <v>0</v>
          </cell>
          <cell r="S2420">
            <v>0</v>
          </cell>
          <cell r="T2420">
            <v>0</v>
          </cell>
          <cell r="U2420">
            <v>0</v>
          </cell>
          <cell r="V2420">
            <v>0</v>
          </cell>
          <cell r="W2420">
            <v>0</v>
          </cell>
        </row>
        <row r="2421">
          <cell r="A2421" t="str">
            <v>453406</v>
          </cell>
          <cell r="B2421" t="str">
            <v>1251</v>
          </cell>
          <cell r="C2421" t="str">
            <v>12</v>
          </cell>
          <cell r="D2421" t="str">
            <v>37</v>
          </cell>
          <cell r="E2421">
            <v>0</v>
          </cell>
          <cell r="G2421">
            <v>55232302</v>
          </cell>
          <cell r="H2421">
            <v>0</v>
          </cell>
          <cell r="I2421">
            <v>0</v>
          </cell>
          <cell r="J2421">
            <v>138008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  <cell r="U2421">
            <v>0</v>
          </cell>
          <cell r="V2421">
            <v>0</v>
          </cell>
          <cell r="W2421">
            <v>0</v>
          </cell>
        </row>
        <row r="2422">
          <cell r="A2422" t="str">
            <v>453406</v>
          </cell>
          <cell r="B2422" t="str">
            <v>1251</v>
          </cell>
          <cell r="C2422" t="str">
            <v>12</v>
          </cell>
          <cell r="D2422" t="str">
            <v>37</v>
          </cell>
          <cell r="E2422">
            <v>0</v>
          </cell>
          <cell r="G2422">
            <v>75176801</v>
          </cell>
          <cell r="H2422">
            <v>0</v>
          </cell>
          <cell r="I2422">
            <v>-869</v>
          </cell>
          <cell r="J2422">
            <v>579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0</v>
          </cell>
          <cell r="Q2422">
            <v>0</v>
          </cell>
          <cell r="R2422">
            <v>0</v>
          </cell>
          <cell r="S2422">
            <v>0</v>
          </cell>
          <cell r="T2422">
            <v>0</v>
          </cell>
          <cell r="U2422">
            <v>0</v>
          </cell>
          <cell r="V2422">
            <v>0</v>
          </cell>
          <cell r="W2422">
            <v>0</v>
          </cell>
        </row>
        <row r="2423">
          <cell r="A2423" t="str">
            <v>453406</v>
          </cell>
          <cell r="B2423" t="str">
            <v>1251</v>
          </cell>
          <cell r="C2423" t="str">
            <v>12</v>
          </cell>
          <cell r="D2423" t="str">
            <v>37</v>
          </cell>
          <cell r="E2423">
            <v>0</v>
          </cell>
          <cell r="G2423">
            <v>80214401</v>
          </cell>
          <cell r="H2423">
            <v>0</v>
          </cell>
          <cell r="I2423">
            <v>-40</v>
          </cell>
          <cell r="J2423">
            <v>26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0</v>
          </cell>
          <cell r="Q2423">
            <v>0</v>
          </cell>
          <cell r="R2423">
            <v>0</v>
          </cell>
          <cell r="S2423">
            <v>0</v>
          </cell>
          <cell r="T2423">
            <v>0</v>
          </cell>
          <cell r="U2423">
            <v>0</v>
          </cell>
          <cell r="V2423">
            <v>0</v>
          </cell>
          <cell r="W2423">
            <v>0</v>
          </cell>
        </row>
        <row r="2424">
          <cell r="A2424" t="str">
            <v>453406</v>
          </cell>
          <cell r="B2424" t="str">
            <v>1251</v>
          </cell>
          <cell r="C2424" t="str">
            <v>12</v>
          </cell>
          <cell r="D2424" t="str">
            <v>37</v>
          </cell>
          <cell r="E2424">
            <v>0</v>
          </cell>
          <cell r="G2424">
            <v>80214402</v>
          </cell>
          <cell r="H2424">
            <v>0</v>
          </cell>
          <cell r="I2424">
            <v>0</v>
          </cell>
          <cell r="J2424">
            <v>1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0</v>
          </cell>
          <cell r="Q2424">
            <v>0</v>
          </cell>
          <cell r="R2424">
            <v>0</v>
          </cell>
          <cell r="S2424">
            <v>0</v>
          </cell>
          <cell r="T2424">
            <v>0</v>
          </cell>
          <cell r="U2424">
            <v>0</v>
          </cell>
          <cell r="V2424">
            <v>0</v>
          </cell>
          <cell r="W2424">
            <v>0</v>
          </cell>
        </row>
        <row r="2425">
          <cell r="A2425" t="str">
            <v>453406</v>
          </cell>
          <cell r="B2425" t="str">
            <v>1251</v>
          </cell>
          <cell r="C2425" t="str">
            <v>12</v>
          </cell>
          <cell r="D2425" t="str">
            <v>37</v>
          </cell>
          <cell r="E2425">
            <v>0</v>
          </cell>
          <cell r="G2425">
            <v>80217701</v>
          </cell>
          <cell r="H2425">
            <v>0</v>
          </cell>
          <cell r="I2425">
            <v>-403</v>
          </cell>
          <cell r="J2425">
            <v>269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  <cell r="P2425">
            <v>0</v>
          </cell>
          <cell r="Q2425">
            <v>0</v>
          </cell>
          <cell r="R2425">
            <v>0</v>
          </cell>
          <cell r="S2425">
            <v>0</v>
          </cell>
          <cell r="T2425">
            <v>0</v>
          </cell>
          <cell r="U2425">
            <v>0</v>
          </cell>
          <cell r="V2425">
            <v>0</v>
          </cell>
          <cell r="W2425">
            <v>0</v>
          </cell>
        </row>
        <row r="2426">
          <cell r="A2426" t="str">
            <v>453406</v>
          </cell>
          <cell r="B2426" t="str">
            <v>1251</v>
          </cell>
          <cell r="C2426" t="str">
            <v>12</v>
          </cell>
          <cell r="D2426" t="str">
            <v>37</v>
          </cell>
          <cell r="E2426">
            <v>0</v>
          </cell>
          <cell r="G2426">
            <v>80217702</v>
          </cell>
          <cell r="H2426">
            <v>0</v>
          </cell>
          <cell r="I2426">
            <v>0</v>
          </cell>
          <cell r="J2426">
            <v>9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P2426">
            <v>0</v>
          </cell>
          <cell r="Q2426">
            <v>0</v>
          </cell>
          <cell r="R2426">
            <v>0</v>
          </cell>
          <cell r="S2426">
            <v>0</v>
          </cell>
          <cell r="T2426">
            <v>0</v>
          </cell>
          <cell r="U2426">
            <v>0</v>
          </cell>
          <cell r="V2426">
            <v>0</v>
          </cell>
          <cell r="W2426">
            <v>0</v>
          </cell>
        </row>
        <row r="2427">
          <cell r="A2427" t="str">
            <v>453406</v>
          </cell>
          <cell r="B2427" t="str">
            <v>1251</v>
          </cell>
          <cell r="C2427" t="str">
            <v>12</v>
          </cell>
          <cell r="D2427" t="str">
            <v>37</v>
          </cell>
          <cell r="E2427">
            <v>0</v>
          </cell>
          <cell r="G2427">
            <v>80221401</v>
          </cell>
          <cell r="H2427">
            <v>0</v>
          </cell>
          <cell r="I2427">
            <v>-166</v>
          </cell>
          <cell r="J2427">
            <v>111</v>
          </cell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P2427">
            <v>0</v>
          </cell>
          <cell r="Q2427">
            <v>0</v>
          </cell>
          <cell r="R2427">
            <v>0</v>
          </cell>
          <cell r="S2427">
            <v>0</v>
          </cell>
          <cell r="T2427">
            <v>0</v>
          </cell>
          <cell r="U2427">
            <v>0</v>
          </cell>
          <cell r="V2427">
            <v>0</v>
          </cell>
          <cell r="W2427">
            <v>0</v>
          </cell>
        </row>
        <row r="2428">
          <cell r="A2428" t="str">
            <v>453406</v>
          </cell>
          <cell r="B2428" t="str">
            <v>1251</v>
          </cell>
          <cell r="C2428" t="str">
            <v>12</v>
          </cell>
          <cell r="D2428" t="str">
            <v>37</v>
          </cell>
          <cell r="E2428">
            <v>0</v>
          </cell>
          <cell r="G2428">
            <v>80221402</v>
          </cell>
          <cell r="H2428">
            <v>0</v>
          </cell>
          <cell r="I2428">
            <v>0</v>
          </cell>
          <cell r="J2428">
            <v>4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P2428">
            <v>0</v>
          </cell>
          <cell r="Q2428">
            <v>0</v>
          </cell>
          <cell r="R2428">
            <v>0</v>
          </cell>
          <cell r="S2428">
            <v>0</v>
          </cell>
          <cell r="T2428">
            <v>0</v>
          </cell>
          <cell r="U2428">
            <v>0</v>
          </cell>
          <cell r="V2428">
            <v>0</v>
          </cell>
          <cell r="W2428">
            <v>0</v>
          </cell>
        </row>
        <row r="2429">
          <cell r="A2429" t="str">
            <v>453406</v>
          </cell>
          <cell r="B2429" t="str">
            <v>1251</v>
          </cell>
          <cell r="C2429" t="str">
            <v>12</v>
          </cell>
          <cell r="D2429" t="str">
            <v>37</v>
          </cell>
          <cell r="E2429">
            <v>0</v>
          </cell>
          <cell r="G2429">
            <v>80224101</v>
          </cell>
          <cell r="H2429">
            <v>0</v>
          </cell>
          <cell r="I2429">
            <v>-260</v>
          </cell>
          <cell r="J2429">
            <v>173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0</v>
          </cell>
          <cell r="Q2429">
            <v>0</v>
          </cell>
          <cell r="R2429">
            <v>0</v>
          </cell>
          <cell r="S2429">
            <v>0</v>
          </cell>
          <cell r="T2429">
            <v>0</v>
          </cell>
          <cell r="U2429">
            <v>0</v>
          </cell>
          <cell r="V2429">
            <v>0</v>
          </cell>
          <cell r="W2429">
            <v>0</v>
          </cell>
        </row>
        <row r="2430">
          <cell r="A2430" t="str">
            <v>453406</v>
          </cell>
          <cell r="B2430" t="str">
            <v>1251</v>
          </cell>
          <cell r="C2430" t="str">
            <v>12</v>
          </cell>
          <cell r="D2430" t="str">
            <v>37</v>
          </cell>
          <cell r="E2430">
            <v>0</v>
          </cell>
          <cell r="G2430">
            <v>80224102</v>
          </cell>
          <cell r="H2430">
            <v>0</v>
          </cell>
          <cell r="I2430">
            <v>0</v>
          </cell>
          <cell r="J2430">
            <v>9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  <cell r="P2430">
            <v>0</v>
          </cell>
          <cell r="Q2430">
            <v>0</v>
          </cell>
          <cell r="R2430">
            <v>0</v>
          </cell>
          <cell r="S2430">
            <v>0</v>
          </cell>
          <cell r="T2430">
            <v>0</v>
          </cell>
          <cell r="U2430">
            <v>0</v>
          </cell>
          <cell r="V2430">
            <v>0</v>
          </cell>
          <cell r="W2430">
            <v>0</v>
          </cell>
        </row>
        <row r="2431">
          <cell r="A2431" t="str">
            <v>453406</v>
          </cell>
          <cell r="B2431" t="str">
            <v>1251</v>
          </cell>
          <cell r="C2431" t="str">
            <v>12</v>
          </cell>
          <cell r="D2431" t="str">
            <v>37</v>
          </cell>
          <cell r="E2431">
            <v>0</v>
          </cell>
          <cell r="G2431">
            <v>99999901</v>
          </cell>
          <cell r="H2431">
            <v>0</v>
          </cell>
          <cell r="I2431">
            <v>-2948</v>
          </cell>
          <cell r="J2431">
            <v>2289</v>
          </cell>
          <cell r="K2431">
            <v>0</v>
          </cell>
          <cell r="L2431">
            <v>0</v>
          </cell>
          <cell r="M2431">
            <v>0</v>
          </cell>
          <cell r="N2431">
            <v>0</v>
          </cell>
          <cell r="O2431">
            <v>0</v>
          </cell>
          <cell r="P2431">
            <v>0</v>
          </cell>
          <cell r="Q2431">
            <v>0</v>
          </cell>
          <cell r="R2431">
            <v>0</v>
          </cell>
          <cell r="S2431">
            <v>0</v>
          </cell>
          <cell r="T2431">
            <v>0</v>
          </cell>
          <cell r="U2431">
            <v>0</v>
          </cell>
          <cell r="V2431">
            <v>0</v>
          </cell>
          <cell r="W2431">
            <v>0</v>
          </cell>
        </row>
        <row r="2432">
          <cell r="A2432" t="str">
            <v>453406</v>
          </cell>
          <cell r="B2432" t="str">
            <v>1251</v>
          </cell>
          <cell r="C2432" t="str">
            <v>12</v>
          </cell>
          <cell r="D2432" t="str">
            <v>37</v>
          </cell>
          <cell r="E2432">
            <v>0</v>
          </cell>
          <cell r="G2432">
            <v>99999902</v>
          </cell>
          <cell r="H2432">
            <v>0</v>
          </cell>
          <cell r="I2432">
            <v>0</v>
          </cell>
          <cell r="J2432">
            <v>138031</v>
          </cell>
          <cell r="K2432">
            <v>0</v>
          </cell>
          <cell r="L2432">
            <v>0</v>
          </cell>
          <cell r="M2432">
            <v>0</v>
          </cell>
          <cell r="N2432">
            <v>0</v>
          </cell>
          <cell r="O2432">
            <v>0</v>
          </cell>
          <cell r="P2432">
            <v>0</v>
          </cell>
          <cell r="Q2432">
            <v>0</v>
          </cell>
          <cell r="R2432">
            <v>0</v>
          </cell>
          <cell r="S2432">
            <v>0</v>
          </cell>
          <cell r="T2432">
            <v>0</v>
          </cell>
          <cell r="U2432">
            <v>0</v>
          </cell>
          <cell r="V2432">
            <v>0</v>
          </cell>
          <cell r="W2432">
            <v>0</v>
          </cell>
        </row>
        <row r="2433">
          <cell r="A2433" t="str">
            <v>453406</v>
          </cell>
          <cell r="B2433" t="str">
            <v>1251</v>
          </cell>
          <cell r="C2433" t="str">
            <v>12</v>
          </cell>
          <cell r="D2433" t="str">
            <v>38</v>
          </cell>
          <cell r="E2433">
            <v>1</v>
          </cell>
          <cell r="G2433">
            <v>2900</v>
          </cell>
          <cell r="H2433">
            <v>156895</v>
          </cell>
          <cell r="I2433">
            <v>116603</v>
          </cell>
          <cell r="J2433">
            <v>3501</v>
          </cell>
          <cell r="K2433">
            <v>0</v>
          </cell>
          <cell r="L2433">
            <v>0</v>
          </cell>
          <cell r="M2433">
            <v>0</v>
          </cell>
          <cell r="N2433">
            <v>279899</v>
          </cell>
          <cell r="O2433">
            <v>0</v>
          </cell>
          <cell r="P2433">
            <v>0</v>
          </cell>
          <cell r="Q2433">
            <v>0</v>
          </cell>
          <cell r="R2433">
            <v>0</v>
          </cell>
          <cell r="S2433">
            <v>0</v>
          </cell>
          <cell r="T2433">
            <v>0</v>
          </cell>
          <cell r="U2433">
            <v>0</v>
          </cell>
          <cell r="V2433">
            <v>0</v>
          </cell>
          <cell r="W2433">
            <v>0</v>
          </cell>
        </row>
        <row r="2434">
          <cell r="A2434" t="str">
            <v>453406</v>
          </cell>
          <cell r="B2434" t="str">
            <v>1251</v>
          </cell>
          <cell r="C2434" t="str">
            <v>12</v>
          </cell>
          <cell r="D2434" t="str">
            <v>38</v>
          </cell>
          <cell r="E2434">
            <v>2</v>
          </cell>
          <cell r="G2434">
            <v>0</v>
          </cell>
          <cell r="H2434">
            <v>718</v>
          </cell>
          <cell r="I2434">
            <v>164</v>
          </cell>
          <cell r="J2434">
            <v>5254</v>
          </cell>
          <cell r="K2434">
            <v>0</v>
          </cell>
          <cell r="L2434">
            <v>0</v>
          </cell>
          <cell r="M2434">
            <v>0</v>
          </cell>
          <cell r="N2434">
            <v>6136</v>
          </cell>
          <cell r="O2434">
            <v>0</v>
          </cell>
          <cell r="P2434">
            <v>0</v>
          </cell>
          <cell r="Q2434">
            <v>0</v>
          </cell>
          <cell r="R2434">
            <v>0</v>
          </cell>
          <cell r="S2434">
            <v>0</v>
          </cell>
          <cell r="T2434">
            <v>0</v>
          </cell>
          <cell r="U2434">
            <v>0</v>
          </cell>
          <cell r="V2434">
            <v>0</v>
          </cell>
          <cell r="W2434">
            <v>0</v>
          </cell>
        </row>
        <row r="2435">
          <cell r="A2435" t="str">
            <v>453406</v>
          </cell>
          <cell r="B2435" t="str">
            <v>1251</v>
          </cell>
          <cell r="C2435" t="str">
            <v>12</v>
          </cell>
          <cell r="D2435" t="str">
            <v>38</v>
          </cell>
          <cell r="E2435">
            <v>3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L2435">
            <v>0</v>
          </cell>
          <cell r="M2435">
            <v>0</v>
          </cell>
          <cell r="N2435">
            <v>0</v>
          </cell>
          <cell r="O2435">
            <v>0</v>
          </cell>
          <cell r="P2435">
            <v>0</v>
          </cell>
          <cell r="Q2435">
            <v>0</v>
          </cell>
          <cell r="R2435">
            <v>0</v>
          </cell>
          <cell r="S2435">
            <v>0</v>
          </cell>
          <cell r="T2435">
            <v>0</v>
          </cell>
          <cell r="U2435">
            <v>0</v>
          </cell>
          <cell r="V2435">
            <v>0</v>
          </cell>
          <cell r="W2435">
            <v>0</v>
          </cell>
        </row>
        <row r="2436">
          <cell r="A2436" t="str">
            <v>453406</v>
          </cell>
          <cell r="B2436" t="str">
            <v>1251</v>
          </cell>
          <cell r="C2436" t="str">
            <v>12</v>
          </cell>
          <cell r="D2436" t="str">
            <v>38</v>
          </cell>
          <cell r="E2436">
            <v>4</v>
          </cell>
          <cell r="G2436">
            <v>0</v>
          </cell>
          <cell r="H2436">
            <v>179</v>
          </cell>
          <cell r="I2436">
            <v>37</v>
          </cell>
          <cell r="J2436">
            <v>1045</v>
          </cell>
          <cell r="K2436">
            <v>0</v>
          </cell>
          <cell r="L2436">
            <v>0</v>
          </cell>
          <cell r="M2436">
            <v>0</v>
          </cell>
          <cell r="N2436">
            <v>1261</v>
          </cell>
          <cell r="O2436">
            <v>0</v>
          </cell>
          <cell r="P2436">
            <v>0</v>
          </cell>
          <cell r="Q2436">
            <v>0</v>
          </cell>
          <cell r="R2436">
            <v>0</v>
          </cell>
          <cell r="S2436">
            <v>0</v>
          </cell>
          <cell r="T2436">
            <v>0</v>
          </cell>
          <cell r="U2436">
            <v>0</v>
          </cell>
          <cell r="V2436">
            <v>0</v>
          </cell>
          <cell r="W2436">
            <v>0</v>
          </cell>
        </row>
        <row r="2437">
          <cell r="A2437" t="str">
            <v>453406</v>
          </cell>
          <cell r="B2437" t="str">
            <v>1251</v>
          </cell>
          <cell r="C2437" t="str">
            <v>12</v>
          </cell>
          <cell r="D2437" t="str">
            <v>38</v>
          </cell>
          <cell r="E2437">
            <v>5</v>
          </cell>
          <cell r="G2437">
            <v>0</v>
          </cell>
          <cell r="H2437">
            <v>897</v>
          </cell>
          <cell r="I2437">
            <v>201</v>
          </cell>
          <cell r="J2437">
            <v>6299</v>
          </cell>
          <cell r="K2437">
            <v>0</v>
          </cell>
          <cell r="L2437">
            <v>0</v>
          </cell>
          <cell r="M2437">
            <v>0</v>
          </cell>
          <cell r="N2437">
            <v>7397</v>
          </cell>
          <cell r="O2437">
            <v>0</v>
          </cell>
          <cell r="P2437">
            <v>0</v>
          </cell>
          <cell r="Q2437">
            <v>0</v>
          </cell>
          <cell r="R2437">
            <v>0</v>
          </cell>
          <cell r="S2437">
            <v>0</v>
          </cell>
          <cell r="T2437">
            <v>0</v>
          </cell>
          <cell r="U2437">
            <v>0</v>
          </cell>
          <cell r="V2437">
            <v>0</v>
          </cell>
          <cell r="W2437">
            <v>0</v>
          </cell>
        </row>
        <row r="2438">
          <cell r="A2438" t="str">
            <v>453406</v>
          </cell>
          <cell r="B2438" t="str">
            <v>1251</v>
          </cell>
          <cell r="C2438" t="str">
            <v>12</v>
          </cell>
          <cell r="D2438" t="str">
            <v>38</v>
          </cell>
          <cell r="E2438">
            <v>6</v>
          </cell>
          <cell r="G2438">
            <v>0</v>
          </cell>
          <cell r="H2438">
            <v>0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P2438">
            <v>0</v>
          </cell>
          <cell r="Q2438">
            <v>0</v>
          </cell>
          <cell r="R2438">
            <v>0</v>
          </cell>
          <cell r="S2438">
            <v>0</v>
          </cell>
          <cell r="T2438">
            <v>0</v>
          </cell>
          <cell r="U2438">
            <v>0</v>
          </cell>
          <cell r="V2438">
            <v>0</v>
          </cell>
          <cell r="W2438">
            <v>0</v>
          </cell>
        </row>
        <row r="2439">
          <cell r="A2439" t="str">
            <v>453406</v>
          </cell>
          <cell r="B2439" t="str">
            <v>1251</v>
          </cell>
          <cell r="C2439" t="str">
            <v>12</v>
          </cell>
          <cell r="D2439" t="str">
            <v>38</v>
          </cell>
          <cell r="E2439">
            <v>7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P2439">
            <v>0</v>
          </cell>
          <cell r="Q2439">
            <v>0</v>
          </cell>
          <cell r="R2439">
            <v>0</v>
          </cell>
          <cell r="S2439">
            <v>0</v>
          </cell>
          <cell r="T2439">
            <v>0</v>
          </cell>
          <cell r="U2439">
            <v>0</v>
          </cell>
          <cell r="V2439">
            <v>0</v>
          </cell>
          <cell r="W2439">
            <v>0</v>
          </cell>
        </row>
        <row r="2440">
          <cell r="A2440" t="str">
            <v>453406</v>
          </cell>
          <cell r="B2440" t="str">
            <v>1251</v>
          </cell>
          <cell r="C2440" t="str">
            <v>12</v>
          </cell>
          <cell r="D2440" t="str">
            <v>38</v>
          </cell>
          <cell r="E2440">
            <v>8</v>
          </cell>
          <cell r="G2440">
            <v>0</v>
          </cell>
          <cell r="H2440">
            <v>0</v>
          </cell>
          <cell r="I2440">
            <v>1650</v>
          </cell>
          <cell r="J2440">
            <v>0</v>
          </cell>
          <cell r="K2440">
            <v>0</v>
          </cell>
          <cell r="L2440">
            <v>0</v>
          </cell>
          <cell r="M2440">
            <v>0</v>
          </cell>
          <cell r="N2440">
            <v>1650</v>
          </cell>
          <cell r="O2440">
            <v>0</v>
          </cell>
          <cell r="P2440">
            <v>0</v>
          </cell>
          <cell r="Q2440">
            <v>0</v>
          </cell>
          <cell r="R2440">
            <v>0</v>
          </cell>
          <cell r="S2440">
            <v>0</v>
          </cell>
          <cell r="T2440">
            <v>0</v>
          </cell>
          <cell r="U2440">
            <v>0</v>
          </cell>
          <cell r="V2440">
            <v>0</v>
          </cell>
          <cell r="W2440">
            <v>0</v>
          </cell>
        </row>
        <row r="2441">
          <cell r="A2441" t="str">
            <v>453406</v>
          </cell>
          <cell r="B2441" t="str">
            <v>1251</v>
          </cell>
          <cell r="C2441" t="str">
            <v>12</v>
          </cell>
          <cell r="D2441" t="str">
            <v>38</v>
          </cell>
          <cell r="E2441">
            <v>9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0</v>
          </cell>
          <cell r="Q2441">
            <v>0</v>
          </cell>
          <cell r="R2441">
            <v>0</v>
          </cell>
          <cell r="S2441">
            <v>0</v>
          </cell>
          <cell r="T2441">
            <v>0</v>
          </cell>
          <cell r="U2441">
            <v>0</v>
          </cell>
          <cell r="V2441">
            <v>0</v>
          </cell>
          <cell r="W2441">
            <v>0</v>
          </cell>
        </row>
        <row r="2442">
          <cell r="A2442" t="str">
            <v>453406</v>
          </cell>
          <cell r="B2442" t="str">
            <v>1251</v>
          </cell>
          <cell r="C2442" t="str">
            <v>12</v>
          </cell>
          <cell r="D2442" t="str">
            <v>38</v>
          </cell>
          <cell r="E2442">
            <v>10</v>
          </cell>
          <cell r="G2442">
            <v>0</v>
          </cell>
          <cell r="H2442">
            <v>0</v>
          </cell>
          <cell r="I2442">
            <v>1650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1650</v>
          </cell>
          <cell r="O2442">
            <v>0</v>
          </cell>
          <cell r="P2442">
            <v>0</v>
          </cell>
          <cell r="Q2442">
            <v>0</v>
          </cell>
          <cell r="R2442">
            <v>0</v>
          </cell>
          <cell r="S2442">
            <v>0</v>
          </cell>
          <cell r="T2442">
            <v>0</v>
          </cell>
          <cell r="U2442">
            <v>0</v>
          </cell>
          <cell r="V2442">
            <v>0</v>
          </cell>
          <cell r="W2442">
            <v>0</v>
          </cell>
        </row>
        <row r="2443">
          <cell r="A2443" t="str">
            <v>453406</v>
          </cell>
          <cell r="B2443" t="str">
            <v>1251</v>
          </cell>
          <cell r="C2443" t="str">
            <v>12</v>
          </cell>
          <cell r="D2443" t="str">
            <v>38</v>
          </cell>
          <cell r="E2443">
            <v>11</v>
          </cell>
          <cell r="G2443">
            <v>0</v>
          </cell>
          <cell r="H2443">
            <v>897</v>
          </cell>
          <cell r="I2443">
            <v>1851</v>
          </cell>
          <cell r="J2443">
            <v>6299</v>
          </cell>
          <cell r="K2443">
            <v>0</v>
          </cell>
          <cell r="L2443">
            <v>0</v>
          </cell>
          <cell r="M2443">
            <v>0</v>
          </cell>
          <cell r="N2443">
            <v>9047</v>
          </cell>
          <cell r="O2443">
            <v>0</v>
          </cell>
          <cell r="P2443">
            <v>0</v>
          </cell>
          <cell r="Q2443">
            <v>0</v>
          </cell>
          <cell r="R2443">
            <v>0</v>
          </cell>
          <cell r="S2443">
            <v>0</v>
          </cell>
          <cell r="T2443">
            <v>0</v>
          </cell>
          <cell r="U2443">
            <v>0</v>
          </cell>
          <cell r="V2443">
            <v>0</v>
          </cell>
          <cell r="W2443">
            <v>0</v>
          </cell>
        </row>
        <row r="2444">
          <cell r="A2444" t="str">
            <v>453406</v>
          </cell>
          <cell r="B2444" t="str">
            <v>1251</v>
          </cell>
          <cell r="C2444" t="str">
            <v>12</v>
          </cell>
          <cell r="D2444" t="str">
            <v>38</v>
          </cell>
          <cell r="E2444">
            <v>12</v>
          </cell>
          <cell r="G2444">
            <v>0</v>
          </cell>
          <cell r="H2444">
            <v>1400</v>
          </cell>
          <cell r="I2444">
            <v>184</v>
          </cell>
          <cell r="J2444">
            <v>3501</v>
          </cell>
          <cell r="K2444">
            <v>0</v>
          </cell>
          <cell r="L2444">
            <v>0</v>
          </cell>
          <cell r="M2444">
            <v>0</v>
          </cell>
          <cell r="N2444">
            <v>5085</v>
          </cell>
          <cell r="O2444">
            <v>0</v>
          </cell>
          <cell r="P2444">
            <v>0</v>
          </cell>
          <cell r="Q2444">
            <v>0</v>
          </cell>
          <cell r="R2444">
            <v>0</v>
          </cell>
          <cell r="S2444">
            <v>0</v>
          </cell>
          <cell r="T2444">
            <v>0</v>
          </cell>
          <cell r="U2444">
            <v>0</v>
          </cell>
          <cell r="V2444">
            <v>0</v>
          </cell>
          <cell r="W2444">
            <v>0</v>
          </cell>
        </row>
        <row r="2445">
          <cell r="A2445" t="str">
            <v>453406</v>
          </cell>
          <cell r="B2445" t="str">
            <v>1251</v>
          </cell>
          <cell r="C2445" t="str">
            <v>12</v>
          </cell>
          <cell r="D2445" t="str">
            <v>38</v>
          </cell>
          <cell r="E2445">
            <v>13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0</v>
          </cell>
          <cell r="Q2445">
            <v>0</v>
          </cell>
          <cell r="R2445">
            <v>0</v>
          </cell>
          <cell r="S2445">
            <v>0</v>
          </cell>
          <cell r="T2445">
            <v>0</v>
          </cell>
          <cell r="U2445">
            <v>0</v>
          </cell>
          <cell r="V2445">
            <v>0</v>
          </cell>
          <cell r="W2445">
            <v>0</v>
          </cell>
        </row>
        <row r="2446">
          <cell r="A2446" t="str">
            <v>453406</v>
          </cell>
          <cell r="B2446" t="str">
            <v>1251</v>
          </cell>
          <cell r="C2446" t="str">
            <v>12</v>
          </cell>
          <cell r="D2446" t="str">
            <v>38</v>
          </cell>
          <cell r="E2446">
            <v>14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  <cell r="S2446">
            <v>0</v>
          </cell>
          <cell r="T2446">
            <v>0</v>
          </cell>
          <cell r="U2446">
            <v>0</v>
          </cell>
          <cell r="V2446">
            <v>0</v>
          </cell>
          <cell r="W2446">
            <v>0</v>
          </cell>
        </row>
        <row r="2447">
          <cell r="A2447" t="str">
            <v>453406</v>
          </cell>
          <cell r="B2447" t="str">
            <v>1251</v>
          </cell>
          <cell r="C2447" t="str">
            <v>12</v>
          </cell>
          <cell r="D2447" t="str">
            <v>38</v>
          </cell>
          <cell r="E2447">
            <v>15</v>
          </cell>
          <cell r="G2447">
            <v>0</v>
          </cell>
          <cell r="H2447">
            <v>0</v>
          </cell>
          <cell r="I2447">
            <v>3641</v>
          </cell>
          <cell r="J2447">
            <v>0</v>
          </cell>
          <cell r="K2447">
            <v>0</v>
          </cell>
          <cell r="L2447">
            <v>0</v>
          </cell>
          <cell r="M2447">
            <v>0</v>
          </cell>
          <cell r="N2447">
            <v>3641</v>
          </cell>
          <cell r="O2447">
            <v>0</v>
          </cell>
          <cell r="P2447">
            <v>0</v>
          </cell>
          <cell r="Q2447">
            <v>0</v>
          </cell>
          <cell r="R2447">
            <v>0</v>
          </cell>
          <cell r="S2447">
            <v>0</v>
          </cell>
          <cell r="T2447">
            <v>0</v>
          </cell>
          <cell r="U2447">
            <v>0</v>
          </cell>
          <cell r="V2447">
            <v>0</v>
          </cell>
          <cell r="W2447">
            <v>0</v>
          </cell>
        </row>
        <row r="2448">
          <cell r="A2448" t="str">
            <v>453406</v>
          </cell>
          <cell r="B2448" t="str">
            <v>1251</v>
          </cell>
          <cell r="C2448" t="str">
            <v>12</v>
          </cell>
          <cell r="D2448" t="str">
            <v>38</v>
          </cell>
          <cell r="E2448">
            <v>16</v>
          </cell>
          <cell r="G2448">
            <v>2900</v>
          </cell>
          <cell r="H2448">
            <v>156392</v>
          </cell>
          <cell r="I2448">
            <v>114629</v>
          </cell>
          <cell r="J2448">
            <v>5254</v>
          </cell>
          <cell r="K2448">
            <v>0</v>
          </cell>
          <cell r="L2448">
            <v>0</v>
          </cell>
          <cell r="M2448">
            <v>0</v>
          </cell>
          <cell r="N2448">
            <v>279175</v>
          </cell>
          <cell r="O2448">
            <v>0</v>
          </cell>
          <cell r="P2448">
            <v>0</v>
          </cell>
          <cell r="Q2448">
            <v>0</v>
          </cell>
          <cell r="R2448">
            <v>0</v>
          </cell>
          <cell r="S2448">
            <v>0</v>
          </cell>
          <cell r="T2448">
            <v>0</v>
          </cell>
          <cell r="U2448">
            <v>0</v>
          </cell>
          <cell r="V2448">
            <v>0</v>
          </cell>
          <cell r="W2448">
            <v>0</v>
          </cell>
        </row>
        <row r="2449">
          <cell r="A2449" t="str">
            <v>453406</v>
          </cell>
          <cell r="B2449" t="str">
            <v>1251</v>
          </cell>
          <cell r="C2449" t="str">
            <v>12</v>
          </cell>
          <cell r="D2449" t="str">
            <v>38</v>
          </cell>
          <cell r="E2449">
            <v>17</v>
          </cell>
          <cell r="G2449">
            <v>0</v>
          </cell>
          <cell r="H2449">
            <v>0</v>
          </cell>
          <cell r="I2449">
            <v>0</v>
          </cell>
          <cell r="J2449">
            <v>1045</v>
          </cell>
          <cell r="K2449">
            <v>0</v>
          </cell>
          <cell r="L2449">
            <v>0</v>
          </cell>
          <cell r="M2449">
            <v>0</v>
          </cell>
          <cell r="N2449">
            <v>1045</v>
          </cell>
          <cell r="O2449">
            <v>0</v>
          </cell>
          <cell r="P2449">
            <v>0</v>
          </cell>
          <cell r="Q2449">
            <v>0</v>
          </cell>
          <cell r="R2449">
            <v>0</v>
          </cell>
          <cell r="S2449">
            <v>0</v>
          </cell>
          <cell r="T2449">
            <v>0</v>
          </cell>
          <cell r="U2449">
            <v>0</v>
          </cell>
          <cell r="V2449">
            <v>0</v>
          </cell>
          <cell r="W2449">
            <v>0</v>
          </cell>
        </row>
        <row r="2450">
          <cell r="A2450" t="str">
            <v>453406</v>
          </cell>
          <cell r="B2450" t="str">
            <v>1251</v>
          </cell>
          <cell r="C2450" t="str">
            <v>12</v>
          </cell>
          <cell r="D2450" t="str">
            <v>38</v>
          </cell>
          <cell r="E2450">
            <v>18</v>
          </cell>
          <cell r="G2450">
            <v>2900</v>
          </cell>
          <cell r="H2450">
            <v>157792</v>
          </cell>
          <cell r="I2450">
            <v>118454</v>
          </cell>
          <cell r="J2450">
            <v>9800</v>
          </cell>
          <cell r="K2450">
            <v>0</v>
          </cell>
          <cell r="L2450">
            <v>0</v>
          </cell>
          <cell r="M2450">
            <v>0</v>
          </cell>
          <cell r="N2450">
            <v>288946</v>
          </cell>
          <cell r="O2450">
            <v>0</v>
          </cell>
          <cell r="P2450">
            <v>0</v>
          </cell>
          <cell r="Q2450">
            <v>0</v>
          </cell>
          <cell r="R2450">
            <v>0</v>
          </cell>
          <cell r="S2450">
            <v>0</v>
          </cell>
          <cell r="T2450">
            <v>0</v>
          </cell>
          <cell r="U2450">
            <v>0</v>
          </cell>
          <cell r="V2450">
            <v>0</v>
          </cell>
          <cell r="W2450">
            <v>0</v>
          </cell>
        </row>
        <row r="2451">
          <cell r="A2451" t="str">
            <v>453406</v>
          </cell>
          <cell r="B2451" t="str">
            <v>1251</v>
          </cell>
          <cell r="C2451" t="str">
            <v>12</v>
          </cell>
          <cell r="D2451" t="str">
            <v>38</v>
          </cell>
          <cell r="E2451">
            <v>19</v>
          </cell>
          <cell r="G2451">
            <v>0</v>
          </cell>
          <cell r="H2451">
            <v>0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  <cell r="M2451">
            <v>0</v>
          </cell>
          <cell r="N2451">
            <v>0</v>
          </cell>
          <cell r="O2451">
            <v>0</v>
          </cell>
          <cell r="P2451">
            <v>0</v>
          </cell>
          <cell r="Q2451">
            <v>0</v>
          </cell>
          <cell r="R2451">
            <v>0</v>
          </cell>
          <cell r="S2451">
            <v>0</v>
          </cell>
          <cell r="T2451">
            <v>0</v>
          </cell>
          <cell r="U2451">
            <v>0</v>
          </cell>
          <cell r="V2451">
            <v>0</v>
          </cell>
          <cell r="W2451">
            <v>0</v>
          </cell>
        </row>
        <row r="2452">
          <cell r="A2452" t="str">
            <v>453406</v>
          </cell>
          <cell r="B2452" t="str">
            <v>1251</v>
          </cell>
          <cell r="C2452" t="str">
            <v>12</v>
          </cell>
          <cell r="D2452" t="str">
            <v>38</v>
          </cell>
          <cell r="E2452">
            <v>20</v>
          </cell>
          <cell r="G2452">
            <v>1412</v>
          </cell>
          <cell r="H2452">
            <v>34358</v>
          </cell>
          <cell r="I2452">
            <v>66971</v>
          </cell>
          <cell r="J2452">
            <v>3445</v>
          </cell>
          <cell r="K2452">
            <v>0</v>
          </cell>
          <cell r="L2452">
            <v>0</v>
          </cell>
          <cell r="M2452">
            <v>0</v>
          </cell>
          <cell r="N2452">
            <v>106186</v>
          </cell>
          <cell r="O2452">
            <v>0</v>
          </cell>
          <cell r="P2452">
            <v>0</v>
          </cell>
          <cell r="Q2452">
            <v>0</v>
          </cell>
          <cell r="R2452">
            <v>0</v>
          </cell>
          <cell r="S2452">
            <v>0</v>
          </cell>
          <cell r="T2452">
            <v>0</v>
          </cell>
          <cell r="U2452">
            <v>0</v>
          </cell>
          <cell r="V2452">
            <v>0</v>
          </cell>
          <cell r="W2452">
            <v>0</v>
          </cell>
        </row>
        <row r="2453">
          <cell r="A2453" t="str">
            <v>453406</v>
          </cell>
          <cell r="B2453" t="str">
            <v>1251</v>
          </cell>
          <cell r="C2453" t="str">
            <v>12</v>
          </cell>
          <cell r="D2453" t="str">
            <v>38</v>
          </cell>
          <cell r="E2453">
            <v>21</v>
          </cell>
          <cell r="G2453">
            <v>394</v>
          </cell>
          <cell r="H2453">
            <v>1825</v>
          </cell>
          <cell r="I2453">
            <v>9433</v>
          </cell>
          <cell r="J2453">
            <v>141</v>
          </cell>
          <cell r="K2453">
            <v>0</v>
          </cell>
          <cell r="L2453">
            <v>0</v>
          </cell>
          <cell r="M2453">
            <v>0</v>
          </cell>
          <cell r="N2453">
            <v>11793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  <cell r="S2453">
            <v>0</v>
          </cell>
          <cell r="T2453">
            <v>0</v>
          </cell>
          <cell r="U2453">
            <v>0</v>
          </cell>
          <cell r="V2453">
            <v>0</v>
          </cell>
          <cell r="W2453">
            <v>0</v>
          </cell>
        </row>
        <row r="2454">
          <cell r="A2454" t="str">
            <v>453406</v>
          </cell>
          <cell r="B2454" t="str">
            <v>1251</v>
          </cell>
          <cell r="C2454" t="str">
            <v>12</v>
          </cell>
          <cell r="D2454" t="str">
            <v>38</v>
          </cell>
          <cell r="E2454">
            <v>22</v>
          </cell>
          <cell r="G2454">
            <v>1806</v>
          </cell>
          <cell r="H2454">
            <v>36183</v>
          </cell>
          <cell r="I2454">
            <v>76404</v>
          </cell>
          <cell r="J2454">
            <v>3586</v>
          </cell>
          <cell r="K2454">
            <v>0</v>
          </cell>
          <cell r="L2454">
            <v>0</v>
          </cell>
          <cell r="M2454">
            <v>0</v>
          </cell>
          <cell r="N2454">
            <v>117979</v>
          </cell>
          <cell r="O2454">
            <v>0</v>
          </cell>
          <cell r="P2454">
            <v>0</v>
          </cell>
          <cell r="Q2454">
            <v>0</v>
          </cell>
          <cell r="R2454">
            <v>0</v>
          </cell>
          <cell r="S2454">
            <v>0</v>
          </cell>
          <cell r="T2454">
            <v>0</v>
          </cell>
          <cell r="U2454">
            <v>0</v>
          </cell>
          <cell r="V2454">
            <v>0</v>
          </cell>
          <cell r="W2454">
            <v>0</v>
          </cell>
        </row>
        <row r="2455">
          <cell r="A2455" t="str">
            <v>453406</v>
          </cell>
          <cell r="B2455" t="str">
            <v>1251</v>
          </cell>
          <cell r="C2455" t="str">
            <v>12</v>
          </cell>
          <cell r="D2455" t="str">
            <v>38</v>
          </cell>
          <cell r="E2455">
            <v>23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  <cell r="P2455">
            <v>0</v>
          </cell>
          <cell r="Q2455">
            <v>0</v>
          </cell>
          <cell r="R2455">
            <v>0</v>
          </cell>
          <cell r="S2455">
            <v>0</v>
          </cell>
          <cell r="T2455">
            <v>0</v>
          </cell>
          <cell r="U2455">
            <v>0</v>
          </cell>
          <cell r="V2455">
            <v>0</v>
          </cell>
          <cell r="W2455">
            <v>0</v>
          </cell>
        </row>
        <row r="2456">
          <cell r="A2456" t="str">
            <v>453406</v>
          </cell>
          <cell r="B2456" t="str">
            <v>1251</v>
          </cell>
          <cell r="C2456" t="str">
            <v>12</v>
          </cell>
          <cell r="D2456" t="str">
            <v>38</v>
          </cell>
          <cell r="E2456">
            <v>24</v>
          </cell>
          <cell r="G2456">
            <v>0</v>
          </cell>
          <cell r="H2456">
            <v>0</v>
          </cell>
          <cell r="I2456">
            <v>0</v>
          </cell>
          <cell r="J2456">
            <v>0</v>
          </cell>
          <cell r="K2456">
            <v>0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P2456">
            <v>0</v>
          </cell>
          <cell r="Q2456">
            <v>0</v>
          </cell>
          <cell r="R2456">
            <v>0</v>
          </cell>
          <cell r="S2456">
            <v>0</v>
          </cell>
          <cell r="T2456">
            <v>0</v>
          </cell>
          <cell r="U2456">
            <v>0</v>
          </cell>
          <cell r="V2456">
            <v>0</v>
          </cell>
          <cell r="W2456">
            <v>0</v>
          </cell>
        </row>
        <row r="2457">
          <cell r="A2457" t="str">
            <v>453406</v>
          </cell>
          <cell r="B2457" t="str">
            <v>1251</v>
          </cell>
          <cell r="C2457" t="str">
            <v>12</v>
          </cell>
          <cell r="D2457" t="str">
            <v>38</v>
          </cell>
          <cell r="E2457">
            <v>25</v>
          </cell>
          <cell r="G2457">
            <v>0</v>
          </cell>
          <cell r="H2457">
            <v>0</v>
          </cell>
          <cell r="I2457">
            <v>0</v>
          </cell>
          <cell r="J2457">
            <v>0</v>
          </cell>
          <cell r="K2457">
            <v>0</v>
          </cell>
          <cell r="L2457">
            <v>0</v>
          </cell>
          <cell r="M2457">
            <v>0</v>
          </cell>
          <cell r="N2457">
            <v>0</v>
          </cell>
          <cell r="O2457">
            <v>0</v>
          </cell>
          <cell r="P2457">
            <v>0</v>
          </cell>
          <cell r="Q2457">
            <v>0</v>
          </cell>
          <cell r="R2457">
            <v>0</v>
          </cell>
          <cell r="S2457">
            <v>0</v>
          </cell>
          <cell r="T2457">
            <v>0</v>
          </cell>
          <cell r="U2457">
            <v>0</v>
          </cell>
          <cell r="V2457">
            <v>0</v>
          </cell>
          <cell r="W2457">
            <v>0</v>
          </cell>
        </row>
        <row r="2458">
          <cell r="A2458" t="str">
            <v>453406</v>
          </cell>
          <cell r="B2458" t="str">
            <v>1251</v>
          </cell>
          <cell r="C2458" t="str">
            <v>12</v>
          </cell>
          <cell r="D2458" t="str">
            <v>38</v>
          </cell>
          <cell r="E2458">
            <v>26</v>
          </cell>
          <cell r="G2458">
            <v>0</v>
          </cell>
          <cell r="H2458">
            <v>0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P2458">
            <v>0</v>
          </cell>
          <cell r="Q2458">
            <v>0</v>
          </cell>
          <cell r="R2458">
            <v>0</v>
          </cell>
          <cell r="S2458">
            <v>0</v>
          </cell>
          <cell r="T2458">
            <v>0</v>
          </cell>
          <cell r="U2458">
            <v>0</v>
          </cell>
          <cell r="V2458">
            <v>0</v>
          </cell>
          <cell r="W2458">
            <v>0</v>
          </cell>
        </row>
        <row r="2459">
          <cell r="A2459" t="str">
            <v>453406</v>
          </cell>
          <cell r="B2459" t="str">
            <v>1251</v>
          </cell>
          <cell r="C2459" t="str">
            <v>12</v>
          </cell>
          <cell r="D2459" t="str">
            <v>38</v>
          </cell>
          <cell r="E2459">
            <v>27</v>
          </cell>
          <cell r="G2459">
            <v>0</v>
          </cell>
          <cell r="H2459">
            <v>0</v>
          </cell>
          <cell r="I2459">
            <v>0</v>
          </cell>
          <cell r="J2459">
            <v>0</v>
          </cell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0</v>
          </cell>
          <cell r="P2459">
            <v>0</v>
          </cell>
          <cell r="Q2459">
            <v>0</v>
          </cell>
          <cell r="R2459">
            <v>0</v>
          </cell>
          <cell r="S2459">
            <v>0</v>
          </cell>
          <cell r="T2459">
            <v>0</v>
          </cell>
          <cell r="U2459">
            <v>0</v>
          </cell>
          <cell r="V2459">
            <v>0</v>
          </cell>
          <cell r="W2459">
            <v>0</v>
          </cell>
        </row>
        <row r="2460">
          <cell r="A2460" t="str">
            <v>453406</v>
          </cell>
          <cell r="B2460" t="str">
            <v>1251</v>
          </cell>
          <cell r="C2460" t="str">
            <v>12</v>
          </cell>
          <cell r="D2460" t="str">
            <v>38</v>
          </cell>
          <cell r="E2460">
            <v>28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  <cell r="R2460">
            <v>0</v>
          </cell>
          <cell r="S2460">
            <v>0</v>
          </cell>
          <cell r="T2460">
            <v>0</v>
          </cell>
          <cell r="U2460">
            <v>0</v>
          </cell>
          <cell r="V2460">
            <v>0</v>
          </cell>
          <cell r="W2460">
            <v>0</v>
          </cell>
        </row>
        <row r="2461">
          <cell r="A2461" t="str">
            <v>453406</v>
          </cell>
          <cell r="B2461" t="str">
            <v>1251</v>
          </cell>
          <cell r="C2461" t="str">
            <v>12</v>
          </cell>
          <cell r="D2461" t="str">
            <v>38</v>
          </cell>
          <cell r="E2461">
            <v>29</v>
          </cell>
          <cell r="G2461">
            <v>0</v>
          </cell>
          <cell r="H2461">
            <v>0</v>
          </cell>
          <cell r="I2461">
            <v>0</v>
          </cell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P2461">
            <v>0</v>
          </cell>
          <cell r="Q2461">
            <v>0</v>
          </cell>
          <cell r="R2461">
            <v>0</v>
          </cell>
          <cell r="S2461">
            <v>0</v>
          </cell>
          <cell r="T2461">
            <v>0</v>
          </cell>
          <cell r="U2461">
            <v>0</v>
          </cell>
          <cell r="V2461">
            <v>0</v>
          </cell>
          <cell r="W2461">
            <v>0</v>
          </cell>
        </row>
        <row r="2462">
          <cell r="A2462" t="str">
            <v>453406</v>
          </cell>
          <cell r="B2462" t="str">
            <v>1251</v>
          </cell>
          <cell r="C2462" t="str">
            <v>12</v>
          </cell>
          <cell r="D2462" t="str">
            <v>38</v>
          </cell>
          <cell r="E2462">
            <v>30</v>
          </cell>
          <cell r="G2462">
            <v>0</v>
          </cell>
          <cell r="H2462">
            <v>0</v>
          </cell>
          <cell r="I2462">
            <v>0</v>
          </cell>
          <cell r="J2462">
            <v>0</v>
          </cell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  <cell r="P2462">
            <v>0</v>
          </cell>
          <cell r="Q2462">
            <v>0</v>
          </cell>
          <cell r="R2462">
            <v>0</v>
          </cell>
          <cell r="S2462">
            <v>0</v>
          </cell>
          <cell r="T2462">
            <v>0</v>
          </cell>
          <cell r="U2462">
            <v>0</v>
          </cell>
          <cell r="V2462">
            <v>0</v>
          </cell>
          <cell r="W2462">
            <v>0</v>
          </cell>
        </row>
        <row r="2463">
          <cell r="A2463" t="str">
            <v>453406</v>
          </cell>
          <cell r="B2463" t="str">
            <v>1251</v>
          </cell>
          <cell r="C2463" t="str">
            <v>12</v>
          </cell>
          <cell r="D2463" t="str">
            <v>38</v>
          </cell>
          <cell r="E2463">
            <v>31</v>
          </cell>
          <cell r="G2463">
            <v>0</v>
          </cell>
          <cell r="H2463">
            <v>0</v>
          </cell>
          <cell r="I2463">
            <v>0</v>
          </cell>
          <cell r="J2463">
            <v>0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P2463">
            <v>0</v>
          </cell>
          <cell r="Q2463">
            <v>0</v>
          </cell>
          <cell r="R2463">
            <v>0</v>
          </cell>
          <cell r="S2463">
            <v>0</v>
          </cell>
          <cell r="T2463">
            <v>0</v>
          </cell>
          <cell r="U2463">
            <v>0</v>
          </cell>
          <cell r="V2463">
            <v>0</v>
          </cell>
          <cell r="W2463">
            <v>0</v>
          </cell>
        </row>
        <row r="2464">
          <cell r="A2464" t="str">
            <v>453406</v>
          </cell>
          <cell r="B2464" t="str">
            <v>1251</v>
          </cell>
          <cell r="C2464" t="str">
            <v>12</v>
          </cell>
          <cell r="D2464" t="str">
            <v>53</v>
          </cell>
          <cell r="E2464">
            <v>1</v>
          </cell>
          <cell r="G2464">
            <v>1729</v>
          </cell>
          <cell r="H2464">
            <v>44</v>
          </cell>
          <cell r="I2464">
            <v>0</v>
          </cell>
          <cell r="J2464">
            <v>0</v>
          </cell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P2464">
            <v>0</v>
          </cell>
          <cell r="Q2464">
            <v>0</v>
          </cell>
          <cell r="R2464">
            <v>0</v>
          </cell>
          <cell r="S2464">
            <v>196</v>
          </cell>
          <cell r="T2464">
            <v>164</v>
          </cell>
          <cell r="U2464">
            <v>0</v>
          </cell>
          <cell r="V2464">
            <v>0</v>
          </cell>
          <cell r="W2464">
            <v>0</v>
          </cell>
        </row>
        <row r="2465">
          <cell r="A2465" t="str">
            <v>453406</v>
          </cell>
          <cell r="B2465" t="str">
            <v>1251</v>
          </cell>
          <cell r="C2465" t="str">
            <v>12</v>
          </cell>
          <cell r="D2465" t="str">
            <v>53</v>
          </cell>
          <cell r="E2465">
            <v>15</v>
          </cell>
          <cell r="G2465">
            <v>0</v>
          </cell>
          <cell r="H2465">
            <v>0</v>
          </cell>
          <cell r="I2465">
            <v>18472</v>
          </cell>
          <cell r="J2465">
            <v>14260</v>
          </cell>
          <cell r="K2465">
            <v>0</v>
          </cell>
          <cell r="L2465">
            <v>0</v>
          </cell>
          <cell r="M2465">
            <v>5076</v>
          </cell>
          <cell r="N2465">
            <v>4135</v>
          </cell>
          <cell r="O2465">
            <v>0</v>
          </cell>
          <cell r="P2465">
            <v>0</v>
          </cell>
          <cell r="Q2465">
            <v>509</v>
          </cell>
          <cell r="R2465">
            <v>428</v>
          </cell>
          <cell r="S2465">
            <v>0</v>
          </cell>
          <cell r="T2465">
            <v>0</v>
          </cell>
          <cell r="U2465">
            <v>0</v>
          </cell>
          <cell r="V2465">
            <v>0</v>
          </cell>
          <cell r="W2465">
            <v>0</v>
          </cell>
        </row>
        <row r="2466">
          <cell r="A2466" t="str">
            <v>453406</v>
          </cell>
          <cell r="B2466" t="str">
            <v>1251</v>
          </cell>
          <cell r="C2466" t="str">
            <v>12</v>
          </cell>
          <cell r="D2466" t="str">
            <v>53</v>
          </cell>
          <cell r="E2466">
            <v>29</v>
          </cell>
          <cell r="G2466">
            <v>232</v>
          </cell>
          <cell r="H2466">
            <v>0</v>
          </cell>
          <cell r="I2466">
            <v>97165</v>
          </cell>
          <cell r="J2466">
            <v>0</v>
          </cell>
          <cell r="K2466">
            <v>0</v>
          </cell>
          <cell r="L2466">
            <v>0</v>
          </cell>
          <cell r="M2466">
            <v>0</v>
          </cell>
          <cell r="N2466">
            <v>0</v>
          </cell>
          <cell r="O2466">
            <v>0</v>
          </cell>
          <cell r="P2466">
            <v>0</v>
          </cell>
          <cell r="Q2466">
            <v>0</v>
          </cell>
          <cell r="R2466">
            <v>67951</v>
          </cell>
          <cell r="S2466">
            <v>572</v>
          </cell>
          <cell r="T2466">
            <v>48551</v>
          </cell>
          <cell r="U2466">
            <v>0</v>
          </cell>
          <cell r="V2466">
            <v>0</v>
          </cell>
          <cell r="W2466">
            <v>0</v>
          </cell>
        </row>
        <row r="2467">
          <cell r="A2467" t="str">
            <v>453406</v>
          </cell>
          <cell r="B2467" t="str">
            <v>1251</v>
          </cell>
          <cell r="C2467" t="str">
            <v>12</v>
          </cell>
          <cell r="D2467" t="str">
            <v>53</v>
          </cell>
          <cell r="E2467">
            <v>43</v>
          </cell>
          <cell r="G2467">
            <v>16682</v>
          </cell>
          <cell r="H2467">
            <v>2146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  <cell r="M2467">
            <v>0</v>
          </cell>
          <cell r="N2467">
            <v>0</v>
          </cell>
          <cell r="O2467">
            <v>0</v>
          </cell>
          <cell r="P2467">
            <v>0</v>
          </cell>
          <cell r="Q2467">
            <v>0</v>
          </cell>
          <cell r="R2467">
            <v>0</v>
          </cell>
          <cell r="S2467">
            <v>0</v>
          </cell>
          <cell r="T2467">
            <v>0</v>
          </cell>
          <cell r="U2467">
            <v>0</v>
          </cell>
          <cell r="V2467">
            <v>0</v>
          </cell>
          <cell r="W2467">
            <v>0</v>
          </cell>
        </row>
        <row r="2468">
          <cell r="A2468" t="str">
            <v>453406</v>
          </cell>
          <cell r="B2468" t="str">
            <v>1251</v>
          </cell>
          <cell r="C2468" t="str">
            <v>12</v>
          </cell>
          <cell r="D2468" t="str">
            <v>53</v>
          </cell>
          <cell r="E2468">
            <v>57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  <cell r="P2468">
            <v>0</v>
          </cell>
          <cell r="Q2468">
            <v>0</v>
          </cell>
          <cell r="R2468">
            <v>0</v>
          </cell>
          <cell r="S2468">
            <v>0</v>
          </cell>
          <cell r="T2468">
            <v>0</v>
          </cell>
          <cell r="U2468">
            <v>0</v>
          </cell>
          <cell r="V2468">
            <v>0</v>
          </cell>
          <cell r="W2468">
            <v>0</v>
          </cell>
        </row>
        <row r="2469">
          <cell r="A2469" t="str">
            <v>453406</v>
          </cell>
          <cell r="B2469" t="str">
            <v>1251</v>
          </cell>
          <cell r="C2469" t="str">
            <v>12</v>
          </cell>
          <cell r="D2469" t="str">
            <v>53</v>
          </cell>
          <cell r="E2469">
            <v>71</v>
          </cell>
          <cell r="G2469">
            <v>0</v>
          </cell>
          <cell r="H2469">
            <v>0</v>
          </cell>
          <cell r="I2469">
            <v>279175</v>
          </cell>
          <cell r="J2469">
            <v>110303</v>
          </cell>
          <cell r="K2469">
            <v>0</v>
          </cell>
          <cell r="L2469">
            <v>0</v>
          </cell>
          <cell r="M2469">
            <v>0</v>
          </cell>
          <cell r="N2469">
            <v>0</v>
          </cell>
          <cell r="O2469">
            <v>0</v>
          </cell>
          <cell r="P2469">
            <v>0</v>
          </cell>
          <cell r="Q2469">
            <v>0</v>
          </cell>
          <cell r="R2469">
            <v>0</v>
          </cell>
          <cell r="S2469">
            <v>0</v>
          </cell>
          <cell r="T2469">
            <v>0</v>
          </cell>
          <cell r="U2469">
            <v>0</v>
          </cell>
          <cell r="V2469">
            <v>0</v>
          </cell>
          <cell r="W2469">
            <v>0</v>
          </cell>
        </row>
        <row r="2470">
          <cell r="A2470" t="str">
            <v>453406</v>
          </cell>
          <cell r="B2470" t="str">
            <v>1251</v>
          </cell>
          <cell r="C2470" t="str">
            <v>12</v>
          </cell>
          <cell r="D2470" t="str">
            <v>56</v>
          </cell>
          <cell r="E2470">
            <v>1</v>
          </cell>
          <cell r="G2470">
            <v>116603</v>
          </cell>
          <cell r="H2470">
            <v>3501</v>
          </cell>
          <cell r="I2470">
            <v>0</v>
          </cell>
          <cell r="J2470">
            <v>0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0</v>
          </cell>
          <cell r="P2470">
            <v>0</v>
          </cell>
          <cell r="Q2470">
            <v>0</v>
          </cell>
          <cell r="R2470">
            <v>0</v>
          </cell>
          <cell r="S2470">
            <v>0</v>
          </cell>
          <cell r="T2470">
            <v>0</v>
          </cell>
          <cell r="U2470">
            <v>0</v>
          </cell>
          <cell r="V2470">
            <v>0</v>
          </cell>
          <cell r="W2470">
            <v>0</v>
          </cell>
        </row>
        <row r="2471">
          <cell r="A2471" t="str">
            <v>453406</v>
          </cell>
          <cell r="B2471" t="str">
            <v>1251</v>
          </cell>
          <cell r="C2471" t="str">
            <v>12</v>
          </cell>
          <cell r="D2471" t="str">
            <v>56</v>
          </cell>
          <cell r="E2471">
            <v>6</v>
          </cell>
          <cell r="G2471">
            <v>0</v>
          </cell>
          <cell r="H2471">
            <v>0</v>
          </cell>
          <cell r="I2471">
            <v>0</v>
          </cell>
          <cell r="J2471">
            <v>0</v>
          </cell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0</v>
          </cell>
          <cell r="P2471">
            <v>116603</v>
          </cell>
          <cell r="Q2471">
            <v>3501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>
            <v>0</v>
          </cell>
          <cell r="W2471">
            <v>0</v>
          </cell>
        </row>
        <row r="2472">
          <cell r="A2472" t="str">
            <v>453406</v>
          </cell>
          <cell r="B2472" t="str">
            <v>1251</v>
          </cell>
          <cell r="C2472" t="str">
            <v>12</v>
          </cell>
          <cell r="D2472" t="str">
            <v>57</v>
          </cell>
          <cell r="E2472">
            <v>1</v>
          </cell>
          <cell r="G2472">
            <v>0</v>
          </cell>
          <cell r="H2472">
            <v>0</v>
          </cell>
          <cell r="I2472">
            <v>0</v>
          </cell>
          <cell r="J2472">
            <v>0</v>
          </cell>
          <cell r="K2472">
            <v>0</v>
          </cell>
          <cell r="L2472">
            <v>0</v>
          </cell>
          <cell r="M2472">
            <v>0</v>
          </cell>
          <cell r="N2472">
            <v>0</v>
          </cell>
          <cell r="O2472">
            <v>0</v>
          </cell>
          <cell r="P2472">
            <v>0</v>
          </cell>
          <cell r="Q2472">
            <v>0</v>
          </cell>
          <cell r="R2472">
            <v>0</v>
          </cell>
          <cell r="S2472">
            <v>0</v>
          </cell>
          <cell r="T2472">
            <v>0</v>
          </cell>
          <cell r="U2472">
            <v>0</v>
          </cell>
          <cell r="V2472">
            <v>0</v>
          </cell>
          <cell r="W2472">
            <v>0</v>
          </cell>
        </row>
        <row r="2473">
          <cell r="A2473" t="str">
            <v>453406</v>
          </cell>
          <cell r="B2473" t="str">
            <v>1251</v>
          </cell>
          <cell r="C2473" t="str">
            <v>12</v>
          </cell>
          <cell r="D2473" t="str">
            <v>57</v>
          </cell>
          <cell r="E2473">
            <v>3</v>
          </cell>
          <cell r="G2473">
            <v>0</v>
          </cell>
          <cell r="H2473">
            <v>0</v>
          </cell>
          <cell r="I2473">
            <v>0</v>
          </cell>
          <cell r="J2473">
            <v>0</v>
          </cell>
          <cell r="K2473">
            <v>0</v>
          </cell>
          <cell r="L2473">
            <v>0</v>
          </cell>
          <cell r="M2473">
            <v>0</v>
          </cell>
          <cell r="N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>
            <v>0</v>
          </cell>
          <cell r="W2473">
            <v>0</v>
          </cell>
        </row>
        <row r="2474">
          <cell r="A2474" t="str">
            <v>453406</v>
          </cell>
          <cell r="B2474" t="str">
            <v>1251</v>
          </cell>
          <cell r="C2474" t="str">
            <v>12</v>
          </cell>
          <cell r="D2474" t="str">
            <v>57</v>
          </cell>
          <cell r="E2474">
            <v>5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  <cell r="P2474">
            <v>0</v>
          </cell>
          <cell r="Q2474">
            <v>0</v>
          </cell>
          <cell r="R2474">
            <v>0</v>
          </cell>
          <cell r="S2474">
            <v>0</v>
          </cell>
          <cell r="T2474">
            <v>0</v>
          </cell>
          <cell r="U2474">
            <v>0</v>
          </cell>
          <cell r="V2474">
            <v>0</v>
          </cell>
          <cell r="W2474">
            <v>0</v>
          </cell>
        </row>
        <row r="2475">
          <cell r="A2475" t="str">
            <v>453406</v>
          </cell>
          <cell r="B2475" t="str">
            <v>1251</v>
          </cell>
          <cell r="C2475" t="str">
            <v>12</v>
          </cell>
          <cell r="D2475" t="str">
            <v>57</v>
          </cell>
          <cell r="E2475">
            <v>7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L2475">
            <v>0</v>
          </cell>
          <cell r="M2475">
            <v>4016</v>
          </cell>
          <cell r="N2475">
            <v>0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  <cell r="S2475">
            <v>0</v>
          </cell>
          <cell r="T2475">
            <v>0</v>
          </cell>
          <cell r="U2475">
            <v>0</v>
          </cell>
          <cell r="V2475">
            <v>0</v>
          </cell>
          <cell r="W2475">
            <v>0</v>
          </cell>
        </row>
        <row r="2476">
          <cell r="A2476" t="str">
            <v>453406</v>
          </cell>
          <cell r="B2476" t="str">
            <v>1251</v>
          </cell>
          <cell r="C2476" t="str">
            <v>12</v>
          </cell>
          <cell r="D2476" t="str">
            <v>57</v>
          </cell>
          <cell r="E2476">
            <v>9</v>
          </cell>
          <cell r="G2476">
            <v>3643</v>
          </cell>
          <cell r="H2476">
            <v>0</v>
          </cell>
          <cell r="I2476">
            <v>0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0</v>
          </cell>
          <cell r="O2476">
            <v>0</v>
          </cell>
          <cell r="P2476">
            <v>0</v>
          </cell>
          <cell r="Q2476">
            <v>0</v>
          </cell>
          <cell r="R2476">
            <v>0</v>
          </cell>
          <cell r="S2476">
            <v>0</v>
          </cell>
          <cell r="T2476">
            <v>0</v>
          </cell>
          <cell r="U2476">
            <v>0</v>
          </cell>
          <cell r="V2476">
            <v>0</v>
          </cell>
          <cell r="W2476">
            <v>0</v>
          </cell>
        </row>
        <row r="2477">
          <cell r="A2477" t="str">
            <v>453406</v>
          </cell>
          <cell r="B2477" t="str">
            <v>1251</v>
          </cell>
          <cell r="C2477" t="str">
            <v>12</v>
          </cell>
          <cell r="D2477" t="str">
            <v>57</v>
          </cell>
          <cell r="E2477">
            <v>11</v>
          </cell>
          <cell r="G2477">
            <v>0</v>
          </cell>
          <cell r="H2477">
            <v>0</v>
          </cell>
          <cell r="I2477">
            <v>0</v>
          </cell>
          <cell r="J2477">
            <v>0</v>
          </cell>
          <cell r="K2477">
            <v>0</v>
          </cell>
          <cell r="L2477">
            <v>0</v>
          </cell>
          <cell r="M2477">
            <v>0</v>
          </cell>
          <cell r="N2477">
            <v>0</v>
          </cell>
          <cell r="O2477">
            <v>0</v>
          </cell>
          <cell r="P2477">
            <v>0</v>
          </cell>
          <cell r="Q2477">
            <v>0</v>
          </cell>
          <cell r="R2477">
            <v>0</v>
          </cell>
          <cell r="S2477">
            <v>0</v>
          </cell>
          <cell r="T2477">
            <v>0</v>
          </cell>
          <cell r="U2477">
            <v>0</v>
          </cell>
          <cell r="V2477">
            <v>0</v>
          </cell>
          <cell r="W2477">
            <v>0</v>
          </cell>
        </row>
        <row r="2478">
          <cell r="A2478" t="str">
            <v>453406</v>
          </cell>
          <cell r="B2478" t="str">
            <v>1251</v>
          </cell>
          <cell r="C2478" t="str">
            <v>12</v>
          </cell>
          <cell r="D2478" t="str">
            <v>57</v>
          </cell>
          <cell r="E2478">
            <v>13</v>
          </cell>
          <cell r="G2478">
            <v>0</v>
          </cell>
          <cell r="H2478">
            <v>0</v>
          </cell>
          <cell r="I2478">
            <v>0</v>
          </cell>
          <cell r="J2478">
            <v>0</v>
          </cell>
          <cell r="K2478">
            <v>0</v>
          </cell>
          <cell r="L2478">
            <v>0</v>
          </cell>
          <cell r="M2478">
            <v>0</v>
          </cell>
          <cell r="N2478">
            <v>0</v>
          </cell>
          <cell r="O2478">
            <v>0</v>
          </cell>
          <cell r="P2478">
            <v>0</v>
          </cell>
          <cell r="Q2478">
            <v>0</v>
          </cell>
          <cell r="R2478">
            <v>0</v>
          </cell>
          <cell r="S2478">
            <v>0</v>
          </cell>
          <cell r="T2478">
            <v>0</v>
          </cell>
          <cell r="U2478">
            <v>0</v>
          </cell>
          <cell r="V2478">
            <v>0</v>
          </cell>
          <cell r="W2478">
            <v>0</v>
          </cell>
        </row>
        <row r="2479">
          <cell r="A2479" t="str">
            <v>453406</v>
          </cell>
          <cell r="B2479" t="str">
            <v>1251</v>
          </cell>
          <cell r="C2479" t="str">
            <v>12</v>
          </cell>
          <cell r="D2479" t="str">
            <v>57</v>
          </cell>
          <cell r="E2479">
            <v>15</v>
          </cell>
          <cell r="G2479">
            <v>0</v>
          </cell>
          <cell r="H2479">
            <v>0</v>
          </cell>
          <cell r="I2479">
            <v>0</v>
          </cell>
          <cell r="J2479">
            <v>0</v>
          </cell>
          <cell r="K2479">
            <v>0</v>
          </cell>
          <cell r="L2479">
            <v>0</v>
          </cell>
          <cell r="M2479">
            <v>7659</v>
          </cell>
          <cell r="N2479">
            <v>0</v>
          </cell>
          <cell r="O2479">
            <v>0</v>
          </cell>
          <cell r="P2479">
            <v>0</v>
          </cell>
          <cell r="Q2479">
            <v>0</v>
          </cell>
          <cell r="R2479">
            <v>0</v>
          </cell>
          <cell r="S2479">
            <v>0</v>
          </cell>
          <cell r="T2479">
            <v>0</v>
          </cell>
          <cell r="U2479">
            <v>0</v>
          </cell>
          <cell r="V2479">
            <v>0</v>
          </cell>
          <cell r="W2479">
            <v>0</v>
          </cell>
        </row>
        <row r="2480">
          <cell r="A2480" t="str">
            <v>453406</v>
          </cell>
          <cell r="B2480" t="str">
            <v>1251</v>
          </cell>
          <cell r="C2480" t="str">
            <v>12</v>
          </cell>
          <cell r="D2480" t="str">
            <v>57</v>
          </cell>
          <cell r="E2480">
            <v>17</v>
          </cell>
          <cell r="G2480">
            <v>7659</v>
          </cell>
          <cell r="H2480">
            <v>0</v>
          </cell>
          <cell r="I2480">
            <v>0</v>
          </cell>
          <cell r="J2480">
            <v>0</v>
          </cell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  <cell r="P2480">
            <v>0</v>
          </cell>
          <cell r="Q2480">
            <v>0</v>
          </cell>
          <cell r="R2480">
            <v>0</v>
          </cell>
          <cell r="S2480">
            <v>0</v>
          </cell>
          <cell r="T2480">
            <v>0</v>
          </cell>
          <cell r="U2480">
            <v>0</v>
          </cell>
          <cell r="V2480">
            <v>0</v>
          </cell>
          <cell r="W2480">
            <v>0</v>
          </cell>
        </row>
        <row r="2481">
          <cell r="A2481" t="str">
            <v>453406</v>
          </cell>
          <cell r="B2481" t="str">
            <v>1251</v>
          </cell>
          <cell r="C2481" t="str">
            <v>12</v>
          </cell>
          <cell r="D2481" t="str">
            <v>58</v>
          </cell>
          <cell r="E2481">
            <v>1</v>
          </cell>
          <cell r="G2481">
            <v>0</v>
          </cell>
          <cell r="H2481">
            <v>0</v>
          </cell>
          <cell r="I2481">
            <v>0</v>
          </cell>
          <cell r="J2481">
            <v>0</v>
          </cell>
          <cell r="K2481">
            <v>0</v>
          </cell>
          <cell r="L2481">
            <v>0</v>
          </cell>
          <cell r="M2481">
            <v>0</v>
          </cell>
          <cell r="N2481">
            <v>0</v>
          </cell>
          <cell r="O2481">
            <v>0</v>
          </cell>
          <cell r="P2481">
            <v>0</v>
          </cell>
          <cell r="Q2481">
            <v>0</v>
          </cell>
          <cell r="R2481">
            <v>0</v>
          </cell>
          <cell r="S2481">
            <v>0</v>
          </cell>
          <cell r="T2481">
            <v>0</v>
          </cell>
          <cell r="U2481">
            <v>0</v>
          </cell>
          <cell r="V2481">
            <v>0</v>
          </cell>
          <cell r="W2481">
            <v>0</v>
          </cell>
        </row>
        <row r="2482">
          <cell r="A2482" t="str">
            <v>453406</v>
          </cell>
          <cell r="B2482" t="str">
            <v>1251</v>
          </cell>
          <cell r="C2482" t="str">
            <v>12</v>
          </cell>
          <cell r="D2482" t="str">
            <v>58</v>
          </cell>
          <cell r="E2482">
            <v>2</v>
          </cell>
          <cell r="G2482">
            <v>0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0</v>
          </cell>
          <cell r="M2482">
            <v>0</v>
          </cell>
          <cell r="N2482">
            <v>0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  <cell r="S2482">
            <v>0</v>
          </cell>
          <cell r="T2482">
            <v>0</v>
          </cell>
          <cell r="U2482">
            <v>0</v>
          </cell>
          <cell r="V2482">
            <v>0</v>
          </cell>
          <cell r="W2482">
            <v>0</v>
          </cell>
        </row>
        <row r="2483">
          <cell r="A2483" t="str">
            <v>453406</v>
          </cell>
          <cell r="B2483" t="str">
            <v>1251</v>
          </cell>
          <cell r="C2483" t="str">
            <v>12</v>
          </cell>
          <cell r="D2483" t="str">
            <v>58</v>
          </cell>
          <cell r="E2483">
            <v>3</v>
          </cell>
          <cell r="G2483">
            <v>3643</v>
          </cell>
          <cell r="H2483">
            <v>0</v>
          </cell>
          <cell r="I2483">
            <v>45238</v>
          </cell>
          <cell r="J2483">
            <v>0</v>
          </cell>
          <cell r="K2483">
            <v>48881</v>
          </cell>
          <cell r="L2483">
            <v>802</v>
          </cell>
          <cell r="M2483">
            <v>2983</v>
          </cell>
          <cell r="N2483">
            <v>45096</v>
          </cell>
          <cell r="O2483">
            <v>0</v>
          </cell>
          <cell r="P2483">
            <v>0</v>
          </cell>
          <cell r="Q2483">
            <v>0</v>
          </cell>
          <cell r="R2483">
            <v>0</v>
          </cell>
          <cell r="S2483">
            <v>0</v>
          </cell>
          <cell r="T2483">
            <v>0</v>
          </cell>
          <cell r="U2483">
            <v>0</v>
          </cell>
          <cell r="V2483">
            <v>0</v>
          </cell>
          <cell r="W2483">
            <v>0</v>
          </cell>
        </row>
        <row r="2484">
          <cell r="A2484" t="str">
            <v>453406</v>
          </cell>
          <cell r="B2484" t="str">
            <v>1251</v>
          </cell>
          <cell r="C2484" t="str">
            <v>12</v>
          </cell>
          <cell r="D2484" t="str">
            <v>58</v>
          </cell>
          <cell r="E2484">
            <v>4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  <cell r="K2484">
            <v>0</v>
          </cell>
          <cell r="L2484">
            <v>0</v>
          </cell>
          <cell r="M2484">
            <v>0</v>
          </cell>
          <cell r="N2484">
            <v>0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>
            <v>0</v>
          </cell>
          <cell r="W2484">
            <v>0</v>
          </cell>
        </row>
        <row r="2485">
          <cell r="A2485" t="str">
            <v>453406</v>
          </cell>
          <cell r="B2485" t="str">
            <v>1251</v>
          </cell>
          <cell r="C2485" t="str">
            <v>12</v>
          </cell>
          <cell r="D2485" t="str">
            <v>58</v>
          </cell>
          <cell r="E2485">
            <v>5</v>
          </cell>
          <cell r="G2485">
            <v>0</v>
          </cell>
          <cell r="H2485">
            <v>0</v>
          </cell>
          <cell r="I2485">
            <v>0</v>
          </cell>
          <cell r="J2485">
            <v>0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  <cell r="S2485">
            <v>0</v>
          </cell>
          <cell r="T2485">
            <v>0</v>
          </cell>
          <cell r="U2485">
            <v>0</v>
          </cell>
          <cell r="V2485">
            <v>0</v>
          </cell>
          <cell r="W2485">
            <v>0</v>
          </cell>
        </row>
        <row r="2486">
          <cell r="A2486" t="str">
            <v>453406</v>
          </cell>
          <cell r="B2486" t="str">
            <v>1251</v>
          </cell>
          <cell r="C2486" t="str">
            <v>12</v>
          </cell>
          <cell r="D2486" t="str">
            <v>58</v>
          </cell>
          <cell r="E2486">
            <v>6</v>
          </cell>
          <cell r="G2486">
            <v>0</v>
          </cell>
          <cell r="H2486">
            <v>0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  <cell r="M2486">
            <v>0</v>
          </cell>
          <cell r="N2486">
            <v>0</v>
          </cell>
          <cell r="O2486">
            <v>0</v>
          </cell>
          <cell r="P2486">
            <v>0</v>
          </cell>
          <cell r="Q2486">
            <v>0</v>
          </cell>
          <cell r="R2486">
            <v>0</v>
          </cell>
          <cell r="S2486">
            <v>0</v>
          </cell>
          <cell r="T2486">
            <v>0</v>
          </cell>
          <cell r="U2486">
            <v>0</v>
          </cell>
          <cell r="V2486">
            <v>0</v>
          </cell>
          <cell r="W2486">
            <v>0</v>
          </cell>
        </row>
        <row r="2487">
          <cell r="A2487" t="str">
            <v>453406</v>
          </cell>
          <cell r="B2487" t="str">
            <v>1251</v>
          </cell>
          <cell r="C2487" t="str">
            <v>12</v>
          </cell>
          <cell r="D2487" t="str">
            <v>58</v>
          </cell>
          <cell r="E2487">
            <v>7</v>
          </cell>
          <cell r="G2487">
            <v>0</v>
          </cell>
          <cell r="H2487">
            <v>0</v>
          </cell>
          <cell r="I2487">
            <v>0</v>
          </cell>
          <cell r="J2487">
            <v>0</v>
          </cell>
          <cell r="K2487">
            <v>0</v>
          </cell>
          <cell r="L2487">
            <v>0</v>
          </cell>
          <cell r="M2487">
            <v>0</v>
          </cell>
          <cell r="N2487">
            <v>0</v>
          </cell>
          <cell r="O2487">
            <v>0</v>
          </cell>
          <cell r="P2487">
            <v>0</v>
          </cell>
          <cell r="Q2487">
            <v>0</v>
          </cell>
          <cell r="R2487">
            <v>0</v>
          </cell>
          <cell r="S2487">
            <v>0</v>
          </cell>
          <cell r="T2487">
            <v>0</v>
          </cell>
          <cell r="U2487">
            <v>0</v>
          </cell>
          <cell r="V2487">
            <v>0</v>
          </cell>
          <cell r="W2487">
            <v>0</v>
          </cell>
        </row>
        <row r="2488">
          <cell r="A2488" t="str">
            <v>453406</v>
          </cell>
          <cell r="B2488" t="str">
            <v>1251</v>
          </cell>
          <cell r="C2488" t="str">
            <v>12</v>
          </cell>
          <cell r="D2488" t="str">
            <v>58</v>
          </cell>
          <cell r="E2488">
            <v>8</v>
          </cell>
          <cell r="G2488">
            <v>0</v>
          </cell>
          <cell r="H2488">
            <v>0</v>
          </cell>
          <cell r="I2488">
            <v>0</v>
          </cell>
          <cell r="J2488">
            <v>0</v>
          </cell>
          <cell r="K2488">
            <v>0</v>
          </cell>
          <cell r="L2488">
            <v>0</v>
          </cell>
          <cell r="M2488">
            <v>0</v>
          </cell>
          <cell r="N2488">
            <v>0</v>
          </cell>
          <cell r="O2488">
            <v>0</v>
          </cell>
          <cell r="P2488">
            <v>0</v>
          </cell>
          <cell r="Q2488">
            <v>0</v>
          </cell>
          <cell r="R2488">
            <v>0</v>
          </cell>
          <cell r="S2488">
            <v>0</v>
          </cell>
          <cell r="T2488">
            <v>0</v>
          </cell>
          <cell r="U2488">
            <v>0</v>
          </cell>
          <cell r="V2488">
            <v>0</v>
          </cell>
          <cell r="W2488">
            <v>0</v>
          </cell>
        </row>
        <row r="2489">
          <cell r="A2489" t="str">
            <v>453406</v>
          </cell>
          <cell r="B2489" t="str">
            <v>1251</v>
          </cell>
          <cell r="C2489" t="str">
            <v>12</v>
          </cell>
          <cell r="D2489" t="str">
            <v>58</v>
          </cell>
          <cell r="E2489">
            <v>9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L2489">
            <v>0</v>
          </cell>
          <cell r="M2489">
            <v>0</v>
          </cell>
          <cell r="N2489">
            <v>0</v>
          </cell>
          <cell r="O2489">
            <v>0</v>
          </cell>
          <cell r="P2489">
            <v>0</v>
          </cell>
          <cell r="Q2489">
            <v>0</v>
          </cell>
          <cell r="R2489">
            <v>0</v>
          </cell>
          <cell r="S2489">
            <v>0</v>
          </cell>
          <cell r="T2489">
            <v>0</v>
          </cell>
          <cell r="U2489">
            <v>0</v>
          </cell>
          <cell r="V2489">
            <v>0</v>
          </cell>
          <cell r="W2489">
            <v>0</v>
          </cell>
        </row>
        <row r="2490">
          <cell r="A2490" t="str">
            <v>453406</v>
          </cell>
          <cell r="B2490" t="str">
            <v>1251</v>
          </cell>
          <cell r="C2490" t="str">
            <v>12</v>
          </cell>
          <cell r="D2490" t="str">
            <v>58</v>
          </cell>
          <cell r="E2490">
            <v>10</v>
          </cell>
          <cell r="G2490">
            <v>0</v>
          </cell>
          <cell r="H2490">
            <v>0</v>
          </cell>
          <cell r="I2490">
            <v>0</v>
          </cell>
          <cell r="J2490">
            <v>0</v>
          </cell>
          <cell r="K2490">
            <v>0</v>
          </cell>
          <cell r="L2490">
            <v>0</v>
          </cell>
          <cell r="M2490">
            <v>0</v>
          </cell>
          <cell r="N2490">
            <v>0</v>
          </cell>
          <cell r="O2490">
            <v>0</v>
          </cell>
          <cell r="P2490">
            <v>0</v>
          </cell>
          <cell r="Q2490">
            <v>0</v>
          </cell>
          <cell r="R2490">
            <v>0</v>
          </cell>
          <cell r="S2490">
            <v>0</v>
          </cell>
          <cell r="T2490">
            <v>0</v>
          </cell>
          <cell r="U2490">
            <v>0</v>
          </cell>
          <cell r="V2490">
            <v>0</v>
          </cell>
          <cell r="W2490">
            <v>0</v>
          </cell>
        </row>
        <row r="2491">
          <cell r="A2491" t="str">
            <v>453406</v>
          </cell>
          <cell r="B2491" t="str">
            <v>1251</v>
          </cell>
          <cell r="C2491" t="str">
            <v>12</v>
          </cell>
          <cell r="D2491" t="str">
            <v>58</v>
          </cell>
          <cell r="E2491">
            <v>11</v>
          </cell>
          <cell r="G2491">
            <v>3643</v>
          </cell>
          <cell r="H2491">
            <v>0</v>
          </cell>
          <cell r="I2491">
            <v>45238</v>
          </cell>
          <cell r="J2491">
            <v>0</v>
          </cell>
          <cell r="K2491">
            <v>48881</v>
          </cell>
          <cell r="L2491">
            <v>802</v>
          </cell>
          <cell r="M2491">
            <v>2983</v>
          </cell>
          <cell r="N2491">
            <v>45096</v>
          </cell>
          <cell r="O2491">
            <v>0</v>
          </cell>
          <cell r="P2491">
            <v>0</v>
          </cell>
          <cell r="Q2491">
            <v>0</v>
          </cell>
          <cell r="R2491">
            <v>0</v>
          </cell>
          <cell r="S2491">
            <v>0</v>
          </cell>
          <cell r="T2491">
            <v>0</v>
          </cell>
          <cell r="U2491">
            <v>0</v>
          </cell>
          <cell r="V2491">
            <v>0</v>
          </cell>
          <cell r="W2491">
            <v>0</v>
          </cell>
        </row>
        <row r="2492">
          <cell r="A2492" t="str">
            <v>453406</v>
          </cell>
          <cell r="B2492" t="str">
            <v>1251</v>
          </cell>
          <cell r="C2492" t="str">
            <v>12</v>
          </cell>
          <cell r="D2492" t="str">
            <v>59</v>
          </cell>
          <cell r="E2492">
            <v>1</v>
          </cell>
          <cell r="G2492">
            <v>0</v>
          </cell>
          <cell r="H2492">
            <v>0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0</v>
          </cell>
          <cell r="P2492">
            <v>0</v>
          </cell>
          <cell r="Q2492">
            <v>0</v>
          </cell>
          <cell r="R2492">
            <v>0</v>
          </cell>
          <cell r="S2492">
            <v>0</v>
          </cell>
          <cell r="T2492">
            <v>0</v>
          </cell>
          <cell r="U2492">
            <v>0</v>
          </cell>
          <cell r="V2492">
            <v>0</v>
          </cell>
          <cell r="W2492">
            <v>0</v>
          </cell>
        </row>
        <row r="2493">
          <cell r="A2493" t="str">
            <v>453406</v>
          </cell>
          <cell r="B2493" t="str">
            <v>1251</v>
          </cell>
          <cell r="C2493" t="str">
            <v>12</v>
          </cell>
          <cell r="D2493" t="str">
            <v>59</v>
          </cell>
          <cell r="E2493">
            <v>2</v>
          </cell>
          <cell r="G2493">
            <v>0</v>
          </cell>
          <cell r="H2493">
            <v>0</v>
          </cell>
          <cell r="I2493">
            <v>0</v>
          </cell>
          <cell r="J2493">
            <v>0</v>
          </cell>
          <cell r="K2493">
            <v>0</v>
          </cell>
          <cell r="L2493">
            <v>0</v>
          </cell>
          <cell r="M2493">
            <v>0</v>
          </cell>
          <cell r="N2493">
            <v>0</v>
          </cell>
          <cell r="O2493">
            <v>0</v>
          </cell>
          <cell r="P2493">
            <v>0</v>
          </cell>
          <cell r="Q2493">
            <v>0</v>
          </cell>
          <cell r="R2493">
            <v>0</v>
          </cell>
          <cell r="S2493">
            <v>0</v>
          </cell>
          <cell r="T2493">
            <v>0</v>
          </cell>
          <cell r="U2493">
            <v>0</v>
          </cell>
          <cell r="V2493">
            <v>0</v>
          </cell>
          <cell r="W2493">
            <v>0</v>
          </cell>
        </row>
        <row r="2494">
          <cell r="A2494" t="str">
            <v>453406</v>
          </cell>
          <cell r="B2494" t="str">
            <v>1251</v>
          </cell>
          <cell r="C2494" t="str">
            <v>12</v>
          </cell>
          <cell r="D2494" t="str">
            <v>59</v>
          </cell>
          <cell r="E2494">
            <v>3</v>
          </cell>
          <cell r="G2494">
            <v>0</v>
          </cell>
          <cell r="H2494">
            <v>0</v>
          </cell>
          <cell r="I2494">
            <v>0</v>
          </cell>
          <cell r="J2494">
            <v>0</v>
          </cell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>
            <v>0</v>
          </cell>
          <cell r="P2494">
            <v>0</v>
          </cell>
          <cell r="Q2494">
            <v>0</v>
          </cell>
          <cell r="R2494">
            <v>0</v>
          </cell>
          <cell r="S2494">
            <v>0</v>
          </cell>
          <cell r="T2494">
            <v>0</v>
          </cell>
          <cell r="U2494">
            <v>0</v>
          </cell>
          <cell r="V2494">
            <v>0</v>
          </cell>
          <cell r="W2494">
            <v>0</v>
          </cell>
        </row>
        <row r="2495">
          <cell r="A2495" t="str">
            <v>453406</v>
          </cell>
          <cell r="B2495" t="str">
            <v>1251</v>
          </cell>
          <cell r="C2495" t="str">
            <v>12</v>
          </cell>
          <cell r="D2495" t="str">
            <v>59</v>
          </cell>
          <cell r="E2495">
            <v>4</v>
          </cell>
          <cell r="G2495">
            <v>0</v>
          </cell>
          <cell r="H2495">
            <v>0</v>
          </cell>
          <cell r="I2495">
            <v>0</v>
          </cell>
          <cell r="J2495">
            <v>0</v>
          </cell>
          <cell r="K2495">
            <v>0</v>
          </cell>
          <cell r="L2495">
            <v>0</v>
          </cell>
          <cell r="M2495">
            <v>0</v>
          </cell>
          <cell r="N2495">
            <v>0</v>
          </cell>
          <cell r="O2495">
            <v>0</v>
          </cell>
          <cell r="P2495">
            <v>0</v>
          </cell>
          <cell r="Q2495">
            <v>0</v>
          </cell>
          <cell r="R2495">
            <v>0</v>
          </cell>
          <cell r="S2495">
            <v>0</v>
          </cell>
          <cell r="T2495">
            <v>0</v>
          </cell>
          <cell r="U2495">
            <v>0</v>
          </cell>
          <cell r="V2495">
            <v>0</v>
          </cell>
          <cell r="W2495">
            <v>0</v>
          </cell>
        </row>
        <row r="2496">
          <cell r="A2496" t="str">
            <v>453406</v>
          </cell>
          <cell r="B2496" t="str">
            <v>1251</v>
          </cell>
          <cell r="C2496" t="str">
            <v>12</v>
          </cell>
          <cell r="D2496" t="str">
            <v>59</v>
          </cell>
          <cell r="E2496">
            <v>5</v>
          </cell>
          <cell r="G2496">
            <v>0</v>
          </cell>
          <cell r="H2496">
            <v>0</v>
          </cell>
          <cell r="I2496">
            <v>0</v>
          </cell>
          <cell r="J2496">
            <v>0</v>
          </cell>
          <cell r="K2496">
            <v>0</v>
          </cell>
          <cell r="L2496">
            <v>0</v>
          </cell>
          <cell r="M2496">
            <v>0</v>
          </cell>
          <cell r="N2496">
            <v>0</v>
          </cell>
          <cell r="O2496">
            <v>0</v>
          </cell>
          <cell r="P2496">
            <v>0</v>
          </cell>
          <cell r="Q2496">
            <v>0</v>
          </cell>
          <cell r="R2496">
            <v>0</v>
          </cell>
          <cell r="S2496">
            <v>0</v>
          </cell>
          <cell r="T2496">
            <v>0</v>
          </cell>
          <cell r="U2496">
            <v>0</v>
          </cell>
          <cell r="V2496">
            <v>0</v>
          </cell>
          <cell r="W2496">
            <v>0</v>
          </cell>
        </row>
        <row r="2497">
          <cell r="A2497" t="str">
            <v>453406</v>
          </cell>
          <cell r="B2497" t="str">
            <v>1251</v>
          </cell>
          <cell r="C2497" t="str">
            <v>12</v>
          </cell>
          <cell r="D2497" t="str">
            <v>59</v>
          </cell>
          <cell r="E2497">
            <v>6</v>
          </cell>
          <cell r="G2497">
            <v>0</v>
          </cell>
          <cell r="H2497">
            <v>0</v>
          </cell>
          <cell r="I2497">
            <v>0</v>
          </cell>
          <cell r="J2497">
            <v>0</v>
          </cell>
          <cell r="K2497">
            <v>0</v>
          </cell>
          <cell r="L2497">
            <v>0</v>
          </cell>
          <cell r="M2497">
            <v>0</v>
          </cell>
          <cell r="N2497">
            <v>0</v>
          </cell>
          <cell r="O2497">
            <v>0</v>
          </cell>
          <cell r="P2497">
            <v>0</v>
          </cell>
          <cell r="Q2497">
            <v>0</v>
          </cell>
          <cell r="R2497">
            <v>0</v>
          </cell>
          <cell r="S2497">
            <v>0</v>
          </cell>
          <cell r="T2497">
            <v>0</v>
          </cell>
          <cell r="U2497">
            <v>0</v>
          </cell>
          <cell r="V2497">
            <v>0</v>
          </cell>
          <cell r="W2497">
            <v>0</v>
          </cell>
        </row>
        <row r="2498">
          <cell r="A2498" t="str">
            <v>453406</v>
          </cell>
          <cell r="B2498" t="str">
            <v>1251</v>
          </cell>
          <cell r="C2498" t="str">
            <v>12</v>
          </cell>
          <cell r="D2498" t="str">
            <v>59</v>
          </cell>
          <cell r="E2498">
            <v>7</v>
          </cell>
          <cell r="G2498">
            <v>0</v>
          </cell>
          <cell r="H2498">
            <v>0</v>
          </cell>
          <cell r="I2498">
            <v>0</v>
          </cell>
          <cell r="J2498">
            <v>0</v>
          </cell>
          <cell r="K2498">
            <v>0</v>
          </cell>
          <cell r="L2498">
            <v>0</v>
          </cell>
          <cell r="M2498">
            <v>0</v>
          </cell>
          <cell r="N2498">
            <v>0</v>
          </cell>
          <cell r="O2498">
            <v>0</v>
          </cell>
          <cell r="P2498">
            <v>0</v>
          </cell>
          <cell r="Q2498">
            <v>0</v>
          </cell>
          <cell r="R2498">
            <v>0</v>
          </cell>
          <cell r="S2498">
            <v>0</v>
          </cell>
          <cell r="T2498">
            <v>0</v>
          </cell>
          <cell r="U2498">
            <v>0</v>
          </cell>
          <cell r="V2498">
            <v>0</v>
          </cell>
          <cell r="W2498">
            <v>0</v>
          </cell>
        </row>
        <row r="2499">
          <cell r="A2499" t="str">
            <v>453406</v>
          </cell>
          <cell r="B2499" t="str">
            <v>1251</v>
          </cell>
          <cell r="C2499" t="str">
            <v>12</v>
          </cell>
          <cell r="D2499" t="str">
            <v>59</v>
          </cell>
          <cell r="E2499">
            <v>8</v>
          </cell>
          <cell r="G2499">
            <v>9836</v>
          </cell>
          <cell r="H2499">
            <v>0</v>
          </cell>
          <cell r="I2499">
            <v>78039</v>
          </cell>
          <cell r="J2499">
            <v>0</v>
          </cell>
          <cell r="K2499">
            <v>87875</v>
          </cell>
          <cell r="L2499">
            <v>46</v>
          </cell>
          <cell r="M2499">
            <v>9836</v>
          </cell>
          <cell r="N2499">
            <v>77993</v>
          </cell>
          <cell r="O2499">
            <v>0</v>
          </cell>
          <cell r="P2499">
            <v>0</v>
          </cell>
          <cell r="Q2499">
            <v>0</v>
          </cell>
          <cell r="R2499">
            <v>0</v>
          </cell>
          <cell r="S2499">
            <v>0</v>
          </cell>
          <cell r="T2499">
            <v>0</v>
          </cell>
          <cell r="U2499">
            <v>0</v>
          </cell>
          <cell r="V2499">
            <v>0</v>
          </cell>
          <cell r="W2499">
            <v>0</v>
          </cell>
        </row>
        <row r="2500">
          <cell r="A2500" t="str">
            <v>453406</v>
          </cell>
          <cell r="B2500" t="str">
            <v>1251</v>
          </cell>
          <cell r="C2500" t="str">
            <v>12</v>
          </cell>
          <cell r="D2500" t="str">
            <v>59</v>
          </cell>
          <cell r="E2500">
            <v>9</v>
          </cell>
          <cell r="G2500">
            <v>0</v>
          </cell>
          <cell r="H2500">
            <v>0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  <cell r="M2500">
            <v>0</v>
          </cell>
          <cell r="N2500">
            <v>0</v>
          </cell>
          <cell r="O2500">
            <v>0</v>
          </cell>
          <cell r="P2500">
            <v>0</v>
          </cell>
          <cell r="Q2500">
            <v>0</v>
          </cell>
          <cell r="R2500">
            <v>0</v>
          </cell>
          <cell r="S2500">
            <v>0</v>
          </cell>
          <cell r="T2500">
            <v>0</v>
          </cell>
          <cell r="U2500">
            <v>0</v>
          </cell>
          <cell r="V2500">
            <v>0</v>
          </cell>
          <cell r="W2500">
            <v>0</v>
          </cell>
        </row>
        <row r="2501">
          <cell r="A2501" t="str">
            <v>453406</v>
          </cell>
          <cell r="B2501" t="str">
            <v>1251</v>
          </cell>
          <cell r="C2501" t="str">
            <v>12</v>
          </cell>
          <cell r="D2501" t="str">
            <v>59</v>
          </cell>
          <cell r="E2501">
            <v>10</v>
          </cell>
          <cell r="G2501">
            <v>0</v>
          </cell>
          <cell r="H2501">
            <v>0</v>
          </cell>
          <cell r="I2501">
            <v>0</v>
          </cell>
          <cell r="J2501">
            <v>0</v>
          </cell>
          <cell r="K2501">
            <v>0</v>
          </cell>
          <cell r="L2501">
            <v>0</v>
          </cell>
          <cell r="M2501">
            <v>0</v>
          </cell>
          <cell r="N2501">
            <v>0</v>
          </cell>
          <cell r="O2501">
            <v>0</v>
          </cell>
          <cell r="P2501">
            <v>0</v>
          </cell>
          <cell r="Q2501">
            <v>0</v>
          </cell>
          <cell r="R2501">
            <v>0</v>
          </cell>
          <cell r="S2501">
            <v>0</v>
          </cell>
          <cell r="T2501">
            <v>0</v>
          </cell>
          <cell r="U2501">
            <v>0</v>
          </cell>
          <cell r="V2501">
            <v>0</v>
          </cell>
          <cell r="W2501">
            <v>0</v>
          </cell>
        </row>
        <row r="2502">
          <cell r="A2502" t="str">
            <v>453406</v>
          </cell>
          <cell r="B2502" t="str">
            <v>1251</v>
          </cell>
          <cell r="C2502" t="str">
            <v>12</v>
          </cell>
          <cell r="D2502" t="str">
            <v>59</v>
          </cell>
          <cell r="E2502">
            <v>11</v>
          </cell>
          <cell r="G2502">
            <v>9836</v>
          </cell>
          <cell r="H2502">
            <v>0</v>
          </cell>
          <cell r="I2502">
            <v>78039</v>
          </cell>
          <cell r="J2502">
            <v>0</v>
          </cell>
          <cell r="K2502">
            <v>87875</v>
          </cell>
          <cell r="L2502">
            <v>46</v>
          </cell>
          <cell r="M2502">
            <v>9836</v>
          </cell>
          <cell r="N2502">
            <v>77993</v>
          </cell>
          <cell r="O2502">
            <v>0</v>
          </cell>
          <cell r="P2502">
            <v>0</v>
          </cell>
          <cell r="Q2502">
            <v>0</v>
          </cell>
          <cell r="R2502">
            <v>0</v>
          </cell>
          <cell r="S2502">
            <v>0</v>
          </cell>
          <cell r="T2502">
            <v>0</v>
          </cell>
          <cell r="U2502">
            <v>0</v>
          </cell>
          <cell r="V2502">
            <v>0</v>
          </cell>
          <cell r="W2502">
            <v>0</v>
          </cell>
        </row>
        <row r="2503">
          <cell r="A2503" t="str">
            <v>453406</v>
          </cell>
          <cell r="B2503" t="str">
            <v>1251</v>
          </cell>
          <cell r="C2503" t="str">
            <v>12</v>
          </cell>
          <cell r="D2503" t="str">
            <v>59</v>
          </cell>
          <cell r="E2503">
            <v>12</v>
          </cell>
          <cell r="G2503">
            <v>0</v>
          </cell>
          <cell r="H2503">
            <v>0</v>
          </cell>
          <cell r="I2503">
            <v>897</v>
          </cell>
          <cell r="J2503">
            <v>0</v>
          </cell>
          <cell r="K2503">
            <v>897</v>
          </cell>
          <cell r="L2503">
            <v>0</v>
          </cell>
          <cell r="M2503">
            <v>0</v>
          </cell>
          <cell r="N2503">
            <v>897</v>
          </cell>
          <cell r="O2503">
            <v>0</v>
          </cell>
          <cell r="P2503">
            <v>0</v>
          </cell>
          <cell r="Q2503">
            <v>0</v>
          </cell>
          <cell r="R2503">
            <v>0</v>
          </cell>
          <cell r="S2503">
            <v>0</v>
          </cell>
          <cell r="T2503">
            <v>0</v>
          </cell>
          <cell r="U2503">
            <v>0</v>
          </cell>
          <cell r="V2503">
            <v>0</v>
          </cell>
          <cell r="W2503">
            <v>0</v>
          </cell>
        </row>
        <row r="2504">
          <cell r="A2504" t="str">
            <v>453406</v>
          </cell>
          <cell r="B2504" t="str">
            <v>1251</v>
          </cell>
          <cell r="C2504" t="str">
            <v>12</v>
          </cell>
          <cell r="D2504" t="str">
            <v>59</v>
          </cell>
          <cell r="E2504">
            <v>13</v>
          </cell>
          <cell r="G2504">
            <v>0</v>
          </cell>
          <cell r="H2504">
            <v>0</v>
          </cell>
          <cell r="I2504">
            <v>0</v>
          </cell>
          <cell r="J2504">
            <v>0</v>
          </cell>
          <cell r="K2504">
            <v>0</v>
          </cell>
          <cell r="L2504">
            <v>0</v>
          </cell>
          <cell r="M2504">
            <v>0</v>
          </cell>
          <cell r="N2504">
            <v>0</v>
          </cell>
          <cell r="O2504">
            <v>0</v>
          </cell>
          <cell r="P2504">
            <v>0</v>
          </cell>
          <cell r="Q2504">
            <v>0</v>
          </cell>
          <cell r="R2504">
            <v>0</v>
          </cell>
          <cell r="S2504">
            <v>0</v>
          </cell>
          <cell r="T2504">
            <v>0</v>
          </cell>
          <cell r="U2504">
            <v>0</v>
          </cell>
          <cell r="V2504">
            <v>0</v>
          </cell>
          <cell r="W2504">
            <v>0</v>
          </cell>
        </row>
        <row r="2505">
          <cell r="A2505" t="str">
            <v>453406</v>
          </cell>
          <cell r="B2505" t="str">
            <v>1251</v>
          </cell>
          <cell r="C2505" t="str">
            <v>12</v>
          </cell>
          <cell r="D2505" t="str">
            <v>59</v>
          </cell>
          <cell r="E2505">
            <v>14</v>
          </cell>
          <cell r="G2505">
            <v>6849</v>
          </cell>
          <cell r="H2505">
            <v>0</v>
          </cell>
          <cell r="I2505">
            <v>46987</v>
          </cell>
          <cell r="J2505">
            <v>0</v>
          </cell>
          <cell r="K2505">
            <v>53836</v>
          </cell>
          <cell r="L2505">
            <v>6</v>
          </cell>
          <cell r="M2505">
            <v>6849</v>
          </cell>
          <cell r="N2505">
            <v>46981</v>
          </cell>
          <cell r="O2505">
            <v>0</v>
          </cell>
          <cell r="P2505">
            <v>0</v>
          </cell>
          <cell r="Q2505">
            <v>0</v>
          </cell>
          <cell r="R2505">
            <v>0</v>
          </cell>
          <cell r="S2505">
            <v>0</v>
          </cell>
          <cell r="T2505">
            <v>0</v>
          </cell>
          <cell r="U2505">
            <v>0</v>
          </cell>
          <cell r="V2505">
            <v>0</v>
          </cell>
          <cell r="W2505">
            <v>0</v>
          </cell>
        </row>
        <row r="2506">
          <cell r="A2506" t="str">
            <v>453406</v>
          </cell>
          <cell r="B2506" t="str">
            <v>1251</v>
          </cell>
          <cell r="C2506" t="str">
            <v>12</v>
          </cell>
          <cell r="D2506" t="str">
            <v>59</v>
          </cell>
          <cell r="E2506">
            <v>15</v>
          </cell>
          <cell r="G2506">
            <v>2987</v>
          </cell>
          <cell r="H2506">
            <v>0</v>
          </cell>
          <cell r="I2506">
            <v>30155</v>
          </cell>
          <cell r="J2506">
            <v>0</v>
          </cell>
          <cell r="K2506">
            <v>33142</v>
          </cell>
          <cell r="L2506">
            <v>40</v>
          </cell>
          <cell r="M2506">
            <v>2987</v>
          </cell>
          <cell r="N2506">
            <v>30115</v>
          </cell>
          <cell r="O2506">
            <v>0</v>
          </cell>
          <cell r="P2506">
            <v>0</v>
          </cell>
          <cell r="Q2506">
            <v>0</v>
          </cell>
          <cell r="R2506">
            <v>0</v>
          </cell>
          <cell r="S2506">
            <v>0</v>
          </cell>
          <cell r="T2506">
            <v>0</v>
          </cell>
          <cell r="U2506">
            <v>0</v>
          </cell>
          <cell r="V2506">
            <v>0</v>
          </cell>
          <cell r="W2506">
            <v>0</v>
          </cell>
        </row>
        <row r="2507">
          <cell r="A2507" t="str">
            <v>453406</v>
          </cell>
          <cell r="B2507" t="str">
            <v>1251</v>
          </cell>
          <cell r="C2507" t="str">
            <v>12</v>
          </cell>
          <cell r="D2507" t="str">
            <v>59</v>
          </cell>
          <cell r="E2507">
            <v>16</v>
          </cell>
          <cell r="G2507">
            <v>0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</row>
        <row r="2508">
          <cell r="A2508" t="str">
            <v>453406</v>
          </cell>
          <cell r="B2508" t="str">
            <v>1251</v>
          </cell>
          <cell r="C2508" t="str">
            <v>12</v>
          </cell>
          <cell r="D2508" t="str">
            <v>59</v>
          </cell>
          <cell r="E2508">
            <v>17</v>
          </cell>
          <cell r="G2508">
            <v>0</v>
          </cell>
          <cell r="H2508">
            <v>0</v>
          </cell>
          <cell r="I2508">
            <v>0</v>
          </cell>
          <cell r="J2508">
            <v>0</v>
          </cell>
          <cell r="K2508">
            <v>0</v>
          </cell>
          <cell r="L2508">
            <v>0</v>
          </cell>
          <cell r="M2508">
            <v>0</v>
          </cell>
          <cell r="N2508">
            <v>0</v>
          </cell>
          <cell r="O2508">
            <v>0</v>
          </cell>
          <cell r="P2508">
            <v>0</v>
          </cell>
          <cell r="Q2508">
            <v>0</v>
          </cell>
          <cell r="R2508">
            <v>0</v>
          </cell>
          <cell r="S2508">
            <v>0</v>
          </cell>
          <cell r="T2508">
            <v>0</v>
          </cell>
          <cell r="U2508">
            <v>0</v>
          </cell>
          <cell r="V2508">
            <v>0</v>
          </cell>
          <cell r="W2508">
            <v>0</v>
          </cell>
        </row>
        <row r="2509">
          <cell r="A2509" t="str">
            <v>453406</v>
          </cell>
          <cell r="B2509" t="str">
            <v>1251</v>
          </cell>
          <cell r="C2509" t="str">
            <v>12</v>
          </cell>
          <cell r="D2509" t="str">
            <v>59</v>
          </cell>
          <cell r="E2509">
            <v>18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V2509">
            <v>0</v>
          </cell>
          <cell r="W2509">
            <v>0</v>
          </cell>
        </row>
        <row r="2510">
          <cell r="A2510" t="str">
            <v>453406</v>
          </cell>
          <cell r="B2510" t="str">
            <v>1251</v>
          </cell>
          <cell r="C2510" t="str">
            <v>12</v>
          </cell>
          <cell r="D2510" t="str">
            <v>59</v>
          </cell>
          <cell r="E2510">
            <v>19</v>
          </cell>
          <cell r="G2510">
            <v>0</v>
          </cell>
          <cell r="H2510">
            <v>0</v>
          </cell>
          <cell r="I2510">
            <v>0</v>
          </cell>
          <cell r="J2510">
            <v>0</v>
          </cell>
          <cell r="K2510">
            <v>0</v>
          </cell>
          <cell r="L2510">
            <v>0</v>
          </cell>
          <cell r="M2510">
            <v>0</v>
          </cell>
          <cell r="N2510">
            <v>0</v>
          </cell>
          <cell r="O2510">
            <v>0</v>
          </cell>
          <cell r="P2510">
            <v>0</v>
          </cell>
          <cell r="Q2510">
            <v>0</v>
          </cell>
          <cell r="R2510">
            <v>0</v>
          </cell>
          <cell r="S2510">
            <v>0</v>
          </cell>
          <cell r="T2510">
            <v>0</v>
          </cell>
          <cell r="U2510">
            <v>0</v>
          </cell>
          <cell r="V2510">
            <v>0</v>
          </cell>
          <cell r="W2510">
            <v>0</v>
          </cell>
        </row>
        <row r="2511">
          <cell r="A2511" t="str">
            <v>453406</v>
          </cell>
          <cell r="B2511" t="str">
            <v>1251</v>
          </cell>
          <cell r="C2511" t="str">
            <v>12</v>
          </cell>
          <cell r="D2511" t="str">
            <v>59</v>
          </cell>
          <cell r="E2511">
            <v>20</v>
          </cell>
          <cell r="G2511">
            <v>0</v>
          </cell>
          <cell r="H2511">
            <v>0</v>
          </cell>
          <cell r="I2511">
            <v>0</v>
          </cell>
          <cell r="J2511">
            <v>0</v>
          </cell>
          <cell r="K2511">
            <v>0</v>
          </cell>
          <cell r="L2511">
            <v>0</v>
          </cell>
          <cell r="M2511">
            <v>0</v>
          </cell>
          <cell r="N2511">
            <v>0</v>
          </cell>
          <cell r="O2511">
            <v>0</v>
          </cell>
          <cell r="P2511">
            <v>0</v>
          </cell>
          <cell r="Q2511">
            <v>0</v>
          </cell>
          <cell r="R2511">
            <v>0</v>
          </cell>
          <cell r="S2511">
            <v>0</v>
          </cell>
          <cell r="T2511">
            <v>0</v>
          </cell>
          <cell r="U2511">
            <v>0</v>
          </cell>
          <cell r="V2511">
            <v>0</v>
          </cell>
          <cell r="W2511">
            <v>0</v>
          </cell>
        </row>
        <row r="2512">
          <cell r="A2512" t="str">
            <v>453406</v>
          </cell>
          <cell r="B2512" t="str">
            <v>1251</v>
          </cell>
          <cell r="C2512" t="str">
            <v>12</v>
          </cell>
          <cell r="D2512" t="str">
            <v>59</v>
          </cell>
          <cell r="E2512">
            <v>21</v>
          </cell>
          <cell r="G2512">
            <v>0</v>
          </cell>
          <cell r="H2512">
            <v>0</v>
          </cell>
          <cell r="I2512">
            <v>0</v>
          </cell>
          <cell r="J2512">
            <v>0</v>
          </cell>
          <cell r="K2512">
            <v>0</v>
          </cell>
          <cell r="L2512">
            <v>0</v>
          </cell>
          <cell r="M2512">
            <v>0</v>
          </cell>
          <cell r="N2512">
            <v>0</v>
          </cell>
          <cell r="O2512">
            <v>0</v>
          </cell>
          <cell r="P2512">
            <v>0</v>
          </cell>
          <cell r="Q2512">
            <v>0</v>
          </cell>
          <cell r="R2512">
            <v>0</v>
          </cell>
          <cell r="S2512">
            <v>0</v>
          </cell>
          <cell r="T2512">
            <v>0</v>
          </cell>
          <cell r="U2512">
            <v>0</v>
          </cell>
          <cell r="V2512">
            <v>0</v>
          </cell>
          <cell r="W2512">
            <v>0</v>
          </cell>
        </row>
        <row r="2513">
          <cell r="A2513" t="str">
            <v>453406</v>
          </cell>
          <cell r="B2513" t="str">
            <v>1251</v>
          </cell>
          <cell r="C2513" t="str">
            <v>12</v>
          </cell>
          <cell r="D2513" t="str">
            <v>59</v>
          </cell>
          <cell r="E2513">
            <v>22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</row>
        <row r="2514">
          <cell r="A2514" t="str">
            <v>453406</v>
          </cell>
          <cell r="B2514" t="str">
            <v>1251</v>
          </cell>
          <cell r="C2514" t="str">
            <v>12</v>
          </cell>
          <cell r="D2514" t="str">
            <v>59</v>
          </cell>
          <cell r="E2514">
            <v>23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  <cell r="K2514">
            <v>0</v>
          </cell>
          <cell r="L2514">
            <v>0</v>
          </cell>
          <cell r="M2514">
            <v>0</v>
          </cell>
          <cell r="N2514">
            <v>0</v>
          </cell>
          <cell r="O2514">
            <v>0</v>
          </cell>
          <cell r="P2514">
            <v>0</v>
          </cell>
          <cell r="Q2514">
            <v>0</v>
          </cell>
          <cell r="R2514">
            <v>0</v>
          </cell>
          <cell r="S2514">
            <v>0</v>
          </cell>
          <cell r="T2514">
            <v>0</v>
          </cell>
          <cell r="U2514">
            <v>0</v>
          </cell>
          <cell r="V2514">
            <v>0</v>
          </cell>
          <cell r="W2514">
            <v>0</v>
          </cell>
        </row>
        <row r="2515">
          <cell r="A2515" t="str">
            <v>453406</v>
          </cell>
          <cell r="B2515" t="str">
            <v>1251</v>
          </cell>
          <cell r="C2515" t="str">
            <v>12</v>
          </cell>
          <cell r="D2515" t="str">
            <v>59</v>
          </cell>
          <cell r="E2515">
            <v>24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L2515">
            <v>0</v>
          </cell>
          <cell r="M2515">
            <v>0</v>
          </cell>
          <cell r="N2515">
            <v>0</v>
          </cell>
          <cell r="O2515">
            <v>0</v>
          </cell>
          <cell r="P2515">
            <v>0</v>
          </cell>
          <cell r="Q2515">
            <v>0</v>
          </cell>
          <cell r="R2515">
            <v>0</v>
          </cell>
          <cell r="S2515">
            <v>0</v>
          </cell>
          <cell r="T2515">
            <v>0</v>
          </cell>
          <cell r="U2515">
            <v>0</v>
          </cell>
          <cell r="V2515">
            <v>0</v>
          </cell>
          <cell r="W2515">
            <v>0</v>
          </cell>
        </row>
        <row r="2516">
          <cell r="A2516" t="str">
            <v>453406</v>
          </cell>
          <cell r="B2516" t="str">
            <v>1251</v>
          </cell>
          <cell r="C2516" t="str">
            <v>12</v>
          </cell>
          <cell r="D2516" t="str">
            <v>59</v>
          </cell>
          <cell r="E2516">
            <v>25</v>
          </cell>
          <cell r="G2516">
            <v>0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  <cell r="P2516">
            <v>0</v>
          </cell>
          <cell r="Q2516">
            <v>0</v>
          </cell>
          <cell r="R2516">
            <v>0</v>
          </cell>
          <cell r="S2516">
            <v>0</v>
          </cell>
          <cell r="T2516">
            <v>0</v>
          </cell>
          <cell r="U2516">
            <v>0</v>
          </cell>
          <cell r="V2516">
            <v>0</v>
          </cell>
          <cell r="W2516">
            <v>0</v>
          </cell>
        </row>
        <row r="2517">
          <cell r="A2517" t="str">
            <v>453406</v>
          </cell>
          <cell r="B2517" t="str">
            <v>1251</v>
          </cell>
          <cell r="C2517" t="str">
            <v>12</v>
          </cell>
          <cell r="D2517" t="str">
            <v>59</v>
          </cell>
          <cell r="E2517">
            <v>26</v>
          </cell>
          <cell r="G2517">
            <v>0</v>
          </cell>
          <cell r="H2517">
            <v>0</v>
          </cell>
          <cell r="I2517">
            <v>0</v>
          </cell>
          <cell r="J2517">
            <v>0</v>
          </cell>
          <cell r="K2517">
            <v>0</v>
          </cell>
          <cell r="L2517">
            <v>0</v>
          </cell>
          <cell r="M2517">
            <v>0</v>
          </cell>
          <cell r="N2517">
            <v>0</v>
          </cell>
          <cell r="O2517">
            <v>0</v>
          </cell>
          <cell r="P2517">
            <v>0</v>
          </cell>
          <cell r="Q2517">
            <v>0</v>
          </cell>
          <cell r="R2517">
            <v>0</v>
          </cell>
          <cell r="S2517">
            <v>0</v>
          </cell>
          <cell r="T2517">
            <v>0</v>
          </cell>
          <cell r="U2517">
            <v>0</v>
          </cell>
          <cell r="V2517">
            <v>0</v>
          </cell>
          <cell r="W2517">
            <v>0</v>
          </cell>
        </row>
        <row r="2518">
          <cell r="A2518" t="str">
            <v>453406</v>
          </cell>
          <cell r="B2518" t="str">
            <v>1251</v>
          </cell>
          <cell r="C2518" t="str">
            <v>12</v>
          </cell>
          <cell r="D2518" t="str">
            <v>59</v>
          </cell>
          <cell r="E2518">
            <v>27</v>
          </cell>
          <cell r="G2518">
            <v>0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  <cell r="L2518">
            <v>0</v>
          </cell>
          <cell r="M2518">
            <v>0</v>
          </cell>
          <cell r="N2518">
            <v>0</v>
          </cell>
          <cell r="O2518">
            <v>0</v>
          </cell>
          <cell r="P2518">
            <v>0</v>
          </cell>
          <cell r="Q2518">
            <v>0</v>
          </cell>
          <cell r="R2518">
            <v>0</v>
          </cell>
          <cell r="S2518">
            <v>0</v>
          </cell>
          <cell r="T2518">
            <v>0</v>
          </cell>
          <cell r="U2518">
            <v>0</v>
          </cell>
          <cell r="V2518">
            <v>0</v>
          </cell>
          <cell r="W2518">
            <v>0</v>
          </cell>
        </row>
        <row r="2519">
          <cell r="A2519" t="str">
            <v>453406</v>
          </cell>
          <cell r="B2519" t="str">
            <v>1251</v>
          </cell>
          <cell r="C2519" t="str">
            <v>12</v>
          </cell>
          <cell r="D2519" t="str">
            <v>59</v>
          </cell>
          <cell r="E2519">
            <v>28</v>
          </cell>
          <cell r="G2519">
            <v>0</v>
          </cell>
          <cell r="H2519">
            <v>0</v>
          </cell>
          <cell r="I2519">
            <v>0</v>
          </cell>
          <cell r="J2519">
            <v>0</v>
          </cell>
          <cell r="K2519">
            <v>0</v>
          </cell>
          <cell r="L2519">
            <v>0</v>
          </cell>
          <cell r="M2519">
            <v>0</v>
          </cell>
          <cell r="N2519">
            <v>0</v>
          </cell>
          <cell r="O2519">
            <v>0</v>
          </cell>
          <cell r="P2519">
            <v>0</v>
          </cell>
          <cell r="Q2519">
            <v>0</v>
          </cell>
          <cell r="R2519">
            <v>0</v>
          </cell>
          <cell r="S2519">
            <v>0</v>
          </cell>
          <cell r="T2519">
            <v>0</v>
          </cell>
          <cell r="U2519">
            <v>0</v>
          </cell>
          <cell r="V2519">
            <v>0</v>
          </cell>
          <cell r="W2519">
            <v>0</v>
          </cell>
        </row>
        <row r="2520">
          <cell r="A2520" t="str">
            <v>453406</v>
          </cell>
          <cell r="B2520" t="str">
            <v>1251</v>
          </cell>
          <cell r="C2520" t="str">
            <v>12</v>
          </cell>
          <cell r="D2520" t="str">
            <v>59</v>
          </cell>
          <cell r="E2520">
            <v>29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L2520">
            <v>0</v>
          </cell>
          <cell r="M2520">
            <v>0</v>
          </cell>
          <cell r="N2520">
            <v>0</v>
          </cell>
          <cell r="O2520">
            <v>0</v>
          </cell>
          <cell r="P2520">
            <v>0</v>
          </cell>
          <cell r="Q2520">
            <v>0</v>
          </cell>
          <cell r="R2520">
            <v>0</v>
          </cell>
          <cell r="S2520">
            <v>0</v>
          </cell>
          <cell r="T2520">
            <v>0</v>
          </cell>
          <cell r="U2520">
            <v>0</v>
          </cell>
          <cell r="V2520">
            <v>0</v>
          </cell>
          <cell r="W2520">
            <v>0</v>
          </cell>
        </row>
        <row r="2521">
          <cell r="A2521" t="str">
            <v>453406</v>
          </cell>
          <cell r="B2521" t="str">
            <v>1251</v>
          </cell>
          <cell r="C2521" t="str">
            <v>12</v>
          </cell>
          <cell r="D2521" t="str">
            <v>59</v>
          </cell>
          <cell r="E2521">
            <v>30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L2521">
            <v>0</v>
          </cell>
          <cell r="M2521">
            <v>0</v>
          </cell>
          <cell r="N2521">
            <v>0</v>
          </cell>
          <cell r="O2521">
            <v>0</v>
          </cell>
          <cell r="P2521">
            <v>0</v>
          </cell>
          <cell r="Q2521">
            <v>0</v>
          </cell>
          <cell r="R2521">
            <v>0</v>
          </cell>
          <cell r="S2521">
            <v>0</v>
          </cell>
          <cell r="T2521">
            <v>0</v>
          </cell>
          <cell r="U2521">
            <v>0</v>
          </cell>
          <cell r="V2521">
            <v>0</v>
          </cell>
          <cell r="W2521">
            <v>0</v>
          </cell>
        </row>
        <row r="2522">
          <cell r="A2522" t="str">
            <v>453406</v>
          </cell>
          <cell r="B2522" t="str">
            <v>1251</v>
          </cell>
          <cell r="C2522" t="str">
            <v>12</v>
          </cell>
          <cell r="D2522" t="str">
            <v>59</v>
          </cell>
          <cell r="E2522">
            <v>31</v>
          </cell>
          <cell r="G2522">
            <v>0</v>
          </cell>
          <cell r="H2522">
            <v>0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  <cell r="M2522">
            <v>0</v>
          </cell>
          <cell r="N2522">
            <v>0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  <cell r="S2522">
            <v>0</v>
          </cell>
          <cell r="T2522">
            <v>0</v>
          </cell>
          <cell r="U2522">
            <v>0</v>
          </cell>
          <cell r="V2522">
            <v>0</v>
          </cell>
          <cell r="W2522">
            <v>0</v>
          </cell>
        </row>
        <row r="2523">
          <cell r="A2523" t="str">
            <v>453406</v>
          </cell>
          <cell r="B2523" t="str">
            <v>1251</v>
          </cell>
          <cell r="C2523" t="str">
            <v>12</v>
          </cell>
          <cell r="D2523" t="str">
            <v>59</v>
          </cell>
          <cell r="E2523">
            <v>32</v>
          </cell>
          <cell r="G2523">
            <v>0</v>
          </cell>
          <cell r="H2523">
            <v>0</v>
          </cell>
          <cell r="I2523">
            <v>0</v>
          </cell>
          <cell r="J2523">
            <v>0</v>
          </cell>
          <cell r="K2523">
            <v>0</v>
          </cell>
          <cell r="L2523">
            <v>0</v>
          </cell>
          <cell r="M2523">
            <v>0</v>
          </cell>
          <cell r="N2523">
            <v>0</v>
          </cell>
          <cell r="O2523">
            <v>0</v>
          </cell>
          <cell r="P2523">
            <v>0</v>
          </cell>
          <cell r="Q2523">
            <v>0</v>
          </cell>
          <cell r="R2523">
            <v>0</v>
          </cell>
          <cell r="S2523">
            <v>0</v>
          </cell>
          <cell r="T2523">
            <v>0</v>
          </cell>
          <cell r="U2523">
            <v>0</v>
          </cell>
          <cell r="V2523">
            <v>0</v>
          </cell>
          <cell r="W2523">
            <v>0</v>
          </cell>
        </row>
        <row r="2524">
          <cell r="A2524" t="str">
            <v>453406</v>
          </cell>
          <cell r="B2524" t="str">
            <v>1251</v>
          </cell>
          <cell r="C2524" t="str">
            <v>12</v>
          </cell>
          <cell r="D2524" t="str">
            <v>59</v>
          </cell>
          <cell r="E2524">
            <v>33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  <cell r="M2524">
            <v>0</v>
          </cell>
          <cell r="N2524">
            <v>0</v>
          </cell>
          <cell r="O2524">
            <v>0</v>
          </cell>
          <cell r="P2524">
            <v>0</v>
          </cell>
          <cell r="Q2524">
            <v>0</v>
          </cell>
          <cell r="R2524">
            <v>0</v>
          </cell>
          <cell r="S2524">
            <v>0</v>
          </cell>
          <cell r="T2524">
            <v>0</v>
          </cell>
          <cell r="U2524">
            <v>0</v>
          </cell>
          <cell r="V2524">
            <v>0</v>
          </cell>
          <cell r="W2524">
            <v>0</v>
          </cell>
        </row>
        <row r="2525">
          <cell r="A2525" t="str">
            <v>453406</v>
          </cell>
          <cell r="B2525" t="str">
            <v>1251</v>
          </cell>
          <cell r="C2525" t="str">
            <v>12</v>
          </cell>
          <cell r="D2525" t="str">
            <v>59</v>
          </cell>
          <cell r="E2525">
            <v>34</v>
          </cell>
          <cell r="G2525">
            <v>9836</v>
          </cell>
          <cell r="H2525">
            <v>0</v>
          </cell>
          <cell r="I2525">
            <v>78039</v>
          </cell>
          <cell r="J2525">
            <v>0</v>
          </cell>
          <cell r="K2525">
            <v>87875</v>
          </cell>
          <cell r="L2525">
            <v>46</v>
          </cell>
          <cell r="M2525">
            <v>9836</v>
          </cell>
          <cell r="N2525">
            <v>77993</v>
          </cell>
          <cell r="O2525">
            <v>0</v>
          </cell>
          <cell r="P2525">
            <v>0</v>
          </cell>
          <cell r="Q2525">
            <v>0</v>
          </cell>
          <cell r="R2525">
            <v>0</v>
          </cell>
          <cell r="S2525">
            <v>0</v>
          </cell>
          <cell r="T2525">
            <v>0</v>
          </cell>
          <cell r="U2525">
            <v>0</v>
          </cell>
          <cell r="V2525">
            <v>0</v>
          </cell>
          <cell r="W2525">
            <v>0</v>
          </cell>
        </row>
        <row r="2526">
          <cell r="A2526" t="str">
            <v>453406</v>
          </cell>
          <cell r="B2526" t="str">
            <v>1251</v>
          </cell>
          <cell r="C2526" t="str">
            <v>12</v>
          </cell>
          <cell r="D2526" t="str">
            <v>75</v>
          </cell>
          <cell r="E2526">
            <v>1</v>
          </cell>
          <cell r="G2526">
            <v>7348</v>
          </cell>
          <cell r="H2526">
            <v>748</v>
          </cell>
          <cell r="I2526">
            <v>0</v>
          </cell>
          <cell r="J2526">
            <v>0</v>
          </cell>
          <cell r="K2526">
            <v>0</v>
          </cell>
          <cell r="L2526">
            <v>5388</v>
          </cell>
          <cell r="M2526">
            <v>0</v>
          </cell>
          <cell r="N2526">
            <v>0</v>
          </cell>
          <cell r="O2526">
            <v>0</v>
          </cell>
          <cell r="P2526">
            <v>748</v>
          </cell>
          <cell r="Q2526">
            <v>5388</v>
          </cell>
          <cell r="R2526">
            <v>6136</v>
          </cell>
          <cell r="S2526">
            <v>0</v>
          </cell>
          <cell r="T2526">
            <v>0</v>
          </cell>
          <cell r="U2526">
            <v>-1212</v>
          </cell>
          <cell r="V2526">
            <v>0</v>
          </cell>
          <cell r="W2526">
            <v>0</v>
          </cell>
        </row>
        <row r="2527">
          <cell r="A2527" t="str">
            <v>453406</v>
          </cell>
          <cell r="B2527" t="str">
            <v>1251</v>
          </cell>
          <cell r="C2527" t="str">
            <v>12</v>
          </cell>
          <cell r="D2527" t="str">
            <v>75</v>
          </cell>
          <cell r="E2527">
            <v>2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L2527">
            <v>0</v>
          </cell>
          <cell r="M2527">
            <v>0</v>
          </cell>
          <cell r="N2527">
            <v>0</v>
          </cell>
          <cell r="O2527">
            <v>0</v>
          </cell>
          <cell r="P2527">
            <v>0</v>
          </cell>
          <cell r="Q2527">
            <v>0</v>
          </cell>
          <cell r="R2527">
            <v>0</v>
          </cell>
          <cell r="S2527">
            <v>0</v>
          </cell>
          <cell r="T2527">
            <v>0</v>
          </cell>
          <cell r="U2527">
            <v>0</v>
          </cell>
          <cell r="V2527">
            <v>0</v>
          </cell>
          <cell r="W2527">
            <v>0</v>
          </cell>
        </row>
        <row r="2528">
          <cell r="A2528" t="str">
            <v>453406</v>
          </cell>
          <cell r="B2528" t="str">
            <v>1251</v>
          </cell>
          <cell r="C2528" t="str">
            <v>12</v>
          </cell>
          <cell r="D2528" t="str">
            <v>75</v>
          </cell>
          <cell r="E2528">
            <v>3</v>
          </cell>
          <cell r="G2528">
            <v>0</v>
          </cell>
          <cell r="H2528">
            <v>0</v>
          </cell>
          <cell r="I2528">
            <v>0</v>
          </cell>
          <cell r="J2528">
            <v>0</v>
          </cell>
          <cell r="K2528">
            <v>0</v>
          </cell>
          <cell r="L2528">
            <v>0</v>
          </cell>
          <cell r="M2528">
            <v>0</v>
          </cell>
          <cell r="N2528">
            <v>0</v>
          </cell>
          <cell r="O2528">
            <v>0</v>
          </cell>
          <cell r="P2528">
            <v>0</v>
          </cell>
          <cell r="Q2528">
            <v>0</v>
          </cell>
          <cell r="R2528">
            <v>0</v>
          </cell>
          <cell r="S2528">
            <v>0</v>
          </cell>
          <cell r="T2528">
            <v>0</v>
          </cell>
          <cell r="U2528">
            <v>0</v>
          </cell>
          <cell r="V2528">
            <v>0</v>
          </cell>
          <cell r="W2528">
            <v>0</v>
          </cell>
        </row>
        <row r="2529">
          <cell r="A2529" t="str">
            <v>453406</v>
          </cell>
          <cell r="B2529" t="str">
            <v>1251</v>
          </cell>
          <cell r="C2529" t="str">
            <v>12</v>
          </cell>
          <cell r="D2529" t="str">
            <v>75</v>
          </cell>
          <cell r="E2529">
            <v>4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</row>
        <row r="2530">
          <cell r="A2530" t="str">
            <v>453406</v>
          </cell>
          <cell r="B2530" t="str">
            <v>1251</v>
          </cell>
          <cell r="C2530" t="str">
            <v>12</v>
          </cell>
          <cell r="D2530" t="str">
            <v>75</v>
          </cell>
          <cell r="E2530">
            <v>5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L2530">
            <v>0</v>
          </cell>
          <cell r="M2530">
            <v>0</v>
          </cell>
          <cell r="N2530">
            <v>0</v>
          </cell>
          <cell r="O2530">
            <v>0</v>
          </cell>
          <cell r="P2530">
            <v>0</v>
          </cell>
          <cell r="Q2530">
            <v>0</v>
          </cell>
          <cell r="R2530">
            <v>0</v>
          </cell>
          <cell r="S2530">
            <v>0</v>
          </cell>
          <cell r="T2530">
            <v>0</v>
          </cell>
          <cell r="U2530">
            <v>0</v>
          </cell>
          <cell r="V2530">
            <v>0</v>
          </cell>
          <cell r="W2530">
            <v>0</v>
          </cell>
        </row>
        <row r="2531">
          <cell r="A2531" t="str">
            <v>453406</v>
          </cell>
          <cell r="B2531" t="str">
            <v>1251</v>
          </cell>
          <cell r="C2531" t="str">
            <v>12</v>
          </cell>
          <cell r="D2531" t="str">
            <v>75</v>
          </cell>
          <cell r="E2531">
            <v>6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0</v>
          </cell>
          <cell r="M2531">
            <v>0</v>
          </cell>
          <cell r="N2531">
            <v>0</v>
          </cell>
          <cell r="O2531">
            <v>0</v>
          </cell>
          <cell r="P2531">
            <v>0</v>
          </cell>
          <cell r="Q2531">
            <v>0</v>
          </cell>
          <cell r="R2531">
            <v>0</v>
          </cell>
          <cell r="S2531">
            <v>0</v>
          </cell>
          <cell r="T2531">
            <v>0</v>
          </cell>
          <cell r="U2531">
            <v>0</v>
          </cell>
          <cell r="V2531">
            <v>0</v>
          </cell>
          <cell r="W2531">
            <v>0</v>
          </cell>
        </row>
        <row r="2532">
          <cell r="A2532" t="str">
            <v>453406</v>
          </cell>
          <cell r="B2532" t="str">
            <v>1251</v>
          </cell>
          <cell r="C2532" t="str">
            <v>12</v>
          </cell>
          <cell r="D2532" t="str">
            <v>75</v>
          </cell>
          <cell r="E2532">
            <v>7</v>
          </cell>
          <cell r="G2532">
            <v>1442</v>
          </cell>
          <cell r="H2532">
            <v>149</v>
          </cell>
          <cell r="I2532">
            <v>0</v>
          </cell>
          <cell r="J2532">
            <v>0</v>
          </cell>
          <cell r="K2532">
            <v>0</v>
          </cell>
          <cell r="L2532">
            <v>1113</v>
          </cell>
          <cell r="M2532">
            <v>0</v>
          </cell>
          <cell r="N2532">
            <v>0</v>
          </cell>
          <cell r="O2532">
            <v>0</v>
          </cell>
          <cell r="P2532">
            <v>149</v>
          </cell>
          <cell r="Q2532">
            <v>1113</v>
          </cell>
          <cell r="R2532">
            <v>1262</v>
          </cell>
          <cell r="S2532">
            <v>0</v>
          </cell>
          <cell r="T2532">
            <v>0</v>
          </cell>
          <cell r="U2532">
            <v>-180</v>
          </cell>
          <cell r="V2532">
            <v>0</v>
          </cell>
          <cell r="W2532">
            <v>0</v>
          </cell>
        </row>
        <row r="2533">
          <cell r="A2533" t="str">
            <v>453406</v>
          </cell>
          <cell r="B2533" t="str">
            <v>1251</v>
          </cell>
          <cell r="C2533" t="str">
            <v>12</v>
          </cell>
          <cell r="D2533" t="str">
            <v>75</v>
          </cell>
          <cell r="E2533">
            <v>8</v>
          </cell>
          <cell r="G2533">
            <v>8790</v>
          </cell>
          <cell r="H2533">
            <v>897</v>
          </cell>
          <cell r="I2533">
            <v>0</v>
          </cell>
          <cell r="J2533">
            <v>0</v>
          </cell>
          <cell r="K2533">
            <v>0</v>
          </cell>
          <cell r="L2533">
            <v>6501</v>
          </cell>
          <cell r="M2533">
            <v>0</v>
          </cell>
          <cell r="N2533">
            <v>0</v>
          </cell>
          <cell r="O2533">
            <v>0</v>
          </cell>
          <cell r="P2533">
            <v>897</v>
          </cell>
          <cell r="Q2533">
            <v>6501</v>
          </cell>
          <cell r="R2533">
            <v>7398</v>
          </cell>
          <cell r="S2533">
            <v>0</v>
          </cell>
          <cell r="T2533">
            <v>0</v>
          </cell>
          <cell r="U2533">
            <v>-1392</v>
          </cell>
          <cell r="V2533">
            <v>0</v>
          </cell>
          <cell r="W2533">
            <v>0</v>
          </cell>
        </row>
        <row r="2534">
          <cell r="A2534" t="str">
            <v>453406</v>
          </cell>
          <cell r="B2534" t="str">
            <v>1251</v>
          </cell>
          <cell r="C2534" t="str">
            <v>12</v>
          </cell>
          <cell r="D2534" t="str">
            <v>75</v>
          </cell>
          <cell r="E2534">
            <v>9</v>
          </cell>
          <cell r="G2534">
            <v>0</v>
          </cell>
          <cell r="H2534">
            <v>0</v>
          </cell>
          <cell r="I2534">
            <v>0</v>
          </cell>
          <cell r="J2534">
            <v>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0</v>
          </cell>
          <cell r="P2534">
            <v>0</v>
          </cell>
          <cell r="Q2534">
            <v>0</v>
          </cell>
          <cell r="R2534">
            <v>0</v>
          </cell>
          <cell r="S2534">
            <v>0</v>
          </cell>
          <cell r="T2534">
            <v>0</v>
          </cell>
          <cell r="U2534">
            <v>0</v>
          </cell>
          <cell r="V2534">
            <v>0</v>
          </cell>
          <cell r="W2534">
            <v>0</v>
          </cell>
        </row>
        <row r="2535">
          <cell r="A2535" t="str">
            <v>453406</v>
          </cell>
          <cell r="B2535" t="str">
            <v>1251</v>
          </cell>
          <cell r="C2535" t="str">
            <v>12</v>
          </cell>
          <cell r="D2535" t="str">
            <v>75</v>
          </cell>
          <cell r="E2535">
            <v>10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</row>
        <row r="2536">
          <cell r="A2536" t="str">
            <v>453406</v>
          </cell>
          <cell r="B2536" t="str">
            <v>1251</v>
          </cell>
          <cell r="C2536" t="str">
            <v>12</v>
          </cell>
          <cell r="D2536" t="str">
            <v>75</v>
          </cell>
          <cell r="E2536">
            <v>11</v>
          </cell>
          <cell r="G2536">
            <v>0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  <cell r="L2536">
            <v>6107</v>
          </cell>
          <cell r="M2536">
            <v>0</v>
          </cell>
          <cell r="N2536">
            <v>0</v>
          </cell>
          <cell r="O2536">
            <v>0</v>
          </cell>
          <cell r="P2536">
            <v>0</v>
          </cell>
          <cell r="Q2536">
            <v>6107</v>
          </cell>
          <cell r="R2536">
            <v>6107</v>
          </cell>
          <cell r="S2536">
            <v>0</v>
          </cell>
          <cell r="T2536">
            <v>0</v>
          </cell>
          <cell r="U2536">
            <v>6107</v>
          </cell>
          <cell r="V2536">
            <v>0</v>
          </cell>
          <cell r="W2536">
            <v>0</v>
          </cell>
        </row>
        <row r="2537">
          <cell r="A2537" t="str">
            <v>453406</v>
          </cell>
          <cell r="B2537" t="str">
            <v>1251</v>
          </cell>
          <cell r="C2537" t="str">
            <v>12</v>
          </cell>
          <cell r="D2537" t="str">
            <v>75</v>
          </cell>
          <cell r="E2537">
            <v>12</v>
          </cell>
          <cell r="G2537">
            <v>0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0</v>
          </cell>
          <cell r="P2537">
            <v>0</v>
          </cell>
          <cell r="Q2537">
            <v>0</v>
          </cell>
          <cell r="R2537">
            <v>0</v>
          </cell>
          <cell r="S2537">
            <v>0</v>
          </cell>
          <cell r="T2537">
            <v>0</v>
          </cell>
          <cell r="U2537">
            <v>0</v>
          </cell>
          <cell r="V2537">
            <v>0</v>
          </cell>
          <cell r="W2537">
            <v>0</v>
          </cell>
        </row>
        <row r="2538">
          <cell r="A2538" t="str">
            <v>453406</v>
          </cell>
          <cell r="B2538" t="str">
            <v>1251</v>
          </cell>
          <cell r="C2538" t="str">
            <v>12</v>
          </cell>
          <cell r="D2538" t="str">
            <v>75</v>
          </cell>
          <cell r="E2538">
            <v>13</v>
          </cell>
          <cell r="G2538">
            <v>0</v>
          </cell>
          <cell r="H2538">
            <v>0</v>
          </cell>
          <cell r="I2538">
            <v>0</v>
          </cell>
          <cell r="J2538">
            <v>0</v>
          </cell>
          <cell r="K2538">
            <v>0</v>
          </cell>
          <cell r="L2538">
            <v>0</v>
          </cell>
          <cell r="M2538">
            <v>0</v>
          </cell>
          <cell r="N2538">
            <v>0</v>
          </cell>
          <cell r="O2538">
            <v>0</v>
          </cell>
          <cell r="P2538">
            <v>0</v>
          </cell>
          <cell r="Q2538">
            <v>0</v>
          </cell>
          <cell r="R2538">
            <v>0</v>
          </cell>
          <cell r="S2538">
            <v>0</v>
          </cell>
          <cell r="T2538">
            <v>0</v>
          </cell>
          <cell r="U2538">
            <v>0</v>
          </cell>
          <cell r="V2538">
            <v>0</v>
          </cell>
          <cell r="W2538">
            <v>0</v>
          </cell>
        </row>
        <row r="2539">
          <cell r="A2539" t="str">
            <v>453406</v>
          </cell>
          <cell r="B2539" t="str">
            <v>1251</v>
          </cell>
          <cell r="C2539" t="str">
            <v>12</v>
          </cell>
          <cell r="D2539" t="str">
            <v>75</v>
          </cell>
          <cell r="E2539">
            <v>14</v>
          </cell>
          <cell r="G2539">
            <v>0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  <cell r="L2539">
            <v>6107</v>
          </cell>
          <cell r="M2539">
            <v>0</v>
          </cell>
          <cell r="N2539">
            <v>0</v>
          </cell>
          <cell r="O2539">
            <v>0</v>
          </cell>
          <cell r="P2539">
            <v>0</v>
          </cell>
          <cell r="Q2539">
            <v>6107</v>
          </cell>
          <cell r="R2539">
            <v>6107</v>
          </cell>
          <cell r="S2539">
            <v>0</v>
          </cell>
          <cell r="T2539">
            <v>0</v>
          </cell>
          <cell r="U2539">
            <v>6107</v>
          </cell>
          <cell r="V2539">
            <v>0</v>
          </cell>
          <cell r="W2539">
            <v>0</v>
          </cell>
        </row>
        <row r="2540">
          <cell r="A2540" t="str">
            <v>453406</v>
          </cell>
          <cell r="B2540" t="str">
            <v>1251</v>
          </cell>
          <cell r="C2540" t="str">
            <v>12</v>
          </cell>
          <cell r="D2540" t="str">
            <v>75</v>
          </cell>
          <cell r="E2540">
            <v>15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0</v>
          </cell>
          <cell r="S2540">
            <v>0</v>
          </cell>
          <cell r="T2540">
            <v>0</v>
          </cell>
          <cell r="U2540">
            <v>0</v>
          </cell>
          <cell r="V2540">
            <v>0</v>
          </cell>
          <cell r="W2540">
            <v>0</v>
          </cell>
        </row>
        <row r="2541">
          <cell r="A2541" t="str">
            <v>453406</v>
          </cell>
          <cell r="B2541" t="str">
            <v>1251</v>
          </cell>
          <cell r="C2541" t="str">
            <v>12</v>
          </cell>
          <cell r="D2541" t="str">
            <v>75</v>
          </cell>
          <cell r="E2541">
            <v>16</v>
          </cell>
          <cell r="G2541">
            <v>0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  <cell r="L2541">
            <v>0</v>
          </cell>
          <cell r="M2541">
            <v>0</v>
          </cell>
          <cell r="N2541">
            <v>0</v>
          </cell>
          <cell r="O2541">
            <v>0</v>
          </cell>
          <cell r="P2541">
            <v>0</v>
          </cell>
          <cell r="Q2541">
            <v>0</v>
          </cell>
          <cell r="R2541">
            <v>0</v>
          </cell>
          <cell r="S2541">
            <v>0</v>
          </cell>
          <cell r="T2541">
            <v>0</v>
          </cell>
          <cell r="U2541">
            <v>0</v>
          </cell>
          <cell r="V2541">
            <v>0</v>
          </cell>
          <cell r="W2541">
            <v>0</v>
          </cell>
        </row>
        <row r="2542">
          <cell r="A2542" t="str">
            <v>453406</v>
          </cell>
          <cell r="B2542" t="str">
            <v>1251</v>
          </cell>
          <cell r="C2542" t="str">
            <v>12</v>
          </cell>
          <cell r="D2542" t="str">
            <v>75</v>
          </cell>
          <cell r="E2542">
            <v>17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</row>
        <row r="2543">
          <cell r="A2543" t="str">
            <v>453406</v>
          </cell>
          <cell r="B2543" t="str">
            <v>1251</v>
          </cell>
          <cell r="C2543" t="str">
            <v>12</v>
          </cell>
          <cell r="D2543" t="str">
            <v>75</v>
          </cell>
          <cell r="E2543">
            <v>18</v>
          </cell>
          <cell r="G2543">
            <v>0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>
            <v>0</v>
          </cell>
          <cell r="P2543">
            <v>0</v>
          </cell>
          <cell r="Q2543">
            <v>0</v>
          </cell>
          <cell r="R2543">
            <v>0</v>
          </cell>
          <cell r="S2543">
            <v>0</v>
          </cell>
          <cell r="T2543">
            <v>0</v>
          </cell>
          <cell r="U2543">
            <v>0</v>
          </cell>
          <cell r="V2543">
            <v>0</v>
          </cell>
          <cell r="W2543">
            <v>0</v>
          </cell>
        </row>
        <row r="2544">
          <cell r="A2544" t="str">
            <v>453406</v>
          </cell>
          <cell r="B2544" t="str">
            <v>1251</v>
          </cell>
          <cell r="C2544" t="str">
            <v>12</v>
          </cell>
          <cell r="D2544" t="str">
            <v>75</v>
          </cell>
          <cell r="E2544">
            <v>19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  <cell r="K2544">
            <v>0</v>
          </cell>
          <cell r="L2544">
            <v>0</v>
          </cell>
          <cell r="M2544">
            <v>0</v>
          </cell>
          <cell r="N2544">
            <v>0</v>
          </cell>
          <cell r="O2544">
            <v>0</v>
          </cell>
          <cell r="P2544">
            <v>0</v>
          </cell>
          <cell r="Q2544">
            <v>0</v>
          </cell>
          <cell r="R2544">
            <v>0</v>
          </cell>
          <cell r="S2544">
            <v>0</v>
          </cell>
          <cell r="T2544">
            <v>0</v>
          </cell>
          <cell r="U2544">
            <v>0</v>
          </cell>
          <cell r="V2544">
            <v>0</v>
          </cell>
          <cell r="W2544">
            <v>0</v>
          </cell>
        </row>
        <row r="2545">
          <cell r="A2545" t="str">
            <v>453406</v>
          </cell>
          <cell r="B2545" t="str">
            <v>1251</v>
          </cell>
          <cell r="C2545" t="str">
            <v>12</v>
          </cell>
          <cell r="D2545" t="str">
            <v>75</v>
          </cell>
          <cell r="E2545">
            <v>20</v>
          </cell>
          <cell r="G2545">
            <v>0</v>
          </cell>
          <cell r="H2545">
            <v>0</v>
          </cell>
          <cell r="I2545">
            <v>0</v>
          </cell>
          <cell r="J2545">
            <v>0</v>
          </cell>
          <cell r="K2545">
            <v>0</v>
          </cell>
          <cell r="L2545">
            <v>0</v>
          </cell>
          <cell r="M2545">
            <v>0</v>
          </cell>
          <cell r="N2545">
            <v>0</v>
          </cell>
          <cell r="O2545">
            <v>0</v>
          </cell>
          <cell r="P2545">
            <v>0</v>
          </cell>
          <cell r="Q2545">
            <v>0</v>
          </cell>
          <cell r="R2545">
            <v>0</v>
          </cell>
          <cell r="S2545">
            <v>0</v>
          </cell>
          <cell r="T2545">
            <v>0</v>
          </cell>
          <cell r="U2545">
            <v>0</v>
          </cell>
          <cell r="V2545">
            <v>0</v>
          </cell>
          <cell r="W2545">
            <v>0</v>
          </cell>
        </row>
        <row r="2546">
          <cell r="A2546" t="str">
            <v>453406</v>
          </cell>
          <cell r="B2546" t="str">
            <v>1251</v>
          </cell>
          <cell r="C2546" t="str">
            <v>12</v>
          </cell>
          <cell r="D2546" t="str">
            <v>75</v>
          </cell>
          <cell r="E2546">
            <v>21</v>
          </cell>
          <cell r="G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L2546">
            <v>0</v>
          </cell>
          <cell r="M2546">
            <v>0</v>
          </cell>
          <cell r="N2546">
            <v>0</v>
          </cell>
          <cell r="O2546">
            <v>0</v>
          </cell>
          <cell r="P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</row>
        <row r="2547">
          <cell r="A2547" t="str">
            <v>453406</v>
          </cell>
          <cell r="B2547" t="str">
            <v>1251</v>
          </cell>
          <cell r="C2547" t="str">
            <v>12</v>
          </cell>
          <cell r="D2547" t="str">
            <v>75</v>
          </cell>
          <cell r="E2547">
            <v>22</v>
          </cell>
          <cell r="G2547">
            <v>0</v>
          </cell>
          <cell r="H2547">
            <v>0</v>
          </cell>
          <cell r="I2547">
            <v>0</v>
          </cell>
          <cell r="J2547">
            <v>0</v>
          </cell>
          <cell r="K2547">
            <v>0</v>
          </cell>
          <cell r="L2547">
            <v>6107</v>
          </cell>
          <cell r="M2547">
            <v>0</v>
          </cell>
          <cell r="N2547">
            <v>0</v>
          </cell>
          <cell r="O2547">
            <v>0</v>
          </cell>
          <cell r="P2547">
            <v>0</v>
          </cell>
          <cell r="Q2547">
            <v>6107</v>
          </cell>
          <cell r="R2547">
            <v>6107</v>
          </cell>
          <cell r="S2547">
            <v>0</v>
          </cell>
          <cell r="T2547">
            <v>0</v>
          </cell>
          <cell r="U2547">
            <v>6107</v>
          </cell>
          <cell r="V2547">
            <v>0</v>
          </cell>
          <cell r="W2547">
            <v>0</v>
          </cell>
        </row>
        <row r="2548">
          <cell r="A2548" t="str">
            <v>453406</v>
          </cell>
          <cell r="B2548" t="str">
            <v>1251</v>
          </cell>
          <cell r="C2548" t="str">
            <v>12</v>
          </cell>
          <cell r="D2548" t="str">
            <v>75</v>
          </cell>
          <cell r="E2548">
            <v>23</v>
          </cell>
          <cell r="G2548">
            <v>166373</v>
          </cell>
          <cell r="H2548">
            <v>748</v>
          </cell>
          <cell r="I2548">
            <v>0</v>
          </cell>
          <cell r="J2548">
            <v>0</v>
          </cell>
          <cell r="K2548">
            <v>0</v>
          </cell>
          <cell r="L2548">
            <v>165781</v>
          </cell>
          <cell r="M2548">
            <v>0</v>
          </cell>
          <cell r="N2548">
            <v>0</v>
          </cell>
          <cell r="O2548">
            <v>0</v>
          </cell>
          <cell r="P2548">
            <v>748</v>
          </cell>
          <cell r="Q2548">
            <v>165781</v>
          </cell>
          <cell r="R2548">
            <v>166529</v>
          </cell>
          <cell r="S2548">
            <v>0</v>
          </cell>
          <cell r="T2548">
            <v>0</v>
          </cell>
          <cell r="U2548">
            <v>156</v>
          </cell>
          <cell r="V2548">
            <v>0</v>
          </cell>
          <cell r="W2548">
            <v>0</v>
          </cell>
        </row>
        <row r="2549">
          <cell r="A2549" t="str">
            <v>453406</v>
          </cell>
          <cell r="B2549" t="str">
            <v>1251</v>
          </cell>
          <cell r="C2549" t="str">
            <v>12</v>
          </cell>
          <cell r="D2549" t="str">
            <v>75</v>
          </cell>
          <cell r="E2549">
            <v>24</v>
          </cell>
          <cell r="G2549">
            <v>53217</v>
          </cell>
          <cell r="H2549">
            <v>217</v>
          </cell>
          <cell r="I2549">
            <v>0</v>
          </cell>
          <cell r="J2549">
            <v>0</v>
          </cell>
          <cell r="K2549">
            <v>0</v>
          </cell>
          <cell r="L2549">
            <v>53000</v>
          </cell>
          <cell r="M2549">
            <v>0</v>
          </cell>
          <cell r="N2549">
            <v>0</v>
          </cell>
          <cell r="O2549">
            <v>0</v>
          </cell>
          <cell r="P2549">
            <v>217</v>
          </cell>
          <cell r="Q2549">
            <v>53000</v>
          </cell>
          <cell r="R2549">
            <v>53217</v>
          </cell>
          <cell r="S2549">
            <v>0</v>
          </cell>
          <cell r="T2549">
            <v>0</v>
          </cell>
          <cell r="U2549">
            <v>0</v>
          </cell>
          <cell r="V2549">
            <v>0</v>
          </cell>
          <cell r="W2549">
            <v>0</v>
          </cell>
        </row>
        <row r="2550">
          <cell r="A2550" t="str">
            <v>453406</v>
          </cell>
          <cell r="B2550" t="str">
            <v>1251</v>
          </cell>
          <cell r="C2550" t="str">
            <v>12</v>
          </cell>
          <cell r="D2550" t="str">
            <v>75</v>
          </cell>
          <cell r="E2550">
            <v>25</v>
          </cell>
          <cell r="G2550">
            <v>96266</v>
          </cell>
          <cell r="H2550">
            <v>13500</v>
          </cell>
          <cell r="I2550">
            <v>0</v>
          </cell>
          <cell r="J2550">
            <v>0</v>
          </cell>
          <cell r="K2550">
            <v>0</v>
          </cell>
          <cell r="L2550">
            <v>77675</v>
          </cell>
          <cell r="M2550">
            <v>0</v>
          </cell>
          <cell r="N2550">
            <v>0</v>
          </cell>
          <cell r="O2550">
            <v>0</v>
          </cell>
          <cell r="P2550">
            <v>13500</v>
          </cell>
          <cell r="Q2550">
            <v>77675</v>
          </cell>
          <cell r="R2550">
            <v>91175</v>
          </cell>
          <cell r="S2550">
            <v>0</v>
          </cell>
          <cell r="T2550">
            <v>0</v>
          </cell>
          <cell r="U2550">
            <v>-5091</v>
          </cell>
          <cell r="V2550">
            <v>0</v>
          </cell>
          <cell r="W2550">
            <v>0</v>
          </cell>
        </row>
        <row r="2551">
          <cell r="A2551" t="str">
            <v>453406</v>
          </cell>
          <cell r="B2551" t="str">
            <v>1251</v>
          </cell>
          <cell r="C2551" t="str">
            <v>12</v>
          </cell>
          <cell r="D2551" t="str">
            <v>75</v>
          </cell>
          <cell r="E2551">
            <v>26</v>
          </cell>
          <cell r="G2551">
            <v>315856</v>
          </cell>
          <cell r="H2551">
            <v>14465</v>
          </cell>
          <cell r="I2551">
            <v>0</v>
          </cell>
          <cell r="J2551">
            <v>0</v>
          </cell>
          <cell r="K2551">
            <v>0</v>
          </cell>
          <cell r="L2551">
            <v>296456</v>
          </cell>
          <cell r="M2551">
            <v>0</v>
          </cell>
          <cell r="N2551">
            <v>0</v>
          </cell>
          <cell r="O2551">
            <v>0</v>
          </cell>
          <cell r="P2551">
            <v>14465</v>
          </cell>
          <cell r="Q2551">
            <v>296456</v>
          </cell>
          <cell r="R2551">
            <v>310921</v>
          </cell>
          <cell r="S2551">
            <v>0</v>
          </cell>
          <cell r="T2551">
            <v>0</v>
          </cell>
          <cell r="U2551">
            <v>-4935</v>
          </cell>
          <cell r="V2551">
            <v>0</v>
          </cell>
          <cell r="W2551">
            <v>0</v>
          </cell>
        </row>
        <row r="2552">
          <cell r="A2552" t="str">
            <v>453406</v>
          </cell>
          <cell r="B2552" t="str">
            <v>1251</v>
          </cell>
          <cell r="C2552" t="str">
            <v>12</v>
          </cell>
          <cell r="D2552" t="str">
            <v>75</v>
          </cell>
          <cell r="E2552">
            <v>27</v>
          </cell>
          <cell r="G2552">
            <v>0</v>
          </cell>
          <cell r="H2552">
            <v>0</v>
          </cell>
          <cell r="I2552">
            <v>0</v>
          </cell>
          <cell r="J2552">
            <v>0</v>
          </cell>
          <cell r="K2552">
            <v>0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  <cell r="P2552">
            <v>0</v>
          </cell>
          <cell r="Q2552">
            <v>0</v>
          </cell>
          <cell r="R2552">
            <v>0</v>
          </cell>
          <cell r="S2552">
            <v>0</v>
          </cell>
          <cell r="T2552">
            <v>0</v>
          </cell>
          <cell r="U2552">
            <v>0</v>
          </cell>
          <cell r="V2552">
            <v>0</v>
          </cell>
          <cell r="W2552">
            <v>0</v>
          </cell>
        </row>
        <row r="2553">
          <cell r="A2553" t="str">
            <v>453406</v>
          </cell>
          <cell r="B2553" t="str">
            <v>1251</v>
          </cell>
          <cell r="C2553" t="str">
            <v>12</v>
          </cell>
          <cell r="D2553" t="str">
            <v>75</v>
          </cell>
          <cell r="E2553">
            <v>28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  <cell r="P2553">
            <v>0</v>
          </cell>
          <cell r="Q2553">
            <v>0</v>
          </cell>
          <cell r="R2553">
            <v>0</v>
          </cell>
          <cell r="S2553">
            <v>0</v>
          </cell>
          <cell r="T2553">
            <v>0</v>
          </cell>
          <cell r="U2553">
            <v>0</v>
          </cell>
          <cell r="V2553">
            <v>0</v>
          </cell>
          <cell r="W2553">
            <v>0</v>
          </cell>
        </row>
        <row r="2554">
          <cell r="A2554" t="str">
            <v>453406</v>
          </cell>
          <cell r="B2554" t="str">
            <v>1251</v>
          </cell>
          <cell r="C2554" t="str">
            <v>12</v>
          </cell>
          <cell r="D2554" t="str">
            <v>75</v>
          </cell>
          <cell r="E2554">
            <v>29</v>
          </cell>
          <cell r="G2554">
            <v>0</v>
          </cell>
          <cell r="H2554">
            <v>0</v>
          </cell>
          <cell r="I2554">
            <v>0</v>
          </cell>
          <cell r="J2554">
            <v>0</v>
          </cell>
          <cell r="K2554">
            <v>0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0</v>
          </cell>
          <cell r="Q2554">
            <v>0</v>
          </cell>
          <cell r="R2554">
            <v>0</v>
          </cell>
          <cell r="S2554">
            <v>0</v>
          </cell>
          <cell r="T2554">
            <v>0</v>
          </cell>
          <cell r="U2554">
            <v>0</v>
          </cell>
          <cell r="V2554">
            <v>0</v>
          </cell>
          <cell r="W2554">
            <v>0</v>
          </cell>
        </row>
        <row r="2555">
          <cell r="A2555" t="str">
            <v>453406</v>
          </cell>
          <cell r="B2555" t="str">
            <v>1251</v>
          </cell>
          <cell r="C2555" t="str">
            <v>12</v>
          </cell>
          <cell r="D2555" t="str">
            <v>75</v>
          </cell>
          <cell r="E2555">
            <v>30</v>
          </cell>
          <cell r="G2555">
            <v>0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  <cell r="P2555">
            <v>0</v>
          </cell>
          <cell r="Q2555">
            <v>0</v>
          </cell>
          <cell r="R2555">
            <v>0</v>
          </cell>
          <cell r="S2555">
            <v>0</v>
          </cell>
          <cell r="T2555">
            <v>0</v>
          </cell>
          <cell r="U2555">
            <v>0</v>
          </cell>
          <cell r="V2555">
            <v>0</v>
          </cell>
          <cell r="W2555">
            <v>0</v>
          </cell>
        </row>
        <row r="2556">
          <cell r="A2556" t="str">
            <v>453406</v>
          </cell>
          <cell r="B2556" t="str">
            <v>1251</v>
          </cell>
          <cell r="C2556" t="str">
            <v>12</v>
          </cell>
          <cell r="D2556" t="str">
            <v>75</v>
          </cell>
          <cell r="E2556">
            <v>31</v>
          </cell>
          <cell r="G2556">
            <v>0</v>
          </cell>
          <cell r="H2556">
            <v>0</v>
          </cell>
          <cell r="I2556">
            <v>0</v>
          </cell>
          <cell r="J2556">
            <v>0</v>
          </cell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0</v>
          </cell>
          <cell r="Q2556">
            <v>0</v>
          </cell>
          <cell r="R2556">
            <v>0</v>
          </cell>
          <cell r="S2556">
            <v>0</v>
          </cell>
          <cell r="T2556">
            <v>0</v>
          </cell>
          <cell r="U2556">
            <v>0</v>
          </cell>
          <cell r="V2556">
            <v>0</v>
          </cell>
          <cell r="W2556">
            <v>0</v>
          </cell>
        </row>
        <row r="2557">
          <cell r="A2557" t="str">
            <v>453406</v>
          </cell>
          <cell r="B2557" t="str">
            <v>1251</v>
          </cell>
          <cell r="C2557" t="str">
            <v>12</v>
          </cell>
          <cell r="D2557" t="str">
            <v>75</v>
          </cell>
          <cell r="E2557">
            <v>32</v>
          </cell>
          <cell r="G2557">
            <v>0</v>
          </cell>
          <cell r="H2557">
            <v>0</v>
          </cell>
          <cell r="I2557">
            <v>0</v>
          </cell>
          <cell r="J2557">
            <v>0</v>
          </cell>
          <cell r="K2557">
            <v>0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0</v>
          </cell>
          <cell r="Q2557">
            <v>0</v>
          </cell>
          <cell r="R2557">
            <v>0</v>
          </cell>
          <cell r="S2557">
            <v>0</v>
          </cell>
          <cell r="T2557">
            <v>0</v>
          </cell>
          <cell r="U2557">
            <v>0</v>
          </cell>
          <cell r="V2557">
            <v>0</v>
          </cell>
          <cell r="W2557">
            <v>0</v>
          </cell>
        </row>
        <row r="2558">
          <cell r="A2558" t="str">
            <v>453406</v>
          </cell>
          <cell r="B2558" t="str">
            <v>1251</v>
          </cell>
          <cell r="C2558" t="str">
            <v>12</v>
          </cell>
          <cell r="D2558" t="str">
            <v>75</v>
          </cell>
          <cell r="E2558">
            <v>33</v>
          </cell>
          <cell r="G2558">
            <v>0</v>
          </cell>
          <cell r="H2558">
            <v>0</v>
          </cell>
          <cell r="I2558">
            <v>0</v>
          </cell>
          <cell r="J2558">
            <v>0</v>
          </cell>
          <cell r="K2558">
            <v>0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0</v>
          </cell>
          <cell r="Q2558">
            <v>0</v>
          </cell>
          <cell r="R2558">
            <v>0</v>
          </cell>
          <cell r="S2558">
            <v>0</v>
          </cell>
          <cell r="T2558">
            <v>0</v>
          </cell>
          <cell r="U2558">
            <v>0</v>
          </cell>
          <cell r="V2558">
            <v>0</v>
          </cell>
          <cell r="W2558">
            <v>0</v>
          </cell>
        </row>
        <row r="2559">
          <cell r="A2559" t="str">
            <v>453406</v>
          </cell>
          <cell r="B2559" t="str">
            <v>1251</v>
          </cell>
          <cell r="C2559" t="str">
            <v>12</v>
          </cell>
          <cell r="D2559" t="str">
            <v>75</v>
          </cell>
          <cell r="E2559">
            <v>34</v>
          </cell>
          <cell r="G2559">
            <v>324646</v>
          </cell>
          <cell r="H2559">
            <v>15362</v>
          </cell>
          <cell r="I2559">
            <v>0</v>
          </cell>
          <cell r="J2559">
            <v>0</v>
          </cell>
          <cell r="K2559">
            <v>0</v>
          </cell>
          <cell r="L2559">
            <v>309064</v>
          </cell>
          <cell r="M2559">
            <v>0</v>
          </cell>
          <cell r="N2559">
            <v>0</v>
          </cell>
          <cell r="O2559">
            <v>0</v>
          </cell>
          <cell r="P2559">
            <v>15362</v>
          </cell>
          <cell r="Q2559">
            <v>309064</v>
          </cell>
          <cell r="R2559">
            <v>324426</v>
          </cell>
          <cell r="S2559">
            <v>0</v>
          </cell>
          <cell r="T2559">
            <v>0</v>
          </cell>
          <cell r="U2559">
            <v>-220</v>
          </cell>
          <cell r="V2559">
            <v>0</v>
          </cell>
          <cell r="W2559">
            <v>0</v>
          </cell>
        </row>
        <row r="2560">
          <cell r="A2560" t="str">
            <v>453406</v>
          </cell>
          <cell r="B2560" t="str">
            <v>1251</v>
          </cell>
          <cell r="C2560" t="str">
            <v>12</v>
          </cell>
          <cell r="D2560" t="str">
            <v>80</v>
          </cell>
          <cell r="E2560">
            <v>1</v>
          </cell>
          <cell r="G2560">
            <v>194956</v>
          </cell>
          <cell r="H2560">
            <v>132235</v>
          </cell>
          <cell r="I2560">
            <v>132395</v>
          </cell>
          <cell r="J2560">
            <v>0</v>
          </cell>
          <cell r="K2560">
            <v>35706</v>
          </cell>
          <cell r="L2560">
            <v>26178</v>
          </cell>
          <cell r="M2560">
            <v>26189</v>
          </cell>
          <cell r="N2560">
            <v>0</v>
          </cell>
          <cell r="O2560">
            <v>4848</v>
          </cell>
          <cell r="P2560">
            <v>7960</v>
          </cell>
          <cell r="Q2560">
            <v>7945</v>
          </cell>
          <cell r="R2560">
            <v>0</v>
          </cell>
          <cell r="S2560">
            <v>235510</v>
          </cell>
          <cell r="T2560">
            <v>166373</v>
          </cell>
          <cell r="U2560">
            <v>166529</v>
          </cell>
          <cell r="V2560">
            <v>0</v>
          </cell>
          <cell r="W2560">
            <v>0</v>
          </cell>
        </row>
        <row r="2561">
          <cell r="A2561" t="str">
            <v>453406</v>
          </cell>
          <cell r="B2561" t="str">
            <v>1251</v>
          </cell>
          <cell r="C2561" t="str">
            <v>12</v>
          </cell>
          <cell r="D2561" t="str">
            <v>80</v>
          </cell>
          <cell r="E2561">
            <v>5</v>
          </cell>
          <cell r="G2561">
            <v>73243</v>
          </cell>
          <cell r="H2561">
            <v>51387</v>
          </cell>
          <cell r="I2561">
            <v>51388</v>
          </cell>
          <cell r="J2561">
            <v>0</v>
          </cell>
          <cell r="K2561">
            <v>2477</v>
          </cell>
          <cell r="L2561">
            <v>1830</v>
          </cell>
          <cell r="M2561">
            <v>1829</v>
          </cell>
          <cell r="N2561">
            <v>0</v>
          </cell>
          <cell r="O2561">
            <v>104538</v>
          </cell>
          <cell r="P2561">
            <v>80801</v>
          </cell>
          <cell r="Q2561">
            <v>76270</v>
          </cell>
          <cell r="R2561">
            <v>0</v>
          </cell>
          <cell r="S2561">
            <v>15710</v>
          </cell>
          <cell r="T2561">
            <v>13670</v>
          </cell>
          <cell r="U2561">
            <v>13116</v>
          </cell>
          <cell r="V2561">
            <v>0</v>
          </cell>
          <cell r="W2561">
            <v>0</v>
          </cell>
        </row>
        <row r="2562">
          <cell r="A2562" t="str">
            <v>453406</v>
          </cell>
          <cell r="B2562" t="str">
            <v>1251</v>
          </cell>
          <cell r="C2562" t="str">
            <v>12</v>
          </cell>
          <cell r="D2562" t="str">
            <v>80</v>
          </cell>
          <cell r="E2562">
            <v>9</v>
          </cell>
          <cell r="G2562">
            <v>1100</v>
          </cell>
          <cell r="H2562">
            <v>1500</v>
          </cell>
          <cell r="I2562">
            <v>1497</v>
          </cell>
          <cell r="J2562">
            <v>0</v>
          </cell>
          <cell r="K2562">
            <v>0</v>
          </cell>
          <cell r="L2562">
            <v>0</v>
          </cell>
          <cell r="M2562">
            <v>0</v>
          </cell>
          <cell r="N2562">
            <v>0</v>
          </cell>
          <cell r="O2562">
            <v>0</v>
          </cell>
          <cell r="P2562">
            <v>0</v>
          </cell>
          <cell r="Q2562">
            <v>0</v>
          </cell>
          <cell r="R2562">
            <v>0</v>
          </cell>
          <cell r="S2562">
            <v>0</v>
          </cell>
          <cell r="T2562">
            <v>0</v>
          </cell>
          <cell r="U2562">
            <v>0</v>
          </cell>
          <cell r="V2562">
            <v>0</v>
          </cell>
          <cell r="W2562">
            <v>0</v>
          </cell>
        </row>
        <row r="2563">
          <cell r="A2563" t="str">
            <v>453406</v>
          </cell>
          <cell r="B2563" t="str">
            <v>1251</v>
          </cell>
          <cell r="C2563" t="str">
            <v>12</v>
          </cell>
          <cell r="D2563" t="str">
            <v>80</v>
          </cell>
          <cell r="E2563">
            <v>13</v>
          </cell>
          <cell r="G2563">
            <v>0</v>
          </cell>
          <cell r="H2563">
            <v>0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  <cell r="M2563">
            <v>0</v>
          </cell>
          <cell r="N2563">
            <v>0</v>
          </cell>
          <cell r="O2563">
            <v>0</v>
          </cell>
          <cell r="P2563">
            <v>0</v>
          </cell>
          <cell r="Q2563">
            <v>6107</v>
          </cell>
          <cell r="R2563">
            <v>0</v>
          </cell>
          <cell r="S2563">
            <v>0</v>
          </cell>
          <cell r="T2563">
            <v>0</v>
          </cell>
          <cell r="U2563">
            <v>0</v>
          </cell>
          <cell r="V2563">
            <v>0</v>
          </cell>
          <cell r="W2563">
            <v>0</v>
          </cell>
        </row>
        <row r="2564">
          <cell r="A2564" t="str">
            <v>453406</v>
          </cell>
          <cell r="B2564" t="str">
            <v>1251</v>
          </cell>
          <cell r="C2564" t="str">
            <v>12</v>
          </cell>
          <cell r="D2564" t="str">
            <v>80</v>
          </cell>
          <cell r="E2564">
            <v>17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6107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</row>
        <row r="2565">
          <cell r="A2565" t="str">
            <v>453406</v>
          </cell>
          <cell r="B2565" t="str">
            <v>1251</v>
          </cell>
          <cell r="C2565" t="str">
            <v>12</v>
          </cell>
          <cell r="D2565" t="str">
            <v>80</v>
          </cell>
          <cell r="E2565">
            <v>21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L2565">
            <v>0</v>
          </cell>
          <cell r="M2565">
            <v>0</v>
          </cell>
          <cell r="N2565">
            <v>0</v>
          </cell>
          <cell r="O2565">
            <v>0</v>
          </cell>
          <cell r="P2565">
            <v>0</v>
          </cell>
          <cell r="Q2565">
            <v>0</v>
          </cell>
          <cell r="R2565">
            <v>0</v>
          </cell>
          <cell r="S2565">
            <v>0</v>
          </cell>
          <cell r="T2565">
            <v>0</v>
          </cell>
          <cell r="U2565">
            <v>0</v>
          </cell>
          <cell r="V2565">
            <v>0</v>
          </cell>
          <cell r="W2565">
            <v>0</v>
          </cell>
        </row>
        <row r="2566">
          <cell r="A2566" t="str">
            <v>453406</v>
          </cell>
          <cell r="B2566" t="str">
            <v>1251</v>
          </cell>
          <cell r="C2566" t="str">
            <v>12</v>
          </cell>
          <cell r="D2566" t="str">
            <v>80</v>
          </cell>
          <cell r="E2566">
            <v>25</v>
          </cell>
          <cell r="G2566">
            <v>0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  <cell r="L2566">
            <v>0</v>
          </cell>
          <cell r="M2566">
            <v>0</v>
          </cell>
          <cell r="N2566">
            <v>0</v>
          </cell>
          <cell r="O2566">
            <v>0</v>
          </cell>
          <cell r="P2566">
            <v>0</v>
          </cell>
          <cell r="Q2566">
            <v>0</v>
          </cell>
          <cell r="R2566">
            <v>0</v>
          </cell>
          <cell r="S2566">
            <v>0</v>
          </cell>
          <cell r="T2566">
            <v>0</v>
          </cell>
          <cell r="U2566">
            <v>0</v>
          </cell>
          <cell r="V2566">
            <v>0</v>
          </cell>
          <cell r="W2566">
            <v>0</v>
          </cell>
        </row>
        <row r="2567">
          <cell r="A2567" t="str">
            <v>453406</v>
          </cell>
          <cell r="B2567" t="str">
            <v>1251</v>
          </cell>
          <cell r="C2567" t="str">
            <v>12</v>
          </cell>
          <cell r="D2567" t="str">
            <v>80</v>
          </cell>
          <cell r="E2567">
            <v>29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  <cell r="M2567">
            <v>0</v>
          </cell>
          <cell r="N2567">
            <v>0</v>
          </cell>
          <cell r="O2567">
            <v>0</v>
          </cell>
          <cell r="P2567">
            <v>0</v>
          </cell>
          <cell r="Q2567">
            <v>0</v>
          </cell>
          <cell r="R2567">
            <v>0</v>
          </cell>
          <cell r="S2567">
            <v>0</v>
          </cell>
          <cell r="T2567">
            <v>0</v>
          </cell>
          <cell r="U2567">
            <v>0</v>
          </cell>
          <cell r="V2567">
            <v>0</v>
          </cell>
          <cell r="W2567">
            <v>0</v>
          </cell>
        </row>
        <row r="2568">
          <cell r="A2568" t="str">
            <v>453406</v>
          </cell>
          <cell r="B2568" t="str">
            <v>1251</v>
          </cell>
          <cell r="C2568" t="str">
            <v>12</v>
          </cell>
          <cell r="D2568" t="str">
            <v>80</v>
          </cell>
          <cell r="E2568">
            <v>33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L2568">
            <v>0</v>
          </cell>
          <cell r="M2568">
            <v>0</v>
          </cell>
          <cell r="N2568">
            <v>0</v>
          </cell>
          <cell r="O2568">
            <v>0</v>
          </cell>
          <cell r="P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6107</v>
          </cell>
          <cell r="V2568">
            <v>0</v>
          </cell>
          <cell r="W2568">
            <v>0</v>
          </cell>
        </row>
        <row r="2569">
          <cell r="A2569" t="str">
            <v>453406</v>
          </cell>
          <cell r="B2569" t="str">
            <v>1251</v>
          </cell>
          <cell r="C2569" t="str">
            <v>12</v>
          </cell>
          <cell r="D2569" t="str">
            <v>80</v>
          </cell>
          <cell r="E2569">
            <v>37</v>
          </cell>
          <cell r="G2569">
            <v>0</v>
          </cell>
          <cell r="H2569">
            <v>295</v>
          </cell>
          <cell r="I2569">
            <v>292</v>
          </cell>
          <cell r="J2569">
            <v>0</v>
          </cell>
          <cell r="K2569">
            <v>432578</v>
          </cell>
          <cell r="L2569">
            <v>315856</v>
          </cell>
          <cell r="M2569">
            <v>317028</v>
          </cell>
          <cell r="N2569">
            <v>0</v>
          </cell>
          <cell r="O2569">
            <v>0</v>
          </cell>
          <cell r="P2569">
            <v>0</v>
          </cell>
          <cell r="Q2569">
            <v>0</v>
          </cell>
          <cell r="R2569">
            <v>0</v>
          </cell>
          <cell r="S2569">
            <v>3333</v>
          </cell>
          <cell r="T2569">
            <v>7348</v>
          </cell>
          <cell r="U2569">
            <v>6136</v>
          </cell>
          <cell r="V2569">
            <v>0</v>
          </cell>
          <cell r="W2569">
            <v>0</v>
          </cell>
        </row>
        <row r="2570">
          <cell r="A2570" t="str">
            <v>453406</v>
          </cell>
          <cell r="B2570" t="str">
            <v>1251</v>
          </cell>
          <cell r="C2570" t="str">
            <v>12</v>
          </cell>
          <cell r="D2570" t="str">
            <v>80</v>
          </cell>
          <cell r="E2570">
            <v>41</v>
          </cell>
          <cell r="G2570">
            <v>667</v>
          </cell>
          <cell r="H2570">
            <v>1442</v>
          </cell>
          <cell r="I2570">
            <v>1262</v>
          </cell>
          <cell r="J2570">
            <v>0</v>
          </cell>
          <cell r="K2570">
            <v>0</v>
          </cell>
          <cell r="L2570">
            <v>0</v>
          </cell>
          <cell r="M2570">
            <v>0</v>
          </cell>
          <cell r="N2570">
            <v>0</v>
          </cell>
          <cell r="O2570">
            <v>0</v>
          </cell>
          <cell r="P2570">
            <v>0</v>
          </cell>
          <cell r="Q2570">
            <v>0</v>
          </cell>
          <cell r="R2570">
            <v>0</v>
          </cell>
          <cell r="S2570">
            <v>0</v>
          </cell>
          <cell r="T2570">
            <v>0</v>
          </cell>
          <cell r="U2570">
            <v>0</v>
          </cell>
          <cell r="V2570">
            <v>0</v>
          </cell>
          <cell r="W2570">
            <v>0</v>
          </cell>
        </row>
        <row r="2571">
          <cell r="A2571" t="str">
            <v>453406</v>
          </cell>
          <cell r="B2571" t="str">
            <v>1251</v>
          </cell>
          <cell r="C2571" t="str">
            <v>12</v>
          </cell>
          <cell r="D2571" t="str">
            <v>80</v>
          </cell>
          <cell r="E2571">
            <v>45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L2571">
            <v>0</v>
          </cell>
          <cell r="M2571">
            <v>0</v>
          </cell>
          <cell r="N2571">
            <v>0</v>
          </cell>
          <cell r="O2571">
            <v>0</v>
          </cell>
          <cell r="P2571">
            <v>0</v>
          </cell>
          <cell r="Q2571">
            <v>0</v>
          </cell>
          <cell r="R2571">
            <v>0</v>
          </cell>
          <cell r="S2571">
            <v>0</v>
          </cell>
          <cell r="T2571">
            <v>0</v>
          </cell>
          <cell r="U2571">
            <v>0</v>
          </cell>
          <cell r="V2571">
            <v>0</v>
          </cell>
          <cell r="W2571">
            <v>0</v>
          </cell>
        </row>
        <row r="2572">
          <cell r="A2572" t="str">
            <v>453406</v>
          </cell>
          <cell r="B2572" t="str">
            <v>1251</v>
          </cell>
          <cell r="C2572" t="str">
            <v>12</v>
          </cell>
          <cell r="D2572" t="str">
            <v>80</v>
          </cell>
          <cell r="E2572">
            <v>49</v>
          </cell>
          <cell r="G2572">
            <v>0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  <cell r="P2572">
            <v>0</v>
          </cell>
          <cell r="Q2572">
            <v>0</v>
          </cell>
          <cell r="R2572">
            <v>0</v>
          </cell>
          <cell r="S2572">
            <v>0</v>
          </cell>
          <cell r="T2572">
            <v>0</v>
          </cell>
          <cell r="U2572">
            <v>0</v>
          </cell>
          <cell r="V2572">
            <v>0</v>
          </cell>
          <cell r="W2572">
            <v>0</v>
          </cell>
        </row>
        <row r="2573">
          <cell r="A2573" t="str">
            <v>453406</v>
          </cell>
          <cell r="B2573" t="str">
            <v>1251</v>
          </cell>
          <cell r="C2573" t="str">
            <v>12</v>
          </cell>
          <cell r="D2573" t="str">
            <v>80</v>
          </cell>
          <cell r="E2573">
            <v>53</v>
          </cell>
          <cell r="G2573">
            <v>0</v>
          </cell>
          <cell r="H2573">
            <v>0</v>
          </cell>
          <cell r="I2573">
            <v>0</v>
          </cell>
          <cell r="J2573">
            <v>0</v>
          </cell>
          <cell r="K2573">
            <v>0</v>
          </cell>
          <cell r="L2573">
            <v>0</v>
          </cell>
          <cell r="M2573">
            <v>0</v>
          </cell>
          <cell r="N2573">
            <v>0</v>
          </cell>
          <cell r="O2573">
            <v>0</v>
          </cell>
          <cell r="P2573">
            <v>0</v>
          </cell>
          <cell r="Q2573">
            <v>0</v>
          </cell>
          <cell r="R2573">
            <v>0</v>
          </cell>
          <cell r="S2573">
            <v>0</v>
          </cell>
          <cell r="T2573">
            <v>0</v>
          </cell>
          <cell r="U2573">
            <v>0</v>
          </cell>
          <cell r="V2573">
            <v>0</v>
          </cell>
          <cell r="W2573">
            <v>0</v>
          </cell>
        </row>
        <row r="2574">
          <cell r="A2574" t="str">
            <v>453406</v>
          </cell>
          <cell r="B2574" t="str">
            <v>1251</v>
          </cell>
          <cell r="C2574" t="str">
            <v>12</v>
          </cell>
          <cell r="D2574" t="str">
            <v>80</v>
          </cell>
          <cell r="E2574">
            <v>57</v>
          </cell>
          <cell r="G2574">
            <v>0</v>
          </cell>
          <cell r="H2574">
            <v>0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  <cell r="M2574">
            <v>0</v>
          </cell>
          <cell r="N2574">
            <v>0</v>
          </cell>
          <cell r="O2574">
            <v>0</v>
          </cell>
          <cell r="P2574">
            <v>0</v>
          </cell>
          <cell r="Q2574">
            <v>0</v>
          </cell>
          <cell r="R2574">
            <v>0</v>
          </cell>
          <cell r="S2574">
            <v>0</v>
          </cell>
          <cell r="T2574">
            <v>0</v>
          </cell>
          <cell r="U2574">
            <v>0</v>
          </cell>
          <cell r="V2574">
            <v>0</v>
          </cell>
          <cell r="W2574">
            <v>0</v>
          </cell>
        </row>
        <row r="2575">
          <cell r="A2575" t="str">
            <v>453406</v>
          </cell>
          <cell r="B2575" t="str">
            <v>1251</v>
          </cell>
          <cell r="C2575" t="str">
            <v>12</v>
          </cell>
          <cell r="D2575" t="str">
            <v>80</v>
          </cell>
          <cell r="E2575">
            <v>61</v>
          </cell>
          <cell r="G2575">
            <v>4000</v>
          </cell>
          <cell r="H2575">
            <v>8790</v>
          </cell>
          <cell r="I2575">
            <v>7398</v>
          </cell>
          <cell r="J2575">
            <v>0</v>
          </cell>
          <cell r="K2575">
            <v>0</v>
          </cell>
          <cell r="L2575">
            <v>0</v>
          </cell>
          <cell r="M2575">
            <v>0</v>
          </cell>
          <cell r="N2575">
            <v>0</v>
          </cell>
          <cell r="O2575">
            <v>0</v>
          </cell>
          <cell r="P2575">
            <v>0</v>
          </cell>
          <cell r="Q2575">
            <v>0</v>
          </cell>
          <cell r="R2575">
            <v>0</v>
          </cell>
          <cell r="S2575">
            <v>0</v>
          </cell>
          <cell r="T2575">
            <v>0</v>
          </cell>
          <cell r="U2575">
            <v>0</v>
          </cell>
          <cell r="V2575">
            <v>0</v>
          </cell>
          <cell r="W2575">
            <v>0</v>
          </cell>
        </row>
        <row r="2576">
          <cell r="A2576" t="str">
            <v>453406</v>
          </cell>
          <cell r="B2576" t="str">
            <v>1251</v>
          </cell>
          <cell r="C2576" t="str">
            <v>12</v>
          </cell>
          <cell r="D2576" t="str">
            <v>80</v>
          </cell>
          <cell r="E2576">
            <v>65</v>
          </cell>
          <cell r="G2576">
            <v>0</v>
          </cell>
          <cell r="H2576">
            <v>0</v>
          </cell>
          <cell r="I2576">
            <v>0</v>
          </cell>
          <cell r="J2576">
            <v>0</v>
          </cell>
          <cell r="K2576">
            <v>0</v>
          </cell>
          <cell r="L2576">
            <v>0</v>
          </cell>
          <cell r="M2576">
            <v>0</v>
          </cell>
          <cell r="N2576">
            <v>0</v>
          </cell>
          <cell r="O2576">
            <v>436578</v>
          </cell>
          <cell r="P2576">
            <v>324646</v>
          </cell>
          <cell r="Q2576">
            <v>324426</v>
          </cell>
          <cell r="R2576">
            <v>0</v>
          </cell>
          <cell r="S2576">
            <v>0</v>
          </cell>
          <cell r="T2576">
            <v>0</v>
          </cell>
          <cell r="U2576">
            <v>0</v>
          </cell>
          <cell r="V2576">
            <v>0</v>
          </cell>
          <cell r="W2576">
            <v>0</v>
          </cell>
        </row>
        <row r="2577">
          <cell r="A2577" t="str">
            <v>453406</v>
          </cell>
          <cell r="B2577" t="str">
            <v>1251</v>
          </cell>
          <cell r="C2577" t="str">
            <v>12</v>
          </cell>
          <cell r="D2577" t="str">
            <v>80</v>
          </cell>
          <cell r="E2577">
            <v>69</v>
          </cell>
          <cell r="G2577">
            <v>67847</v>
          </cell>
          <cell r="H2577">
            <v>42063</v>
          </cell>
          <cell r="I2577">
            <v>42063</v>
          </cell>
          <cell r="J2577">
            <v>0</v>
          </cell>
          <cell r="K2577">
            <v>9816</v>
          </cell>
          <cell r="L2577">
            <v>6012</v>
          </cell>
          <cell r="M2577">
            <v>6012</v>
          </cell>
          <cell r="N2577">
            <v>0</v>
          </cell>
          <cell r="O2577">
            <v>0</v>
          </cell>
          <cell r="P2577">
            <v>0</v>
          </cell>
          <cell r="Q2577">
            <v>4</v>
          </cell>
          <cell r="R2577">
            <v>0</v>
          </cell>
          <cell r="S2577">
            <v>0</v>
          </cell>
          <cell r="T2577">
            <v>0</v>
          </cell>
          <cell r="U2577">
            <v>0</v>
          </cell>
          <cell r="V2577">
            <v>0</v>
          </cell>
          <cell r="W2577">
            <v>0</v>
          </cell>
        </row>
        <row r="2578">
          <cell r="A2578" t="str">
            <v>453406</v>
          </cell>
          <cell r="B2578" t="str">
            <v>1251</v>
          </cell>
          <cell r="C2578" t="str">
            <v>12</v>
          </cell>
          <cell r="D2578" t="str">
            <v>80</v>
          </cell>
          <cell r="E2578">
            <v>73</v>
          </cell>
          <cell r="G2578">
            <v>0</v>
          </cell>
          <cell r="H2578">
            <v>0</v>
          </cell>
          <cell r="I2578">
            <v>0</v>
          </cell>
          <cell r="J2578">
            <v>0</v>
          </cell>
          <cell r="K2578">
            <v>0</v>
          </cell>
          <cell r="L2578">
            <v>0</v>
          </cell>
          <cell r="M2578">
            <v>0</v>
          </cell>
          <cell r="N2578">
            <v>0</v>
          </cell>
          <cell r="O2578">
            <v>0</v>
          </cell>
          <cell r="P2578">
            <v>0</v>
          </cell>
          <cell r="Q2578">
            <v>0</v>
          </cell>
          <cell r="R2578">
            <v>0</v>
          </cell>
          <cell r="S2578">
            <v>0</v>
          </cell>
          <cell r="T2578">
            <v>0</v>
          </cell>
          <cell r="U2578">
            <v>0</v>
          </cell>
          <cell r="V2578">
            <v>0</v>
          </cell>
          <cell r="W2578">
            <v>0</v>
          </cell>
        </row>
        <row r="2579">
          <cell r="A2579" t="str">
            <v>453406</v>
          </cell>
          <cell r="B2579" t="str">
            <v>1251</v>
          </cell>
          <cell r="C2579" t="str">
            <v>12</v>
          </cell>
          <cell r="D2579" t="str">
            <v>80</v>
          </cell>
          <cell r="E2579">
            <v>77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  <cell r="K2579">
            <v>0</v>
          </cell>
          <cell r="L2579">
            <v>0</v>
          </cell>
          <cell r="M2579">
            <v>0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  <cell r="R2579">
            <v>0</v>
          </cell>
          <cell r="S2579">
            <v>0</v>
          </cell>
          <cell r="T2579">
            <v>0</v>
          </cell>
          <cell r="U2579">
            <v>0</v>
          </cell>
          <cell r="V2579">
            <v>0</v>
          </cell>
          <cell r="W2579">
            <v>0</v>
          </cell>
        </row>
        <row r="2580">
          <cell r="A2580" t="str">
            <v>453406</v>
          </cell>
          <cell r="B2580" t="str">
            <v>1251</v>
          </cell>
          <cell r="C2580" t="str">
            <v>12</v>
          </cell>
          <cell r="D2580" t="str">
            <v>80</v>
          </cell>
          <cell r="E2580">
            <v>81</v>
          </cell>
          <cell r="G2580">
            <v>0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  <cell r="P2580">
            <v>0</v>
          </cell>
          <cell r="Q2580">
            <v>0</v>
          </cell>
          <cell r="R2580">
            <v>0</v>
          </cell>
          <cell r="S2580">
            <v>0</v>
          </cell>
          <cell r="T2580">
            <v>0</v>
          </cell>
          <cell r="U2580">
            <v>0</v>
          </cell>
          <cell r="V2580">
            <v>0</v>
          </cell>
          <cell r="W2580">
            <v>0</v>
          </cell>
        </row>
        <row r="2581">
          <cell r="A2581" t="str">
            <v>453406</v>
          </cell>
          <cell r="B2581" t="str">
            <v>1251</v>
          </cell>
          <cell r="C2581" t="str">
            <v>12</v>
          </cell>
          <cell r="D2581" t="str">
            <v>80</v>
          </cell>
          <cell r="E2581">
            <v>85</v>
          </cell>
          <cell r="G2581">
            <v>0</v>
          </cell>
          <cell r="H2581">
            <v>0</v>
          </cell>
          <cell r="I2581">
            <v>0</v>
          </cell>
          <cell r="J2581">
            <v>0</v>
          </cell>
          <cell r="K2581">
            <v>0</v>
          </cell>
          <cell r="L2581">
            <v>0</v>
          </cell>
          <cell r="M2581">
            <v>0</v>
          </cell>
          <cell r="N2581">
            <v>0</v>
          </cell>
          <cell r="O2581">
            <v>0</v>
          </cell>
          <cell r="P2581">
            <v>0</v>
          </cell>
          <cell r="Q2581">
            <v>0</v>
          </cell>
          <cell r="R2581">
            <v>0</v>
          </cell>
          <cell r="S2581">
            <v>0</v>
          </cell>
          <cell r="T2581">
            <v>0</v>
          </cell>
          <cell r="U2581">
            <v>0</v>
          </cell>
          <cell r="V2581">
            <v>0</v>
          </cell>
          <cell r="W2581">
            <v>0</v>
          </cell>
        </row>
        <row r="2582">
          <cell r="A2582" t="str">
            <v>453406</v>
          </cell>
          <cell r="B2582" t="str">
            <v>1251</v>
          </cell>
          <cell r="C2582" t="str">
            <v>12</v>
          </cell>
          <cell r="D2582" t="str">
            <v>80</v>
          </cell>
          <cell r="E2582">
            <v>89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  <cell r="R2582">
            <v>0</v>
          </cell>
          <cell r="S2582">
            <v>0</v>
          </cell>
          <cell r="T2582">
            <v>0</v>
          </cell>
          <cell r="U2582">
            <v>0</v>
          </cell>
          <cell r="V2582">
            <v>0</v>
          </cell>
          <cell r="W2582">
            <v>0</v>
          </cell>
        </row>
        <row r="2583">
          <cell r="A2583" t="str">
            <v>453406</v>
          </cell>
          <cell r="B2583" t="str">
            <v>1251</v>
          </cell>
          <cell r="C2583" t="str">
            <v>12</v>
          </cell>
          <cell r="D2583" t="str">
            <v>80</v>
          </cell>
          <cell r="E2583">
            <v>93</v>
          </cell>
          <cell r="G2583">
            <v>0</v>
          </cell>
          <cell r="H2583">
            <v>560</v>
          </cell>
          <cell r="I2583">
            <v>560</v>
          </cell>
          <cell r="J2583">
            <v>0</v>
          </cell>
          <cell r="K2583">
            <v>0</v>
          </cell>
          <cell r="L2583">
            <v>322</v>
          </cell>
          <cell r="M2583">
            <v>322</v>
          </cell>
          <cell r="N2583">
            <v>0</v>
          </cell>
          <cell r="O2583">
            <v>0</v>
          </cell>
          <cell r="P2583">
            <v>50</v>
          </cell>
          <cell r="Q2583">
            <v>50</v>
          </cell>
          <cell r="R2583">
            <v>0</v>
          </cell>
          <cell r="S2583">
            <v>0</v>
          </cell>
          <cell r="T2583">
            <v>0</v>
          </cell>
          <cell r="U2583">
            <v>0</v>
          </cell>
          <cell r="V2583">
            <v>0</v>
          </cell>
          <cell r="W2583">
            <v>0</v>
          </cell>
        </row>
        <row r="2584">
          <cell r="A2584" t="str">
            <v>453406</v>
          </cell>
          <cell r="B2584" t="str">
            <v>1251</v>
          </cell>
          <cell r="C2584" t="str">
            <v>12</v>
          </cell>
          <cell r="D2584" t="str">
            <v>80</v>
          </cell>
          <cell r="E2584">
            <v>97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932</v>
          </cell>
          <cell r="M2584">
            <v>932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  <cell r="R2584">
            <v>0</v>
          </cell>
          <cell r="S2584">
            <v>0</v>
          </cell>
          <cell r="T2584">
            <v>0</v>
          </cell>
          <cell r="U2584">
            <v>0</v>
          </cell>
          <cell r="V2584">
            <v>0</v>
          </cell>
          <cell r="W2584">
            <v>0</v>
          </cell>
        </row>
        <row r="2585">
          <cell r="A2585" t="str">
            <v>453406</v>
          </cell>
          <cell r="B2585" t="str">
            <v>1251</v>
          </cell>
          <cell r="C2585" t="str">
            <v>12</v>
          </cell>
          <cell r="D2585" t="str">
            <v>80</v>
          </cell>
          <cell r="E2585">
            <v>101</v>
          </cell>
          <cell r="G2585">
            <v>0</v>
          </cell>
          <cell r="H2585">
            <v>1333</v>
          </cell>
          <cell r="I2585">
            <v>1333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  <cell r="R2585">
            <v>0</v>
          </cell>
          <cell r="S2585">
            <v>0</v>
          </cell>
          <cell r="T2585">
            <v>0</v>
          </cell>
          <cell r="U2585">
            <v>0</v>
          </cell>
          <cell r="V2585">
            <v>0</v>
          </cell>
          <cell r="W2585">
            <v>0</v>
          </cell>
        </row>
        <row r="2586">
          <cell r="A2586" t="str">
            <v>453406</v>
          </cell>
          <cell r="B2586" t="str">
            <v>1251</v>
          </cell>
          <cell r="C2586" t="str">
            <v>12</v>
          </cell>
          <cell r="D2586" t="str">
            <v>80</v>
          </cell>
          <cell r="E2586">
            <v>105</v>
          </cell>
          <cell r="G2586">
            <v>0</v>
          </cell>
          <cell r="H2586">
            <v>0</v>
          </cell>
          <cell r="I2586">
            <v>428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  <cell r="R2586">
            <v>0</v>
          </cell>
          <cell r="S2586">
            <v>0</v>
          </cell>
          <cell r="T2586">
            <v>0</v>
          </cell>
          <cell r="U2586">
            <v>428</v>
          </cell>
          <cell r="V2586">
            <v>0</v>
          </cell>
          <cell r="W2586">
            <v>0</v>
          </cell>
        </row>
        <row r="2587">
          <cell r="A2587" t="str">
            <v>453406</v>
          </cell>
          <cell r="B2587" t="str">
            <v>1251</v>
          </cell>
          <cell r="C2587" t="str">
            <v>12</v>
          </cell>
          <cell r="D2587" t="str">
            <v>80</v>
          </cell>
          <cell r="E2587">
            <v>109</v>
          </cell>
          <cell r="G2587">
            <v>5200</v>
          </cell>
          <cell r="H2587">
            <v>1650</v>
          </cell>
          <cell r="I2587">
            <v>1033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  <cell r="R2587">
            <v>0</v>
          </cell>
          <cell r="S2587">
            <v>0</v>
          </cell>
          <cell r="T2587">
            <v>0</v>
          </cell>
          <cell r="U2587">
            <v>0</v>
          </cell>
          <cell r="V2587">
            <v>0</v>
          </cell>
          <cell r="W2587">
            <v>0</v>
          </cell>
        </row>
        <row r="2588">
          <cell r="A2588" t="str">
            <v>453406</v>
          </cell>
          <cell r="B2588" t="str">
            <v>1251</v>
          </cell>
          <cell r="C2588" t="str">
            <v>12</v>
          </cell>
          <cell r="D2588" t="str">
            <v>80</v>
          </cell>
          <cell r="E2588">
            <v>113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5200</v>
          </cell>
          <cell r="P2588">
            <v>2983</v>
          </cell>
          <cell r="Q2588">
            <v>2794</v>
          </cell>
          <cell r="R2588">
            <v>0</v>
          </cell>
          <cell r="S2588">
            <v>0</v>
          </cell>
          <cell r="T2588">
            <v>0</v>
          </cell>
          <cell r="U2588">
            <v>0</v>
          </cell>
          <cell r="V2588">
            <v>0</v>
          </cell>
          <cell r="W2588">
            <v>0</v>
          </cell>
        </row>
        <row r="2589">
          <cell r="A2589" t="str">
            <v>453406</v>
          </cell>
          <cell r="B2589" t="str">
            <v>1251</v>
          </cell>
          <cell r="C2589" t="str">
            <v>12</v>
          </cell>
          <cell r="D2589" t="str">
            <v>80</v>
          </cell>
          <cell r="E2589">
            <v>117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  <cell r="R2589">
            <v>0</v>
          </cell>
          <cell r="S2589">
            <v>0</v>
          </cell>
          <cell r="T2589">
            <v>0</v>
          </cell>
          <cell r="U2589">
            <v>0</v>
          </cell>
          <cell r="V2589">
            <v>0</v>
          </cell>
          <cell r="W2589">
            <v>0</v>
          </cell>
        </row>
        <row r="2590">
          <cell r="A2590" t="str">
            <v>453406</v>
          </cell>
          <cell r="B2590" t="str">
            <v>1251</v>
          </cell>
          <cell r="C2590" t="str">
            <v>12</v>
          </cell>
          <cell r="D2590" t="str">
            <v>80</v>
          </cell>
          <cell r="E2590">
            <v>121</v>
          </cell>
          <cell r="G2590">
            <v>82863</v>
          </cell>
          <cell r="H2590">
            <v>51990</v>
          </cell>
          <cell r="I2590">
            <v>51805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353715</v>
          </cell>
          <cell r="P2590">
            <v>261985</v>
          </cell>
          <cell r="Q2590">
            <v>261950</v>
          </cell>
          <cell r="R2590">
            <v>0</v>
          </cell>
          <cell r="S2590">
            <v>0</v>
          </cell>
          <cell r="T2590">
            <v>10671</v>
          </cell>
          <cell r="U2590">
            <v>10671</v>
          </cell>
          <cell r="V2590">
            <v>0</v>
          </cell>
          <cell r="W2590">
            <v>0</v>
          </cell>
        </row>
        <row r="2591">
          <cell r="A2591" t="str">
            <v>453406</v>
          </cell>
          <cell r="B2591" t="str">
            <v>1251</v>
          </cell>
          <cell r="C2591" t="str">
            <v>12</v>
          </cell>
          <cell r="D2591" t="str">
            <v>80</v>
          </cell>
          <cell r="E2591">
            <v>125</v>
          </cell>
          <cell r="G2591">
            <v>0</v>
          </cell>
          <cell r="H2591">
            <v>10671</v>
          </cell>
          <cell r="I2591">
            <v>10671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  <cell r="R2591">
            <v>0</v>
          </cell>
          <cell r="S2591">
            <v>0</v>
          </cell>
          <cell r="T2591">
            <v>0</v>
          </cell>
          <cell r="U2591">
            <v>0</v>
          </cell>
          <cell r="V2591">
            <v>0</v>
          </cell>
          <cell r="W2591">
            <v>0</v>
          </cell>
        </row>
        <row r="2592">
          <cell r="A2592" t="str">
            <v>453406</v>
          </cell>
          <cell r="B2592" t="str">
            <v>1251</v>
          </cell>
          <cell r="C2592" t="str">
            <v>12</v>
          </cell>
          <cell r="D2592" t="str">
            <v>80</v>
          </cell>
          <cell r="E2592">
            <v>129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  <cell r="R2592">
            <v>0</v>
          </cell>
          <cell r="S2592">
            <v>0</v>
          </cell>
          <cell r="T2592">
            <v>0</v>
          </cell>
          <cell r="U2592">
            <v>0</v>
          </cell>
          <cell r="V2592">
            <v>0</v>
          </cell>
          <cell r="W2592">
            <v>0</v>
          </cell>
        </row>
        <row r="2593">
          <cell r="A2593" t="str">
            <v>453406</v>
          </cell>
          <cell r="B2593" t="str">
            <v>1251</v>
          </cell>
          <cell r="C2593" t="str">
            <v>12</v>
          </cell>
          <cell r="D2593" t="str">
            <v>80</v>
          </cell>
          <cell r="E2593">
            <v>133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-7199</v>
          </cell>
          <cell r="R2593">
            <v>0</v>
          </cell>
          <cell r="S2593">
            <v>0</v>
          </cell>
          <cell r="T2593">
            <v>0</v>
          </cell>
          <cell r="U2593">
            <v>-7199</v>
          </cell>
          <cell r="V2593">
            <v>0</v>
          </cell>
          <cell r="W2593">
            <v>0</v>
          </cell>
        </row>
        <row r="2594">
          <cell r="A2594" t="str">
            <v>453406</v>
          </cell>
          <cell r="B2594" t="str">
            <v>1251</v>
          </cell>
          <cell r="C2594" t="str">
            <v>12</v>
          </cell>
          <cell r="D2594" t="str">
            <v>80</v>
          </cell>
          <cell r="E2594">
            <v>137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  <cell r="R2594">
            <v>0</v>
          </cell>
          <cell r="S2594">
            <v>0</v>
          </cell>
          <cell r="T2594">
            <v>0</v>
          </cell>
          <cell r="U2594">
            <v>0</v>
          </cell>
          <cell r="V2594">
            <v>0</v>
          </cell>
          <cell r="W2594">
            <v>0</v>
          </cell>
        </row>
        <row r="2595">
          <cell r="A2595" t="str">
            <v>453406</v>
          </cell>
          <cell r="B2595" t="str">
            <v>1251</v>
          </cell>
          <cell r="C2595" t="str">
            <v>12</v>
          </cell>
          <cell r="D2595" t="str">
            <v>80</v>
          </cell>
          <cell r="E2595">
            <v>141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  <cell r="R2595">
            <v>0</v>
          </cell>
          <cell r="S2595">
            <v>0</v>
          </cell>
          <cell r="T2595">
            <v>0</v>
          </cell>
          <cell r="U2595">
            <v>0</v>
          </cell>
          <cell r="V2595">
            <v>0</v>
          </cell>
          <cell r="W2595">
            <v>0</v>
          </cell>
        </row>
        <row r="2596">
          <cell r="A2596" t="str">
            <v>453406</v>
          </cell>
          <cell r="B2596" t="str">
            <v>1251</v>
          </cell>
          <cell r="C2596" t="str">
            <v>12</v>
          </cell>
          <cell r="D2596" t="str">
            <v>80</v>
          </cell>
          <cell r="E2596">
            <v>145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-399</v>
          </cell>
          <cell r="N2596">
            <v>0</v>
          </cell>
          <cell r="O2596">
            <v>0</v>
          </cell>
          <cell r="P2596">
            <v>0</v>
          </cell>
          <cell r="Q2596">
            <v>-399</v>
          </cell>
          <cell r="R2596">
            <v>0</v>
          </cell>
          <cell r="S2596">
            <v>0</v>
          </cell>
          <cell r="T2596">
            <v>10671</v>
          </cell>
          <cell r="U2596">
            <v>17471</v>
          </cell>
          <cell r="V2596">
            <v>0</v>
          </cell>
          <cell r="W2596">
            <v>0</v>
          </cell>
        </row>
        <row r="2597">
          <cell r="A2597" t="str">
            <v>453406</v>
          </cell>
          <cell r="B2597" t="str">
            <v>1251</v>
          </cell>
          <cell r="C2597" t="str">
            <v>12</v>
          </cell>
          <cell r="D2597" t="str">
            <v>80</v>
          </cell>
          <cell r="E2597">
            <v>149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  <cell r="R2597">
            <v>0</v>
          </cell>
          <cell r="S2597">
            <v>0</v>
          </cell>
          <cell r="T2597">
            <v>0</v>
          </cell>
          <cell r="U2597">
            <v>0</v>
          </cell>
          <cell r="V2597">
            <v>0</v>
          </cell>
          <cell r="W2597">
            <v>0</v>
          </cell>
        </row>
        <row r="2598">
          <cell r="A2598" t="str">
            <v>453406</v>
          </cell>
          <cell r="B2598" t="str">
            <v>1251</v>
          </cell>
          <cell r="C2598" t="str">
            <v>12</v>
          </cell>
          <cell r="D2598" t="str">
            <v>80</v>
          </cell>
          <cell r="E2598">
            <v>153</v>
          </cell>
          <cell r="G2598">
            <v>0</v>
          </cell>
          <cell r="H2598">
            <v>0</v>
          </cell>
          <cell r="I2598">
            <v>-3871</v>
          </cell>
          <cell r="J2598">
            <v>0</v>
          </cell>
          <cell r="K2598">
            <v>0</v>
          </cell>
          <cell r="L2598">
            <v>0</v>
          </cell>
          <cell r="M2598">
            <v>3871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  <cell r="R2598">
            <v>0</v>
          </cell>
          <cell r="S2598">
            <v>130</v>
          </cell>
          <cell r="T2598">
            <v>130</v>
          </cell>
          <cell r="U2598">
            <v>117</v>
          </cell>
          <cell r="V2598">
            <v>0</v>
          </cell>
          <cell r="W2598">
            <v>0</v>
          </cell>
        </row>
        <row r="2599">
          <cell r="A2599" t="str">
            <v>453406</v>
          </cell>
          <cell r="B2599" t="str">
            <v>1251</v>
          </cell>
          <cell r="C2599" t="str">
            <v>12</v>
          </cell>
          <cell r="D2599" t="str">
            <v>80</v>
          </cell>
          <cell r="E2599">
            <v>157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  <cell r="R2599">
            <v>0</v>
          </cell>
          <cell r="S2599">
            <v>0</v>
          </cell>
          <cell r="T2599">
            <v>0</v>
          </cell>
          <cell r="U2599">
            <v>0</v>
          </cell>
          <cell r="V2599">
            <v>0</v>
          </cell>
          <cell r="W2599">
            <v>0</v>
          </cell>
        </row>
        <row r="2600">
          <cell r="A2600" t="str">
            <v>454272</v>
          </cell>
          <cell r="B2600" t="str">
            <v>1251</v>
          </cell>
          <cell r="C2600" t="str">
            <v>12</v>
          </cell>
          <cell r="D2600" t="str">
            <v>01</v>
          </cell>
          <cell r="E2600">
            <v>1</v>
          </cell>
          <cell r="G2600">
            <v>0</v>
          </cell>
          <cell r="H2600">
            <v>104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727</v>
          </cell>
          <cell r="O2600">
            <v>0</v>
          </cell>
          <cell r="P2600">
            <v>0</v>
          </cell>
          <cell r="Q2600">
            <v>0</v>
          </cell>
          <cell r="R2600">
            <v>0</v>
          </cell>
          <cell r="S2600">
            <v>0</v>
          </cell>
          <cell r="T2600">
            <v>831</v>
          </cell>
          <cell r="U2600">
            <v>0</v>
          </cell>
          <cell r="V2600">
            <v>0</v>
          </cell>
          <cell r="W2600">
            <v>0</v>
          </cell>
        </row>
        <row r="2601">
          <cell r="A2601" t="str">
            <v>454272</v>
          </cell>
          <cell r="B2601" t="str">
            <v>1251</v>
          </cell>
          <cell r="C2601" t="str">
            <v>12</v>
          </cell>
          <cell r="D2601" t="str">
            <v>01</v>
          </cell>
          <cell r="E2601">
            <v>8</v>
          </cell>
          <cell r="G2601">
            <v>0</v>
          </cell>
          <cell r="H2601">
            <v>119219</v>
          </cell>
          <cell r="I2601">
            <v>0</v>
          </cell>
          <cell r="J2601">
            <v>55817</v>
          </cell>
          <cell r="K2601">
            <v>0</v>
          </cell>
          <cell r="L2601">
            <v>4742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  <cell r="R2601">
            <v>0</v>
          </cell>
          <cell r="S2601">
            <v>0</v>
          </cell>
          <cell r="T2601">
            <v>0</v>
          </cell>
          <cell r="U2601">
            <v>0</v>
          </cell>
          <cell r="V2601">
            <v>0</v>
          </cell>
          <cell r="W2601">
            <v>0</v>
          </cell>
        </row>
        <row r="2602">
          <cell r="A2602" t="str">
            <v>454272</v>
          </cell>
          <cell r="B2602" t="str">
            <v>1251</v>
          </cell>
          <cell r="C2602" t="str">
            <v>12</v>
          </cell>
          <cell r="D2602" t="str">
            <v>01</v>
          </cell>
          <cell r="E2602">
            <v>15</v>
          </cell>
          <cell r="G2602">
            <v>0</v>
          </cell>
          <cell r="H2602">
            <v>0</v>
          </cell>
          <cell r="I2602">
            <v>0</v>
          </cell>
          <cell r="J2602">
            <v>179778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  <cell r="R2602">
            <v>0</v>
          </cell>
          <cell r="S2602">
            <v>0</v>
          </cell>
          <cell r="T2602">
            <v>0</v>
          </cell>
          <cell r="U2602">
            <v>0</v>
          </cell>
          <cell r="V2602">
            <v>0</v>
          </cell>
          <cell r="W2602">
            <v>0</v>
          </cell>
        </row>
        <row r="2603">
          <cell r="A2603" t="str">
            <v>454272</v>
          </cell>
          <cell r="B2603" t="str">
            <v>1251</v>
          </cell>
          <cell r="C2603" t="str">
            <v>12</v>
          </cell>
          <cell r="D2603" t="str">
            <v>01</v>
          </cell>
          <cell r="E2603">
            <v>22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  <cell r="R2603">
            <v>0</v>
          </cell>
          <cell r="S2603">
            <v>0</v>
          </cell>
          <cell r="T2603">
            <v>0</v>
          </cell>
          <cell r="U2603">
            <v>0</v>
          </cell>
          <cell r="V2603">
            <v>0</v>
          </cell>
          <cell r="W2603">
            <v>0</v>
          </cell>
        </row>
        <row r="2604">
          <cell r="A2604" t="str">
            <v>454272</v>
          </cell>
          <cell r="B2604" t="str">
            <v>1251</v>
          </cell>
          <cell r="C2604" t="str">
            <v>12</v>
          </cell>
          <cell r="D2604" t="str">
            <v>01</v>
          </cell>
          <cell r="E2604">
            <v>29</v>
          </cell>
          <cell r="G2604">
            <v>0</v>
          </cell>
          <cell r="H2604">
            <v>0</v>
          </cell>
          <cell r="I2604">
            <v>0</v>
          </cell>
          <cell r="J2604">
            <v>180609</v>
          </cell>
          <cell r="K2604">
            <v>0</v>
          </cell>
          <cell r="L2604">
            <v>416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  <cell r="R2604">
            <v>0</v>
          </cell>
          <cell r="S2604">
            <v>0</v>
          </cell>
          <cell r="T2604">
            <v>3971</v>
          </cell>
          <cell r="U2604">
            <v>0</v>
          </cell>
          <cell r="V2604">
            <v>0</v>
          </cell>
          <cell r="W2604">
            <v>0</v>
          </cell>
        </row>
        <row r="2605">
          <cell r="A2605" t="str">
            <v>454272</v>
          </cell>
          <cell r="B2605" t="str">
            <v>1251</v>
          </cell>
          <cell r="C2605" t="str">
            <v>12</v>
          </cell>
          <cell r="D2605" t="str">
            <v>01</v>
          </cell>
          <cell r="E2605">
            <v>36</v>
          </cell>
          <cell r="G2605">
            <v>0</v>
          </cell>
          <cell r="H2605">
            <v>0</v>
          </cell>
          <cell r="I2605">
            <v>0</v>
          </cell>
          <cell r="J2605">
            <v>4387</v>
          </cell>
          <cell r="K2605">
            <v>0</v>
          </cell>
          <cell r="L2605">
            <v>1189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  <cell r="R2605">
            <v>0</v>
          </cell>
          <cell r="S2605">
            <v>0</v>
          </cell>
          <cell r="T2605">
            <v>0</v>
          </cell>
          <cell r="U2605">
            <v>0</v>
          </cell>
          <cell r="V2605">
            <v>0</v>
          </cell>
          <cell r="W2605">
            <v>0</v>
          </cell>
        </row>
        <row r="2606">
          <cell r="A2606" t="str">
            <v>454272</v>
          </cell>
          <cell r="B2606" t="str">
            <v>1251</v>
          </cell>
          <cell r="C2606" t="str">
            <v>12</v>
          </cell>
          <cell r="D2606" t="str">
            <v>01</v>
          </cell>
          <cell r="E2606">
            <v>43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1189</v>
          </cell>
          <cell r="Q2606">
            <v>0</v>
          </cell>
          <cell r="R2606">
            <v>0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</row>
        <row r="2607">
          <cell r="A2607" t="str">
            <v>454272</v>
          </cell>
          <cell r="B2607" t="str">
            <v>1251</v>
          </cell>
          <cell r="C2607" t="str">
            <v>12</v>
          </cell>
          <cell r="D2607" t="str">
            <v>01</v>
          </cell>
          <cell r="E2607">
            <v>50</v>
          </cell>
          <cell r="G2607">
            <v>0</v>
          </cell>
          <cell r="H2607">
            <v>0</v>
          </cell>
          <cell r="I2607">
            <v>0</v>
          </cell>
          <cell r="J2607">
            <v>321</v>
          </cell>
          <cell r="K2607">
            <v>0</v>
          </cell>
          <cell r="L2607">
            <v>20861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  <cell r="R2607">
            <v>21182</v>
          </cell>
          <cell r="S2607">
            <v>0</v>
          </cell>
          <cell r="T2607">
            <v>240</v>
          </cell>
          <cell r="U2607">
            <v>0</v>
          </cell>
          <cell r="V2607">
            <v>0</v>
          </cell>
          <cell r="W2607">
            <v>0</v>
          </cell>
        </row>
        <row r="2608">
          <cell r="A2608" t="str">
            <v>454272</v>
          </cell>
          <cell r="B2608" t="str">
            <v>1251</v>
          </cell>
          <cell r="C2608" t="str">
            <v>12</v>
          </cell>
          <cell r="D2608" t="str">
            <v>01</v>
          </cell>
          <cell r="E2608">
            <v>57</v>
          </cell>
          <cell r="G2608">
            <v>0</v>
          </cell>
          <cell r="H2608">
            <v>1584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1824</v>
          </cell>
          <cell r="O2608">
            <v>0</v>
          </cell>
          <cell r="P2608">
            <v>28582</v>
          </cell>
          <cell r="Q2608">
            <v>0</v>
          </cell>
          <cell r="R2608">
            <v>209191</v>
          </cell>
          <cell r="S2608">
            <v>0</v>
          </cell>
          <cell r="T2608">
            <v>198157</v>
          </cell>
          <cell r="U2608">
            <v>0</v>
          </cell>
          <cell r="V2608">
            <v>0</v>
          </cell>
          <cell r="W2608">
            <v>0</v>
          </cell>
        </row>
        <row r="2609">
          <cell r="A2609" t="str">
            <v>454272</v>
          </cell>
          <cell r="B2609" t="str">
            <v>1251</v>
          </cell>
          <cell r="C2609" t="str">
            <v>12</v>
          </cell>
          <cell r="D2609" t="str">
            <v>01</v>
          </cell>
          <cell r="E2609">
            <v>64</v>
          </cell>
          <cell r="G2609">
            <v>0</v>
          </cell>
          <cell r="H2609">
            <v>-23195</v>
          </cell>
          <cell r="I2609">
            <v>0</v>
          </cell>
          <cell r="J2609">
            <v>0</v>
          </cell>
          <cell r="K2609">
            <v>0</v>
          </cell>
          <cell r="L2609">
            <v>174962</v>
          </cell>
          <cell r="M2609">
            <v>0</v>
          </cell>
          <cell r="N2609">
            <v>22342</v>
          </cell>
          <cell r="O2609">
            <v>0</v>
          </cell>
          <cell r="P2609">
            <v>22342</v>
          </cell>
          <cell r="Q2609">
            <v>0</v>
          </cell>
          <cell r="R2609">
            <v>0</v>
          </cell>
          <cell r="S2609">
            <v>0</v>
          </cell>
          <cell r="T2609">
            <v>0</v>
          </cell>
          <cell r="U2609">
            <v>0</v>
          </cell>
          <cell r="V2609">
            <v>0</v>
          </cell>
          <cell r="W2609">
            <v>0</v>
          </cell>
        </row>
        <row r="2610">
          <cell r="A2610" t="str">
            <v>454272</v>
          </cell>
          <cell r="B2610" t="str">
            <v>1251</v>
          </cell>
          <cell r="C2610" t="str">
            <v>12</v>
          </cell>
          <cell r="D2610" t="str">
            <v>01</v>
          </cell>
          <cell r="E2610">
            <v>71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22342</v>
          </cell>
          <cell r="O2610">
            <v>0</v>
          </cell>
          <cell r="P2610">
            <v>0</v>
          </cell>
          <cell r="Q2610">
            <v>0</v>
          </cell>
          <cell r="R2610">
            <v>0</v>
          </cell>
          <cell r="S2610">
            <v>0</v>
          </cell>
          <cell r="T2610">
            <v>0</v>
          </cell>
          <cell r="U2610">
            <v>0</v>
          </cell>
          <cell r="V2610">
            <v>0</v>
          </cell>
          <cell r="W2610">
            <v>0</v>
          </cell>
        </row>
        <row r="2611">
          <cell r="A2611" t="str">
            <v>454272</v>
          </cell>
          <cell r="B2611" t="str">
            <v>1251</v>
          </cell>
          <cell r="C2611" t="str">
            <v>12</v>
          </cell>
          <cell r="D2611" t="str">
            <v>01</v>
          </cell>
          <cell r="E2611">
            <v>78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22342</v>
          </cell>
          <cell r="Q2611">
            <v>0</v>
          </cell>
          <cell r="R2611">
            <v>0</v>
          </cell>
          <cell r="S2611">
            <v>0</v>
          </cell>
          <cell r="T2611">
            <v>0</v>
          </cell>
          <cell r="U2611">
            <v>0</v>
          </cell>
          <cell r="V2611">
            <v>0</v>
          </cell>
          <cell r="W2611">
            <v>0</v>
          </cell>
        </row>
        <row r="2612">
          <cell r="A2612" t="str">
            <v>454272</v>
          </cell>
          <cell r="B2612" t="str">
            <v>1251</v>
          </cell>
          <cell r="C2612" t="str">
            <v>12</v>
          </cell>
          <cell r="D2612" t="str">
            <v>01</v>
          </cell>
          <cell r="E2612">
            <v>85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  <cell r="R2612">
            <v>0</v>
          </cell>
          <cell r="S2612">
            <v>0</v>
          </cell>
          <cell r="T2612">
            <v>0</v>
          </cell>
          <cell r="U2612">
            <v>0</v>
          </cell>
          <cell r="V2612">
            <v>0</v>
          </cell>
          <cell r="W2612">
            <v>0</v>
          </cell>
        </row>
        <row r="2613">
          <cell r="A2613" t="str">
            <v>454272</v>
          </cell>
          <cell r="B2613" t="str">
            <v>1251</v>
          </cell>
          <cell r="C2613" t="str">
            <v>12</v>
          </cell>
          <cell r="D2613" t="str">
            <v>01</v>
          </cell>
          <cell r="E2613">
            <v>92</v>
          </cell>
          <cell r="G2613">
            <v>0</v>
          </cell>
          <cell r="H2613">
            <v>11223</v>
          </cell>
          <cell r="I2613">
            <v>0</v>
          </cell>
          <cell r="J2613">
            <v>11223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  <cell r="R2613">
            <v>0</v>
          </cell>
          <cell r="S2613">
            <v>0</v>
          </cell>
          <cell r="T2613">
            <v>0</v>
          </cell>
          <cell r="U2613">
            <v>0</v>
          </cell>
          <cell r="V2613">
            <v>0</v>
          </cell>
          <cell r="W2613">
            <v>0</v>
          </cell>
        </row>
        <row r="2614">
          <cell r="A2614" t="str">
            <v>454272</v>
          </cell>
          <cell r="B2614" t="str">
            <v>1251</v>
          </cell>
          <cell r="C2614" t="str">
            <v>12</v>
          </cell>
          <cell r="D2614" t="str">
            <v>01</v>
          </cell>
          <cell r="E2614">
            <v>99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  <cell r="R2614">
            <v>0</v>
          </cell>
          <cell r="S2614">
            <v>0</v>
          </cell>
          <cell r="T2614">
            <v>0</v>
          </cell>
          <cell r="U2614">
            <v>0</v>
          </cell>
          <cell r="V2614">
            <v>0</v>
          </cell>
          <cell r="W2614">
            <v>0</v>
          </cell>
        </row>
        <row r="2615">
          <cell r="A2615" t="str">
            <v>454272</v>
          </cell>
          <cell r="B2615" t="str">
            <v>1251</v>
          </cell>
          <cell r="C2615" t="str">
            <v>12</v>
          </cell>
          <cell r="D2615" t="str">
            <v>01</v>
          </cell>
          <cell r="E2615">
            <v>106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  <cell r="R2615">
            <v>0</v>
          </cell>
          <cell r="S2615">
            <v>0</v>
          </cell>
          <cell r="T2615">
            <v>0</v>
          </cell>
          <cell r="U2615">
            <v>0</v>
          </cell>
          <cell r="V2615">
            <v>0</v>
          </cell>
          <cell r="W2615">
            <v>0</v>
          </cell>
        </row>
        <row r="2616">
          <cell r="A2616" t="str">
            <v>454272</v>
          </cell>
          <cell r="B2616" t="str">
            <v>1251</v>
          </cell>
          <cell r="C2616" t="str">
            <v>12</v>
          </cell>
          <cell r="D2616" t="str">
            <v>01</v>
          </cell>
          <cell r="E2616">
            <v>113</v>
          </cell>
          <cell r="G2616">
            <v>0</v>
          </cell>
          <cell r="H2616">
            <v>11223</v>
          </cell>
          <cell r="I2616">
            <v>0</v>
          </cell>
          <cell r="J2616">
            <v>513</v>
          </cell>
          <cell r="K2616">
            <v>0</v>
          </cell>
          <cell r="L2616">
            <v>151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  <cell r="R2616">
            <v>0</v>
          </cell>
          <cell r="S2616">
            <v>0</v>
          </cell>
          <cell r="T2616">
            <v>0</v>
          </cell>
          <cell r="U2616">
            <v>0</v>
          </cell>
          <cell r="V2616">
            <v>0</v>
          </cell>
          <cell r="W2616">
            <v>0</v>
          </cell>
        </row>
        <row r="2617">
          <cell r="A2617" t="str">
            <v>454272</v>
          </cell>
          <cell r="B2617" t="str">
            <v>1251</v>
          </cell>
          <cell r="C2617" t="str">
            <v>12</v>
          </cell>
          <cell r="D2617" t="str">
            <v>01</v>
          </cell>
          <cell r="E2617">
            <v>120</v>
          </cell>
          <cell r="G2617">
            <v>0</v>
          </cell>
          <cell r="H2617">
            <v>664</v>
          </cell>
          <cell r="I2617">
            <v>0</v>
          </cell>
          <cell r="J2617">
            <v>11887</v>
          </cell>
          <cell r="K2617">
            <v>0</v>
          </cell>
          <cell r="L2617">
            <v>209191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  <cell r="R2617">
            <v>0</v>
          </cell>
          <cell r="S2617">
            <v>0</v>
          </cell>
          <cell r="T2617">
            <v>0</v>
          </cell>
          <cell r="U2617">
            <v>0</v>
          </cell>
          <cell r="V2617">
            <v>0</v>
          </cell>
          <cell r="W2617">
            <v>0</v>
          </cell>
        </row>
        <row r="2618">
          <cell r="A2618" t="str">
            <v>454272</v>
          </cell>
          <cell r="B2618" t="str">
            <v>1251</v>
          </cell>
          <cell r="C2618" t="str">
            <v>12</v>
          </cell>
          <cell r="D2618" t="str">
            <v>02</v>
          </cell>
          <cell r="E2618">
            <v>1</v>
          </cell>
          <cell r="G2618">
            <v>0</v>
          </cell>
          <cell r="H2618">
            <v>62710</v>
          </cell>
          <cell r="I2618">
            <v>62707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2934</v>
          </cell>
          <cell r="R2618">
            <v>2928</v>
          </cell>
          <cell r="S2618">
            <v>0</v>
          </cell>
          <cell r="T2618">
            <v>100</v>
          </cell>
          <cell r="U2618">
            <v>97</v>
          </cell>
          <cell r="V2618">
            <v>0</v>
          </cell>
          <cell r="W2618">
            <v>0</v>
          </cell>
        </row>
        <row r="2619">
          <cell r="A2619" t="str">
            <v>454272</v>
          </cell>
          <cell r="B2619" t="str">
            <v>1251</v>
          </cell>
          <cell r="C2619" t="str">
            <v>12</v>
          </cell>
          <cell r="D2619" t="str">
            <v>02</v>
          </cell>
          <cell r="E2619">
            <v>6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65744</v>
          </cell>
          <cell r="L2619">
            <v>65732</v>
          </cell>
          <cell r="M2619">
            <v>0</v>
          </cell>
          <cell r="N2619">
            <v>4642</v>
          </cell>
          <cell r="O2619">
            <v>4642</v>
          </cell>
          <cell r="P2619">
            <v>0</v>
          </cell>
          <cell r="Q2619">
            <v>70386</v>
          </cell>
          <cell r="R2619">
            <v>70374</v>
          </cell>
          <cell r="S2619">
            <v>0</v>
          </cell>
          <cell r="T2619">
            <v>0</v>
          </cell>
          <cell r="U2619">
            <v>0</v>
          </cell>
          <cell r="V2619">
            <v>0</v>
          </cell>
          <cell r="W2619">
            <v>0</v>
          </cell>
        </row>
        <row r="2620">
          <cell r="A2620" t="str">
            <v>454272</v>
          </cell>
          <cell r="B2620" t="str">
            <v>1251</v>
          </cell>
          <cell r="C2620" t="str">
            <v>12</v>
          </cell>
          <cell r="D2620" t="str">
            <v>02</v>
          </cell>
          <cell r="E2620">
            <v>11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4916</v>
          </cell>
          <cell r="L2620">
            <v>4905</v>
          </cell>
          <cell r="M2620">
            <v>0</v>
          </cell>
          <cell r="N2620">
            <v>2865</v>
          </cell>
          <cell r="O2620">
            <v>2864</v>
          </cell>
          <cell r="P2620">
            <v>0</v>
          </cell>
          <cell r="Q2620">
            <v>7781</v>
          </cell>
          <cell r="R2620">
            <v>7769</v>
          </cell>
          <cell r="S2620">
            <v>0</v>
          </cell>
          <cell r="T2620">
            <v>80</v>
          </cell>
          <cell r="U2620">
            <v>76</v>
          </cell>
          <cell r="V2620">
            <v>0</v>
          </cell>
          <cell r="W2620">
            <v>0</v>
          </cell>
        </row>
        <row r="2621">
          <cell r="A2621" t="str">
            <v>454272</v>
          </cell>
          <cell r="B2621" t="str">
            <v>1251</v>
          </cell>
          <cell r="C2621" t="str">
            <v>12</v>
          </cell>
          <cell r="D2621" t="str">
            <v>02</v>
          </cell>
          <cell r="E2621">
            <v>16</v>
          </cell>
          <cell r="G2621">
            <v>0</v>
          </cell>
          <cell r="H2621">
            <v>7861</v>
          </cell>
          <cell r="I2621">
            <v>7845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1895</v>
          </cell>
          <cell r="R2621">
            <v>1892</v>
          </cell>
          <cell r="S2621">
            <v>0</v>
          </cell>
          <cell r="T2621">
            <v>0</v>
          </cell>
          <cell r="U2621">
            <v>0</v>
          </cell>
          <cell r="V2621">
            <v>0</v>
          </cell>
          <cell r="W2621">
            <v>0</v>
          </cell>
        </row>
        <row r="2622">
          <cell r="A2622" t="str">
            <v>454272</v>
          </cell>
          <cell r="B2622" t="str">
            <v>1251</v>
          </cell>
          <cell r="C2622" t="str">
            <v>12</v>
          </cell>
          <cell r="D2622" t="str">
            <v>02</v>
          </cell>
          <cell r="E2622">
            <v>21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557</v>
          </cell>
          <cell r="L2622">
            <v>557</v>
          </cell>
          <cell r="M2622">
            <v>0</v>
          </cell>
          <cell r="N2622">
            <v>2452</v>
          </cell>
          <cell r="O2622">
            <v>2449</v>
          </cell>
          <cell r="P2622">
            <v>0</v>
          </cell>
          <cell r="Q2622">
            <v>10</v>
          </cell>
          <cell r="R2622">
            <v>7</v>
          </cell>
          <cell r="S2622">
            <v>0</v>
          </cell>
          <cell r="T2622">
            <v>2462</v>
          </cell>
          <cell r="U2622">
            <v>2456</v>
          </cell>
          <cell r="V2622">
            <v>0</v>
          </cell>
          <cell r="W2622">
            <v>0</v>
          </cell>
        </row>
        <row r="2623">
          <cell r="A2623" t="str">
            <v>454272</v>
          </cell>
          <cell r="B2623" t="str">
            <v>1251</v>
          </cell>
          <cell r="C2623" t="str">
            <v>12</v>
          </cell>
          <cell r="D2623" t="str">
            <v>02</v>
          </cell>
          <cell r="E2623">
            <v>26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700</v>
          </cell>
          <cell r="O2623">
            <v>675</v>
          </cell>
          <cell r="P2623">
            <v>0</v>
          </cell>
          <cell r="Q2623">
            <v>1920</v>
          </cell>
          <cell r="R2623">
            <v>1606</v>
          </cell>
          <cell r="S2623">
            <v>0</v>
          </cell>
          <cell r="T2623">
            <v>260</v>
          </cell>
          <cell r="U2623">
            <v>258</v>
          </cell>
          <cell r="V2623">
            <v>0</v>
          </cell>
          <cell r="W2623">
            <v>0</v>
          </cell>
        </row>
        <row r="2624">
          <cell r="A2624" t="str">
            <v>454272</v>
          </cell>
          <cell r="B2624" t="str">
            <v>1251</v>
          </cell>
          <cell r="C2624" t="str">
            <v>12</v>
          </cell>
          <cell r="D2624" t="str">
            <v>02</v>
          </cell>
          <cell r="E2624">
            <v>31</v>
          </cell>
          <cell r="G2624">
            <v>0</v>
          </cell>
          <cell r="H2624">
            <v>2880</v>
          </cell>
          <cell r="I2624">
            <v>2539</v>
          </cell>
          <cell r="J2624">
            <v>0</v>
          </cell>
          <cell r="K2624">
            <v>111</v>
          </cell>
          <cell r="L2624">
            <v>111</v>
          </cell>
          <cell r="M2624">
            <v>0</v>
          </cell>
          <cell r="N2624">
            <v>2991</v>
          </cell>
          <cell r="O2624">
            <v>2650</v>
          </cell>
          <cell r="P2624">
            <v>0</v>
          </cell>
          <cell r="Q2624">
            <v>0</v>
          </cell>
          <cell r="R2624">
            <v>0</v>
          </cell>
          <cell r="S2624">
            <v>0</v>
          </cell>
          <cell r="T2624">
            <v>0</v>
          </cell>
          <cell r="U2624">
            <v>0</v>
          </cell>
          <cell r="V2624">
            <v>0</v>
          </cell>
          <cell r="W2624">
            <v>0</v>
          </cell>
        </row>
        <row r="2625">
          <cell r="A2625" t="str">
            <v>454272</v>
          </cell>
          <cell r="B2625" t="str">
            <v>1251</v>
          </cell>
          <cell r="C2625" t="str">
            <v>12</v>
          </cell>
          <cell r="D2625" t="str">
            <v>02</v>
          </cell>
          <cell r="E2625">
            <v>36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  <cell r="R2625">
            <v>0</v>
          </cell>
          <cell r="S2625">
            <v>0</v>
          </cell>
          <cell r="T2625">
            <v>13113</v>
          </cell>
          <cell r="U2625">
            <v>12757</v>
          </cell>
          <cell r="V2625">
            <v>0</v>
          </cell>
          <cell r="W2625">
            <v>0</v>
          </cell>
        </row>
        <row r="2626">
          <cell r="A2626" t="str">
            <v>454272</v>
          </cell>
          <cell r="B2626" t="str">
            <v>1251</v>
          </cell>
          <cell r="C2626" t="str">
            <v>12</v>
          </cell>
          <cell r="D2626" t="str">
            <v>02</v>
          </cell>
          <cell r="E2626">
            <v>41</v>
          </cell>
          <cell r="G2626">
            <v>0</v>
          </cell>
          <cell r="H2626">
            <v>201</v>
          </cell>
          <cell r="I2626">
            <v>194</v>
          </cell>
          <cell r="J2626">
            <v>0</v>
          </cell>
          <cell r="K2626">
            <v>13314</v>
          </cell>
          <cell r="L2626">
            <v>12951</v>
          </cell>
          <cell r="M2626">
            <v>0</v>
          </cell>
          <cell r="N2626">
            <v>4431</v>
          </cell>
          <cell r="O2626">
            <v>4429</v>
          </cell>
          <cell r="P2626">
            <v>0</v>
          </cell>
          <cell r="Q2626">
            <v>0</v>
          </cell>
          <cell r="R2626">
            <v>0</v>
          </cell>
          <cell r="S2626">
            <v>0</v>
          </cell>
          <cell r="T2626">
            <v>0</v>
          </cell>
          <cell r="U2626">
            <v>0</v>
          </cell>
          <cell r="V2626">
            <v>0</v>
          </cell>
          <cell r="W2626">
            <v>0</v>
          </cell>
        </row>
        <row r="2627">
          <cell r="A2627" t="str">
            <v>454272</v>
          </cell>
          <cell r="B2627" t="str">
            <v>1251</v>
          </cell>
          <cell r="C2627" t="str">
            <v>12</v>
          </cell>
          <cell r="D2627" t="str">
            <v>02</v>
          </cell>
          <cell r="E2627">
            <v>46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4431</v>
          </cell>
          <cell r="R2627">
            <v>4429</v>
          </cell>
          <cell r="S2627">
            <v>0</v>
          </cell>
          <cell r="T2627">
            <v>88131</v>
          </cell>
          <cell r="U2627">
            <v>87754</v>
          </cell>
          <cell r="V2627">
            <v>0</v>
          </cell>
          <cell r="W2627">
            <v>0</v>
          </cell>
        </row>
        <row r="2628">
          <cell r="A2628" t="str">
            <v>454272</v>
          </cell>
          <cell r="B2628" t="str">
            <v>1251</v>
          </cell>
          <cell r="C2628" t="str">
            <v>12</v>
          </cell>
          <cell r="D2628" t="str">
            <v>02</v>
          </cell>
          <cell r="E2628">
            <v>51</v>
          </cell>
          <cell r="G2628">
            <v>0</v>
          </cell>
          <cell r="H2628">
            <v>24321</v>
          </cell>
          <cell r="I2628">
            <v>24309</v>
          </cell>
          <cell r="J2628">
            <v>0</v>
          </cell>
          <cell r="K2628">
            <v>2427</v>
          </cell>
          <cell r="L2628">
            <v>2427</v>
          </cell>
          <cell r="M2628">
            <v>0</v>
          </cell>
          <cell r="N2628">
            <v>1025</v>
          </cell>
          <cell r="O2628">
            <v>1023</v>
          </cell>
          <cell r="P2628">
            <v>0</v>
          </cell>
          <cell r="Q2628">
            <v>355</v>
          </cell>
          <cell r="R2628">
            <v>354</v>
          </cell>
          <cell r="S2628">
            <v>0</v>
          </cell>
          <cell r="T2628">
            <v>0</v>
          </cell>
          <cell r="U2628">
            <v>0</v>
          </cell>
          <cell r="V2628">
            <v>0</v>
          </cell>
          <cell r="W2628">
            <v>0</v>
          </cell>
        </row>
        <row r="2629">
          <cell r="A2629" t="str">
            <v>454272</v>
          </cell>
          <cell r="B2629" t="str">
            <v>1251</v>
          </cell>
          <cell r="C2629" t="str">
            <v>12</v>
          </cell>
          <cell r="D2629" t="str">
            <v>02</v>
          </cell>
          <cell r="E2629">
            <v>56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28128</v>
          </cell>
          <cell r="L2629">
            <v>28113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</row>
        <row r="2630">
          <cell r="A2630" t="str">
            <v>454272</v>
          </cell>
          <cell r="B2630" t="str">
            <v>1251</v>
          </cell>
          <cell r="C2630" t="str">
            <v>12</v>
          </cell>
          <cell r="D2630" t="str">
            <v>03</v>
          </cell>
          <cell r="E2630">
            <v>1</v>
          </cell>
          <cell r="G2630">
            <v>0</v>
          </cell>
          <cell r="H2630">
            <v>15700</v>
          </cell>
          <cell r="I2630">
            <v>15206</v>
          </cell>
          <cell r="J2630">
            <v>0</v>
          </cell>
          <cell r="K2630">
            <v>20</v>
          </cell>
          <cell r="L2630">
            <v>6</v>
          </cell>
          <cell r="M2630">
            <v>0</v>
          </cell>
          <cell r="N2630">
            <v>5</v>
          </cell>
          <cell r="O2630">
            <v>0</v>
          </cell>
          <cell r="P2630">
            <v>0</v>
          </cell>
          <cell r="Q2630">
            <v>800</v>
          </cell>
          <cell r="R2630">
            <v>754</v>
          </cell>
          <cell r="S2630">
            <v>0</v>
          </cell>
          <cell r="T2630">
            <v>1250</v>
          </cell>
          <cell r="U2630">
            <v>1262</v>
          </cell>
          <cell r="V2630">
            <v>0</v>
          </cell>
          <cell r="W2630">
            <v>0</v>
          </cell>
        </row>
        <row r="2631">
          <cell r="A2631" t="str">
            <v>454272</v>
          </cell>
          <cell r="B2631" t="str">
            <v>1251</v>
          </cell>
          <cell r="C2631" t="str">
            <v>12</v>
          </cell>
          <cell r="D2631" t="str">
            <v>03</v>
          </cell>
          <cell r="E2631">
            <v>6</v>
          </cell>
          <cell r="G2631">
            <v>0</v>
          </cell>
          <cell r="H2631">
            <v>250</v>
          </cell>
          <cell r="I2631">
            <v>237</v>
          </cell>
          <cell r="J2631">
            <v>0</v>
          </cell>
          <cell r="K2631">
            <v>50</v>
          </cell>
          <cell r="L2631">
            <v>47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355</v>
          </cell>
          <cell r="R2631">
            <v>353</v>
          </cell>
          <cell r="S2631">
            <v>0</v>
          </cell>
          <cell r="T2631">
            <v>740</v>
          </cell>
          <cell r="U2631">
            <v>737</v>
          </cell>
          <cell r="V2631">
            <v>0</v>
          </cell>
          <cell r="W2631">
            <v>0</v>
          </cell>
        </row>
        <row r="2632">
          <cell r="A2632" t="str">
            <v>454272</v>
          </cell>
          <cell r="B2632" t="str">
            <v>1251</v>
          </cell>
          <cell r="C2632" t="str">
            <v>12</v>
          </cell>
          <cell r="D2632" t="str">
            <v>03</v>
          </cell>
          <cell r="E2632">
            <v>11</v>
          </cell>
          <cell r="G2632">
            <v>0</v>
          </cell>
          <cell r="H2632">
            <v>1000</v>
          </cell>
          <cell r="I2632">
            <v>990</v>
          </cell>
          <cell r="J2632">
            <v>0</v>
          </cell>
          <cell r="K2632">
            <v>120</v>
          </cell>
          <cell r="L2632">
            <v>114</v>
          </cell>
          <cell r="M2632">
            <v>0</v>
          </cell>
          <cell r="N2632">
            <v>4500</v>
          </cell>
          <cell r="O2632">
            <v>4494</v>
          </cell>
          <cell r="P2632">
            <v>0</v>
          </cell>
          <cell r="Q2632">
            <v>24790</v>
          </cell>
          <cell r="R2632">
            <v>24200</v>
          </cell>
          <cell r="S2632">
            <v>0</v>
          </cell>
          <cell r="T2632">
            <v>800</v>
          </cell>
          <cell r="U2632">
            <v>777</v>
          </cell>
          <cell r="V2632">
            <v>0</v>
          </cell>
          <cell r="W2632">
            <v>0</v>
          </cell>
        </row>
        <row r="2633">
          <cell r="A2633" t="str">
            <v>454272</v>
          </cell>
          <cell r="B2633" t="str">
            <v>1251</v>
          </cell>
          <cell r="C2633" t="str">
            <v>12</v>
          </cell>
          <cell r="D2633" t="str">
            <v>03</v>
          </cell>
          <cell r="E2633">
            <v>16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800</v>
          </cell>
          <cell r="O2633">
            <v>777</v>
          </cell>
          <cell r="P2633">
            <v>0</v>
          </cell>
          <cell r="Q2633">
            <v>190</v>
          </cell>
          <cell r="R2633">
            <v>189</v>
          </cell>
          <cell r="S2633">
            <v>0</v>
          </cell>
          <cell r="T2633">
            <v>280</v>
          </cell>
          <cell r="U2633">
            <v>276</v>
          </cell>
          <cell r="V2633">
            <v>0</v>
          </cell>
          <cell r="W2633">
            <v>0</v>
          </cell>
        </row>
        <row r="2634">
          <cell r="A2634" t="str">
            <v>454272</v>
          </cell>
          <cell r="B2634" t="str">
            <v>1251</v>
          </cell>
          <cell r="C2634" t="str">
            <v>12</v>
          </cell>
          <cell r="D2634" t="str">
            <v>03</v>
          </cell>
          <cell r="E2634">
            <v>21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370</v>
          </cell>
          <cell r="L2634">
            <v>361</v>
          </cell>
          <cell r="M2634">
            <v>0</v>
          </cell>
          <cell r="N2634">
            <v>2600</v>
          </cell>
          <cell r="O2634">
            <v>2547</v>
          </cell>
          <cell r="P2634">
            <v>0</v>
          </cell>
          <cell r="Q2634">
            <v>1000</v>
          </cell>
          <cell r="R2634">
            <v>982</v>
          </cell>
          <cell r="S2634">
            <v>0</v>
          </cell>
          <cell r="T2634">
            <v>0</v>
          </cell>
          <cell r="U2634">
            <v>0</v>
          </cell>
          <cell r="V2634">
            <v>0</v>
          </cell>
          <cell r="W2634">
            <v>0</v>
          </cell>
        </row>
        <row r="2635">
          <cell r="A2635" t="str">
            <v>454272</v>
          </cell>
          <cell r="B2635" t="str">
            <v>1251</v>
          </cell>
          <cell r="C2635" t="str">
            <v>12</v>
          </cell>
          <cell r="D2635" t="str">
            <v>03</v>
          </cell>
          <cell r="E2635">
            <v>26</v>
          </cell>
          <cell r="G2635">
            <v>0</v>
          </cell>
          <cell r="H2635">
            <v>600</v>
          </cell>
          <cell r="I2635">
            <v>563</v>
          </cell>
          <cell r="J2635">
            <v>0</v>
          </cell>
          <cell r="K2635">
            <v>2200</v>
          </cell>
          <cell r="L2635">
            <v>2191</v>
          </cell>
          <cell r="M2635">
            <v>0</v>
          </cell>
          <cell r="N2635">
            <v>4000</v>
          </cell>
          <cell r="O2635">
            <v>3815</v>
          </cell>
          <cell r="P2635">
            <v>0</v>
          </cell>
          <cell r="Q2635">
            <v>450</v>
          </cell>
          <cell r="R2635">
            <v>308</v>
          </cell>
          <cell r="S2635">
            <v>0</v>
          </cell>
          <cell r="T2635">
            <v>50</v>
          </cell>
          <cell r="U2635">
            <v>93</v>
          </cell>
          <cell r="V2635">
            <v>0</v>
          </cell>
          <cell r="W2635">
            <v>0</v>
          </cell>
        </row>
        <row r="2636">
          <cell r="A2636" t="str">
            <v>454272</v>
          </cell>
          <cell r="B2636" t="str">
            <v>1251</v>
          </cell>
          <cell r="C2636" t="str">
            <v>12</v>
          </cell>
          <cell r="D2636" t="str">
            <v>03</v>
          </cell>
          <cell r="E2636">
            <v>31</v>
          </cell>
          <cell r="G2636">
            <v>0</v>
          </cell>
          <cell r="H2636">
            <v>11740</v>
          </cell>
          <cell r="I2636">
            <v>11325</v>
          </cell>
          <cell r="J2636">
            <v>0</v>
          </cell>
          <cell r="K2636">
            <v>7050</v>
          </cell>
          <cell r="L2636">
            <v>7018</v>
          </cell>
          <cell r="M2636">
            <v>0</v>
          </cell>
          <cell r="N2636">
            <v>7200</v>
          </cell>
          <cell r="O2636">
            <v>7107</v>
          </cell>
          <cell r="P2636">
            <v>0</v>
          </cell>
          <cell r="Q2636">
            <v>0</v>
          </cell>
          <cell r="R2636">
            <v>0</v>
          </cell>
          <cell r="S2636">
            <v>0</v>
          </cell>
          <cell r="T2636">
            <v>0</v>
          </cell>
          <cell r="U2636">
            <v>0</v>
          </cell>
          <cell r="V2636">
            <v>0</v>
          </cell>
          <cell r="W2636">
            <v>0</v>
          </cell>
        </row>
        <row r="2637">
          <cell r="A2637" t="str">
            <v>454272</v>
          </cell>
          <cell r="B2637" t="str">
            <v>1251</v>
          </cell>
          <cell r="C2637" t="str">
            <v>12</v>
          </cell>
          <cell r="D2637" t="str">
            <v>03</v>
          </cell>
          <cell r="E2637">
            <v>36</v>
          </cell>
          <cell r="G2637">
            <v>0</v>
          </cell>
          <cell r="H2637">
            <v>7200</v>
          </cell>
          <cell r="I2637">
            <v>7107</v>
          </cell>
          <cell r="J2637">
            <v>0</v>
          </cell>
          <cell r="K2637">
            <v>150</v>
          </cell>
          <cell r="L2637">
            <v>119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50</v>
          </cell>
          <cell r="R2637">
            <v>27</v>
          </cell>
          <cell r="S2637">
            <v>0</v>
          </cell>
          <cell r="T2637">
            <v>255</v>
          </cell>
          <cell r="U2637">
            <v>252</v>
          </cell>
          <cell r="V2637">
            <v>0</v>
          </cell>
          <cell r="W2637">
            <v>0</v>
          </cell>
        </row>
        <row r="2638">
          <cell r="A2638" t="str">
            <v>454272</v>
          </cell>
          <cell r="B2638" t="str">
            <v>1251</v>
          </cell>
          <cell r="C2638" t="str">
            <v>12</v>
          </cell>
          <cell r="D2638" t="str">
            <v>03</v>
          </cell>
          <cell r="E2638">
            <v>41</v>
          </cell>
          <cell r="G2638">
            <v>0</v>
          </cell>
          <cell r="H2638">
            <v>455</v>
          </cell>
          <cell r="I2638">
            <v>398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5820</v>
          </cell>
          <cell r="O2638">
            <v>5777</v>
          </cell>
          <cell r="P2638">
            <v>0</v>
          </cell>
          <cell r="Q2638">
            <v>57855</v>
          </cell>
          <cell r="R2638">
            <v>56602</v>
          </cell>
          <cell r="S2638">
            <v>0</v>
          </cell>
          <cell r="T2638">
            <v>0</v>
          </cell>
          <cell r="U2638">
            <v>0</v>
          </cell>
          <cell r="V2638">
            <v>0</v>
          </cell>
          <cell r="W2638">
            <v>0</v>
          </cell>
        </row>
        <row r="2639">
          <cell r="A2639" t="str">
            <v>454272</v>
          </cell>
          <cell r="B2639" t="str">
            <v>1251</v>
          </cell>
          <cell r="C2639" t="str">
            <v>12</v>
          </cell>
          <cell r="D2639" t="str">
            <v>03</v>
          </cell>
          <cell r="E2639">
            <v>46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  <cell r="R2639">
            <v>0</v>
          </cell>
          <cell r="S2639">
            <v>0</v>
          </cell>
          <cell r="T2639">
            <v>0</v>
          </cell>
          <cell r="U2639">
            <v>0</v>
          </cell>
          <cell r="V2639">
            <v>0</v>
          </cell>
          <cell r="W2639">
            <v>0</v>
          </cell>
        </row>
        <row r="2640">
          <cell r="A2640" t="str">
            <v>454272</v>
          </cell>
          <cell r="B2640" t="str">
            <v>1251</v>
          </cell>
          <cell r="C2640" t="str">
            <v>12</v>
          </cell>
          <cell r="D2640" t="str">
            <v>03</v>
          </cell>
          <cell r="E2640">
            <v>51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  <cell r="R2640">
            <v>0</v>
          </cell>
          <cell r="S2640">
            <v>0</v>
          </cell>
          <cell r="T2640">
            <v>331</v>
          </cell>
          <cell r="U2640">
            <v>193</v>
          </cell>
          <cell r="V2640">
            <v>0</v>
          </cell>
          <cell r="W2640">
            <v>0</v>
          </cell>
        </row>
        <row r="2641">
          <cell r="A2641" t="str">
            <v>454272</v>
          </cell>
          <cell r="B2641" t="str">
            <v>1251</v>
          </cell>
          <cell r="C2641" t="str">
            <v>12</v>
          </cell>
          <cell r="D2641" t="str">
            <v>03</v>
          </cell>
          <cell r="E2641">
            <v>56</v>
          </cell>
          <cell r="G2641">
            <v>0</v>
          </cell>
          <cell r="H2641">
            <v>331</v>
          </cell>
          <cell r="I2641">
            <v>193</v>
          </cell>
          <cell r="J2641">
            <v>0</v>
          </cell>
          <cell r="K2641">
            <v>100</v>
          </cell>
          <cell r="L2641">
            <v>65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100</v>
          </cell>
          <cell r="R2641">
            <v>65</v>
          </cell>
          <cell r="S2641">
            <v>0</v>
          </cell>
          <cell r="T2641">
            <v>0</v>
          </cell>
          <cell r="U2641">
            <v>0</v>
          </cell>
          <cell r="V2641">
            <v>0</v>
          </cell>
          <cell r="W2641">
            <v>0</v>
          </cell>
        </row>
        <row r="2642">
          <cell r="A2642" t="str">
            <v>454272</v>
          </cell>
          <cell r="B2642" t="str">
            <v>1251</v>
          </cell>
          <cell r="C2642" t="str">
            <v>12</v>
          </cell>
          <cell r="D2642" t="str">
            <v>03</v>
          </cell>
          <cell r="E2642">
            <v>61</v>
          </cell>
          <cell r="G2642">
            <v>0</v>
          </cell>
          <cell r="H2642">
            <v>431</v>
          </cell>
          <cell r="I2642">
            <v>258</v>
          </cell>
          <cell r="J2642">
            <v>0</v>
          </cell>
          <cell r="K2642">
            <v>58286</v>
          </cell>
          <cell r="L2642">
            <v>56860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  <cell r="R2642">
            <v>0</v>
          </cell>
          <cell r="S2642">
            <v>0</v>
          </cell>
          <cell r="T2642">
            <v>0</v>
          </cell>
          <cell r="U2642">
            <v>0</v>
          </cell>
          <cell r="V2642">
            <v>0</v>
          </cell>
          <cell r="W2642">
            <v>0</v>
          </cell>
        </row>
        <row r="2643">
          <cell r="A2643" t="str">
            <v>454272</v>
          </cell>
          <cell r="B2643" t="str">
            <v>1251</v>
          </cell>
          <cell r="C2643" t="str">
            <v>12</v>
          </cell>
          <cell r="D2643" t="str">
            <v>05</v>
          </cell>
          <cell r="E2643">
            <v>1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  <cell r="R2643">
            <v>0</v>
          </cell>
          <cell r="S2643">
            <v>0</v>
          </cell>
          <cell r="T2643">
            <v>0</v>
          </cell>
          <cell r="U2643">
            <v>0</v>
          </cell>
          <cell r="V2643">
            <v>0</v>
          </cell>
          <cell r="W2643">
            <v>0</v>
          </cell>
        </row>
        <row r="2644">
          <cell r="A2644" t="str">
            <v>454272</v>
          </cell>
          <cell r="B2644" t="str">
            <v>1251</v>
          </cell>
          <cell r="C2644" t="str">
            <v>12</v>
          </cell>
          <cell r="D2644" t="str">
            <v>05</v>
          </cell>
          <cell r="E2644">
            <v>6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2500</v>
          </cell>
          <cell r="L2644">
            <v>0</v>
          </cell>
          <cell r="M2644">
            <v>0</v>
          </cell>
          <cell r="N2644">
            <v>2000</v>
          </cell>
          <cell r="O2644">
            <v>0</v>
          </cell>
          <cell r="P2644">
            <v>0</v>
          </cell>
          <cell r="Q2644">
            <v>0</v>
          </cell>
          <cell r="R2644">
            <v>0</v>
          </cell>
          <cell r="S2644">
            <v>0</v>
          </cell>
          <cell r="T2644">
            <v>3815</v>
          </cell>
          <cell r="U2644">
            <v>0</v>
          </cell>
          <cell r="V2644">
            <v>0</v>
          </cell>
          <cell r="W2644">
            <v>0</v>
          </cell>
        </row>
        <row r="2645">
          <cell r="A2645" t="str">
            <v>454272</v>
          </cell>
          <cell r="B2645" t="str">
            <v>1251</v>
          </cell>
          <cell r="C2645" t="str">
            <v>12</v>
          </cell>
          <cell r="D2645" t="str">
            <v>05</v>
          </cell>
          <cell r="E2645">
            <v>11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8315</v>
          </cell>
          <cell r="O2645">
            <v>0</v>
          </cell>
          <cell r="P2645">
            <v>0</v>
          </cell>
          <cell r="Q2645">
            <v>0</v>
          </cell>
          <cell r="R2645">
            <v>0</v>
          </cell>
          <cell r="S2645">
            <v>0</v>
          </cell>
          <cell r="T2645">
            <v>0</v>
          </cell>
          <cell r="U2645">
            <v>0</v>
          </cell>
          <cell r="V2645">
            <v>0</v>
          </cell>
          <cell r="W2645">
            <v>0</v>
          </cell>
        </row>
        <row r="2646">
          <cell r="A2646" t="str">
            <v>454272</v>
          </cell>
          <cell r="B2646" t="str">
            <v>1251</v>
          </cell>
          <cell r="C2646" t="str">
            <v>12</v>
          </cell>
          <cell r="D2646" t="str">
            <v>05</v>
          </cell>
          <cell r="E2646">
            <v>16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  <cell r="R2646">
            <v>0</v>
          </cell>
          <cell r="S2646">
            <v>0</v>
          </cell>
          <cell r="T2646">
            <v>0</v>
          </cell>
          <cell r="U2646">
            <v>0</v>
          </cell>
          <cell r="V2646">
            <v>0</v>
          </cell>
          <cell r="W2646">
            <v>0</v>
          </cell>
        </row>
        <row r="2647">
          <cell r="A2647" t="str">
            <v>454272</v>
          </cell>
          <cell r="B2647" t="str">
            <v>1251</v>
          </cell>
          <cell r="C2647" t="str">
            <v>12</v>
          </cell>
          <cell r="D2647" t="str">
            <v>05</v>
          </cell>
          <cell r="E2647">
            <v>21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  <cell r="R2647">
            <v>0</v>
          </cell>
          <cell r="S2647">
            <v>0</v>
          </cell>
          <cell r="T2647">
            <v>0</v>
          </cell>
          <cell r="U2647">
            <v>0</v>
          </cell>
          <cell r="V2647">
            <v>0</v>
          </cell>
          <cell r="W2647">
            <v>0</v>
          </cell>
        </row>
        <row r="2648">
          <cell r="A2648" t="str">
            <v>454272</v>
          </cell>
          <cell r="B2648" t="str">
            <v>1251</v>
          </cell>
          <cell r="C2648" t="str">
            <v>12</v>
          </cell>
          <cell r="D2648" t="str">
            <v>05</v>
          </cell>
          <cell r="E2648">
            <v>26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1651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  <cell r="R2648">
            <v>0</v>
          </cell>
          <cell r="S2648">
            <v>0</v>
          </cell>
          <cell r="T2648">
            <v>0</v>
          </cell>
          <cell r="U2648">
            <v>0</v>
          </cell>
          <cell r="V2648">
            <v>0</v>
          </cell>
          <cell r="W2648">
            <v>0</v>
          </cell>
        </row>
        <row r="2649">
          <cell r="A2649" t="str">
            <v>454272</v>
          </cell>
          <cell r="B2649" t="str">
            <v>1251</v>
          </cell>
          <cell r="C2649" t="str">
            <v>12</v>
          </cell>
          <cell r="D2649" t="str">
            <v>05</v>
          </cell>
          <cell r="E2649">
            <v>31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1651</v>
          </cell>
          <cell r="L2649">
            <v>0</v>
          </cell>
          <cell r="M2649">
            <v>0</v>
          </cell>
          <cell r="N2649">
            <v>9966</v>
          </cell>
          <cell r="O2649">
            <v>0</v>
          </cell>
          <cell r="P2649">
            <v>0</v>
          </cell>
          <cell r="Q2649">
            <v>0</v>
          </cell>
          <cell r="R2649">
            <v>0</v>
          </cell>
          <cell r="S2649">
            <v>0</v>
          </cell>
          <cell r="T2649">
            <v>0</v>
          </cell>
          <cell r="U2649">
            <v>0</v>
          </cell>
          <cell r="V2649">
            <v>0</v>
          </cell>
          <cell r="W2649">
            <v>0</v>
          </cell>
        </row>
        <row r="2650">
          <cell r="A2650" t="str">
            <v>454272</v>
          </cell>
          <cell r="B2650" t="str">
            <v>1251</v>
          </cell>
          <cell r="C2650" t="str">
            <v>12</v>
          </cell>
          <cell r="D2650" t="str">
            <v>05</v>
          </cell>
          <cell r="E2650">
            <v>36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9966</v>
          </cell>
          <cell r="R2650">
            <v>0</v>
          </cell>
          <cell r="S2650">
            <v>0</v>
          </cell>
          <cell r="T2650">
            <v>0</v>
          </cell>
          <cell r="U2650">
            <v>0</v>
          </cell>
          <cell r="V2650">
            <v>0</v>
          </cell>
          <cell r="W2650">
            <v>0</v>
          </cell>
        </row>
        <row r="2651">
          <cell r="A2651" t="str">
            <v>454272</v>
          </cell>
          <cell r="B2651" t="str">
            <v>1251</v>
          </cell>
          <cell r="C2651" t="str">
            <v>12</v>
          </cell>
          <cell r="D2651" t="str">
            <v>06</v>
          </cell>
          <cell r="E2651">
            <v>1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  <cell r="R2651">
            <v>0</v>
          </cell>
          <cell r="S2651">
            <v>0</v>
          </cell>
          <cell r="T2651">
            <v>0</v>
          </cell>
          <cell r="U2651">
            <v>0</v>
          </cell>
          <cell r="V2651">
            <v>0</v>
          </cell>
          <cell r="W2651">
            <v>0</v>
          </cell>
        </row>
        <row r="2652">
          <cell r="A2652" t="str">
            <v>454272</v>
          </cell>
          <cell r="B2652" t="str">
            <v>1251</v>
          </cell>
          <cell r="C2652" t="str">
            <v>12</v>
          </cell>
          <cell r="D2652" t="str">
            <v>06</v>
          </cell>
          <cell r="E2652">
            <v>6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  <cell r="R2652">
            <v>0</v>
          </cell>
          <cell r="S2652">
            <v>0</v>
          </cell>
          <cell r="T2652">
            <v>0</v>
          </cell>
          <cell r="U2652">
            <v>0</v>
          </cell>
          <cell r="V2652">
            <v>0</v>
          </cell>
          <cell r="W2652">
            <v>0</v>
          </cell>
        </row>
        <row r="2653">
          <cell r="A2653" t="str">
            <v>454272</v>
          </cell>
          <cell r="B2653" t="str">
            <v>1251</v>
          </cell>
          <cell r="C2653" t="str">
            <v>12</v>
          </cell>
          <cell r="D2653" t="str">
            <v>06</v>
          </cell>
          <cell r="E2653">
            <v>11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  <cell r="R2653">
            <v>0</v>
          </cell>
          <cell r="S2653">
            <v>0</v>
          </cell>
          <cell r="T2653">
            <v>0</v>
          </cell>
          <cell r="U2653">
            <v>0</v>
          </cell>
          <cell r="V2653">
            <v>0</v>
          </cell>
          <cell r="W2653">
            <v>0</v>
          </cell>
        </row>
        <row r="2654">
          <cell r="A2654" t="str">
            <v>454272</v>
          </cell>
          <cell r="B2654" t="str">
            <v>1251</v>
          </cell>
          <cell r="C2654" t="str">
            <v>12</v>
          </cell>
          <cell r="D2654" t="str">
            <v>06</v>
          </cell>
          <cell r="E2654">
            <v>16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  <cell r="R2654">
            <v>0</v>
          </cell>
          <cell r="S2654">
            <v>0</v>
          </cell>
          <cell r="T2654">
            <v>0</v>
          </cell>
          <cell r="U2654">
            <v>0</v>
          </cell>
          <cell r="V2654">
            <v>0</v>
          </cell>
          <cell r="W2654">
            <v>0</v>
          </cell>
        </row>
        <row r="2655">
          <cell r="A2655" t="str">
            <v>454272</v>
          </cell>
          <cell r="B2655" t="str">
            <v>1251</v>
          </cell>
          <cell r="C2655" t="str">
            <v>12</v>
          </cell>
          <cell r="D2655" t="str">
            <v>06</v>
          </cell>
          <cell r="E2655">
            <v>21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  <cell r="R2655">
            <v>0</v>
          </cell>
          <cell r="S2655">
            <v>0</v>
          </cell>
          <cell r="T2655">
            <v>0</v>
          </cell>
          <cell r="U2655">
            <v>0</v>
          </cell>
          <cell r="V2655">
            <v>0</v>
          </cell>
          <cell r="W2655">
            <v>0</v>
          </cell>
        </row>
        <row r="2656">
          <cell r="A2656" t="str">
            <v>454272</v>
          </cell>
          <cell r="B2656" t="str">
            <v>1251</v>
          </cell>
          <cell r="C2656" t="str">
            <v>12</v>
          </cell>
          <cell r="D2656" t="str">
            <v>06</v>
          </cell>
          <cell r="E2656">
            <v>26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  <cell r="R2656">
            <v>0</v>
          </cell>
          <cell r="S2656">
            <v>0</v>
          </cell>
          <cell r="T2656">
            <v>0</v>
          </cell>
          <cell r="U2656">
            <v>0</v>
          </cell>
          <cell r="V2656">
            <v>0</v>
          </cell>
          <cell r="W2656">
            <v>0</v>
          </cell>
        </row>
        <row r="2657">
          <cell r="A2657" t="str">
            <v>454272</v>
          </cell>
          <cell r="B2657" t="str">
            <v>1251</v>
          </cell>
          <cell r="C2657" t="str">
            <v>12</v>
          </cell>
          <cell r="D2657" t="str">
            <v>06</v>
          </cell>
          <cell r="E2657">
            <v>31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  <cell r="R2657">
            <v>0</v>
          </cell>
          <cell r="S2657">
            <v>0</v>
          </cell>
          <cell r="T2657">
            <v>0</v>
          </cell>
          <cell r="U2657">
            <v>0</v>
          </cell>
          <cell r="V2657">
            <v>0</v>
          </cell>
          <cell r="W2657">
            <v>0</v>
          </cell>
        </row>
        <row r="2658">
          <cell r="A2658" t="str">
            <v>454272</v>
          </cell>
          <cell r="B2658" t="str">
            <v>1251</v>
          </cell>
          <cell r="C2658" t="str">
            <v>12</v>
          </cell>
          <cell r="D2658" t="str">
            <v>06</v>
          </cell>
          <cell r="E2658">
            <v>36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  <cell r="R2658">
            <v>0</v>
          </cell>
          <cell r="S2658">
            <v>0</v>
          </cell>
          <cell r="T2658">
            <v>0</v>
          </cell>
          <cell r="U2658">
            <v>0</v>
          </cell>
          <cell r="V2658">
            <v>0</v>
          </cell>
          <cell r="W2658">
            <v>0</v>
          </cell>
        </row>
        <row r="2659">
          <cell r="A2659" t="str">
            <v>454272</v>
          </cell>
          <cell r="B2659" t="str">
            <v>1251</v>
          </cell>
          <cell r="C2659" t="str">
            <v>12</v>
          </cell>
          <cell r="D2659" t="str">
            <v>06</v>
          </cell>
          <cell r="E2659">
            <v>41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  <cell r="R2659">
            <v>0</v>
          </cell>
          <cell r="S2659">
            <v>0</v>
          </cell>
          <cell r="T2659">
            <v>0</v>
          </cell>
          <cell r="U2659">
            <v>0</v>
          </cell>
          <cell r="V2659">
            <v>0</v>
          </cell>
          <cell r="W2659">
            <v>0</v>
          </cell>
        </row>
        <row r="2660">
          <cell r="A2660" t="str">
            <v>454272</v>
          </cell>
          <cell r="B2660" t="str">
            <v>1251</v>
          </cell>
          <cell r="C2660" t="str">
            <v>12</v>
          </cell>
          <cell r="D2660" t="str">
            <v>06</v>
          </cell>
          <cell r="E2660">
            <v>46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  <cell r="R2660">
            <v>0</v>
          </cell>
          <cell r="S2660">
            <v>0</v>
          </cell>
          <cell r="T2660">
            <v>0</v>
          </cell>
          <cell r="U2660">
            <v>0</v>
          </cell>
          <cell r="V2660">
            <v>0</v>
          </cell>
          <cell r="W2660">
            <v>0</v>
          </cell>
        </row>
        <row r="2661">
          <cell r="A2661" t="str">
            <v>454272</v>
          </cell>
          <cell r="B2661" t="str">
            <v>1251</v>
          </cell>
          <cell r="C2661" t="str">
            <v>12</v>
          </cell>
          <cell r="D2661" t="str">
            <v>06</v>
          </cell>
          <cell r="E2661">
            <v>51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  <cell r="R2661">
            <v>0</v>
          </cell>
          <cell r="S2661">
            <v>0</v>
          </cell>
          <cell r="T2661">
            <v>0</v>
          </cell>
          <cell r="U2661">
            <v>0</v>
          </cell>
          <cell r="V2661">
            <v>0</v>
          </cell>
          <cell r="W2661">
            <v>0</v>
          </cell>
        </row>
        <row r="2662">
          <cell r="A2662" t="str">
            <v>454272</v>
          </cell>
          <cell r="B2662" t="str">
            <v>1251</v>
          </cell>
          <cell r="C2662" t="str">
            <v>12</v>
          </cell>
          <cell r="D2662" t="str">
            <v>06</v>
          </cell>
          <cell r="E2662">
            <v>56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  <cell r="R2662">
            <v>0</v>
          </cell>
          <cell r="S2662">
            <v>0</v>
          </cell>
          <cell r="T2662">
            <v>0</v>
          </cell>
          <cell r="U2662">
            <v>0</v>
          </cell>
          <cell r="V2662">
            <v>0</v>
          </cell>
          <cell r="W2662">
            <v>0</v>
          </cell>
        </row>
        <row r="2663">
          <cell r="A2663" t="str">
            <v>454272</v>
          </cell>
          <cell r="B2663" t="str">
            <v>1251</v>
          </cell>
          <cell r="C2663" t="str">
            <v>12</v>
          </cell>
          <cell r="D2663" t="str">
            <v>06</v>
          </cell>
          <cell r="E2663">
            <v>61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  <cell r="R2663">
            <v>0</v>
          </cell>
          <cell r="S2663">
            <v>0</v>
          </cell>
          <cell r="T2663">
            <v>0</v>
          </cell>
          <cell r="U2663">
            <v>0</v>
          </cell>
          <cell r="V2663">
            <v>0</v>
          </cell>
          <cell r="W2663">
            <v>0</v>
          </cell>
        </row>
        <row r="2664">
          <cell r="A2664" t="str">
            <v>454272</v>
          </cell>
          <cell r="B2664" t="str">
            <v>1251</v>
          </cell>
          <cell r="C2664" t="str">
            <v>12</v>
          </cell>
          <cell r="D2664" t="str">
            <v>06</v>
          </cell>
          <cell r="E2664">
            <v>66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  <cell r="R2664">
            <v>0</v>
          </cell>
          <cell r="S2664">
            <v>0</v>
          </cell>
          <cell r="T2664">
            <v>0</v>
          </cell>
          <cell r="U2664">
            <v>0</v>
          </cell>
          <cell r="V2664">
            <v>0</v>
          </cell>
          <cell r="W2664">
            <v>0</v>
          </cell>
        </row>
        <row r="2665">
          <cell r="A2665" t="str">
            <v>454272</v>
          </cell>
          <cell r="B2665" t="str">
            <v>1251</v>
          </cell>
          <cell r="C2665" t="str">
            <v>12</v>
          </cell>
          <cell r="D2665" t="str">
            <v>06</v>
          </cell>
          <cell r="E2665">
            <v>71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  <cell r="R2665">
            <v>0</v>
          </cell>
          <cell r="S2665">
            <v>0</v>
          </cell>
          <cell r="T2665">
            <v>0</v>
          </cell>
          <cell r="U2665">
            <v>0</v>
          </cell>
          <cell r="V2665">
            <v>0</v>
          </cell>
          <cell r="W2665">
            <v>0</v>
          </cell>
        </row>
        <row r="2666">
          <cell r="A2666" t="str">
            <v>454272</v>
          </cell>
          <cell r="B2666" t="str">
            <v>1251</v>
          </cell>
          <cell r="C2666" t="str">
            <v>12</v>
          </cell>
          <cell r="D2666" t="str">
            <v>06</v>
          </cell>
          <cell r="E2666">
            <v>76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  <cell r="R2666">
            <v>0</v>
          </cell>
          <cell r="S2666">
            <v>0</v>
          </cell>
          <cell r="T2666">
            <v>0</v>
          </cell>
          <cell r="U2666">
            <v>0</v>
          </cell>
          <cell r="V2666">
            <v>0</v>
          </cell>
          <cell r="W2666">
            <v>0</v>
          </cell>
        </row>
        <row r="2667">
          <cell r="A2667" t="str">
            <v>454272</v>
          </cell>
          <cell r="B2667" t="str">
            <v>1251</v>
          </cell>
          <cell r="C2667" t="str">
            <v>12</v>
          </cell>
          <cell r="D2667" t="str">
            <v>06</v>
          </cell>
          <cell r="E2667">
            <v>81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  <cell r="R2667">
            <v>0</v>
          </cell>
          <cell r="S2667">
            <v>0</v>
          </cell>
          <cell r="T2667">
            <v>0</v>
          </cell>
          <cell r="U2667">
            <v>0</v>
          </cell>
          <cell r="V2667">
            <v>0</v>
          </cell>
          <cell r="W2667">
            <v>0</v>
          </cell>
        </row>
        <row r="2668">
          <cell r="A2668" t="str">
            <v>454272</v>
          </cell>
          <cell r="B2668" t="str">
            <v>1251</v>
          </cell>
          <cell r="C2668" t="str">
            <v>12</v>
          </cell>
          <cell r="D2668" t="str">
            <v>06</v>
          </cell>
          <cell r="E2668">
            <v>86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  <cell r="R2668">
            <v>0</v>
          </cell>
          <cell r="S2668">
            <v>0</v>
          </cell>
          <cell r="T2668">
            <v>0</v>
          </cell>
          <cell r="U2668">
            <v>0</v>
          </cell>
          <cell r="V2668">
            <v>0</v>
          </cell>
          <cell r="W2668">
            <v>0</v>
          </cell>
        </row>
        <row r="2669">
          <cell r="A2669" t="str">
            <v>454272</v>
          </cell>
          <cell r="B2669" t="str">
            <v>1251</v>
          </cell>
          <cell r="C2669" t="str">
            <v>12</v>
          </cell>
          <cell r="D2669" t="str">
            <v>06</v>
          </cell>
          <cell r="E2669">
            <v>91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  <cell r="R2669">
            <v>0</v>
          </cell>
          <cell r="S2669">
            <v>0</v>
          </cell>
          <cell r="T2669">
            <v>0</v>
          </cell>
          <cell r="U2669">
            <v>0</v>
          </cell>
          <cell r="V2669">
            <v>0</v>
          </cell>
          <cell r="W2669">
            <v>0</v>
          </cell>
        </row>
        <row r="2670">
          <cell r="A2670" t="str">
            <v>454272</v>
          </cell>
          <cell r="B2670" t="str">
            <v>1251</v>
          </cell>
          <cell r="C2670" t="str">
            <v>12</v>
          </cell>
          <cell r="D2670" t="str">
            <v>06</v>
          </cell>
          <cell r="E2670">
            <v>96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  <cell r="R2670">
            <v>0</v>
          </cell>
          <cell r="S2670">
            <v>0</v>
          </cell>
          <cell r="T2670">
            <v>0</v>
          </cell>
          <cell r="U2670">
            <v>0</v>
          </cell>
          <cell r="V2670">
            <v>0</v>
          </cell>
          <cell r="W2670">
            <v>0</v>
          </cell>
        </row>
        <row r="2671">
          <cell r="A2671" t="str">
            <v>454272</v>
          </cell>
          <cell r="B2671" t="str">
            <v>1251</v>
          </cell>
          <cell r="C2671" t="str">
            <v>12</v>
          </cell>
          <cell r="D2671" t="str">
            <v>06</v>
          </cell>
          <cell r="E2671">
            <v>101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  <cell r="R2671">
            <v>0</v>
          </cell>
          <cell r="S2671">
            <v>0</v>
          </cell>
          <cell r="T2671">
            <v>0</v>
          </cell>
          <cell r="U2671">
            <v>0</v>
          </cell>
          <cell r="V2671">
            <v>0</v>
          </cell>
          <cell r="W2671">
            <v>0</v>
          </cell>
        </row>
        <row r="2672">
          <cell r="A2672" t="str">
            <v>454272</v>
          </cell>
          <cell r="B2672" t="str">
            <v>1251</v>
          </cell>
          <cell r="C2672" t="str">
            <v>12</v>
          </cell>
          <cell r="D2672" t="str">
            <v>06</v>
          </cell>
          <cell r="E2672">
            <v>106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240</v>
          </cell>
          <cell r="M2672">
            <v>0</v>
          </cell>
          <cell r="N2672">
            <v>0</v>
          </cell>
          <cell r="O2672">
            <v>1584</v>
          </cell>
          <cell r="P2672">
            <v>0</v>
          </cell>
          <cell r="Q2672">
            <v>0</v>
          </cell>
          <cell r="R2672">
            <v>0</v>
          </cell>
          <cell r="S2672">
            <v>0</v>
          </cell>
          <cell r="T2672">
            <v>0</v>
          </cell>
          <cell r="U2672">
            <v>1824</v>
          </cell>
          <cell r="V2672">
            <v>0</v>
          </cell>
          <cell r="W2672">
            <v>0</v>
          </cell>
        </row>
        <row r="2673">
          <cell r="A2673" t="str">
            <v>454272</v>
          </cell>
          <cell r="B2673" t="str">
            <v>1251</v>
          </cell>
          <cell r="C2673" t="str">
            <v>12</v>
          </cell>
          <cell r="D2673" t="str">
            <v>07</v>
          </cell>
          <cell r="E2673">
            <v>1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  <cell r="R2673">
            <v>0</v>
          </cell>
          <cell r="S2673">
            <v>0</v>
          </cell>
          <cell r="T2673">
            <v>0</v>
          </cell>
          <cell r="U2673">
            <v>0</v>
          </cell>
          <cell r="V2673">
            <v>0</v>
          </cell>
          <cell r="W2673">
            <v>0</v>
          </cell>
        </row>
        <row r="2674">
          <cell r="A2674" t="str">
            <v>454272</v>
          </cell>
          <cell r="B2674" t="str">
            <v>1251</v>
          </cell>
          <cell r="C2674" t="str">
            <v>12</v>
          </cell>
          <cell r="D2674" t="str">
            <v>07</v>
          </cell>
          <cell r="E2674">
            <v>5</v>
          </cell>
          <cell r="G2674">
            <v>0</v>
          </cell>
          <cell r="H2674">
            <v>3800</v>
          </cell>
          <cell r="I2674">
            <v>3787</v>
          </cell>
          <cell r="J2674">
            <v>0</v>
          </cell>
          <cell r="K2674">
            <v>0</v>
          </cell>
          <cell r="L2674">
            <v>7300</v>
          </cell>
          <cell r="M2674">
            <v>7271</v>
          </cell>
          <cell r="N2674">
            <v>0</v>
          </cell>
          <cell r="O2674">
            <v>0</v>
          </cell>
          <cell r="P2674">
            <v>500</v>
          </cell>
          <cell r="Q2674">
            <v>490</v>
          </cell>
          <cell r="R2674">
            <v>0</v>
          </cell>
          <cell r="S2674">
            <v>0</v>
          </cell>
          <cell r="T2674">
            <v>400</v>
          </cell>
          <cell r="U2674">
            <v>343</v>
          </cell>
          <cell r="V2674">
            <v>0</v>
          </cell>
          <cell r="W2674">
            <v>0</v>
          </cell>
        </row>
        <row r="2675">
          <cell r="A2675" t="str">
            <v>454272</v>
          </cell>
          <cell r="B2675" t="str">
            <v>1251</v>
          </cell>
          <cell r="C2675" t="str">
            <v>12</v>
          </cell>
          <cell r="D2675" t="str">
            <v>07</v>
          </cell>
          <cell r="E2675">
            <v>9</v>
          </cell>
          <cell r="G2675">
            <v>0</v>
          </cell>
          <cell r="H2675">
            <v>1965</v>
          </cell>
          <cell r="I2675">
            <v>1959</v>
          </cell>
          <cell r="J2675">
            <v>0</v>
          </cell>
          <cell r="K2675">
            <v>0</v>
          </cell>
          <cell r="L2675">
            <v>10000</v>
          </cell>
          <cell r="M2675">
            <v>9952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  <cell r="R2675">
            <v>0</v>
          </cell>
          <cell r="S2675">
            <v>0</v>
          </cell>
          <cell r="T2675">
            <v>290</v>
          </cell>
          <cell r="U2675">
            <v>288</v>
          </cell>
          <cell r="V2675">
            <v>0</v>
          </cell>
          <cell r="W2675">
            <v>0</v>
          </cell>
        </row>
        <row r="2676">
          <cell r="A2676" t="str">
            <v>454272</v>
          </cell>
          <cell r="B2676" t="str">
            <v>1251</v>
          </cell>
          <cell r="C2676" t="str">
            <v>12</v>
          </cell>
          <cell r="D2676" t="str">
            <v>07</v>
          </cell>
          <cell r="E2676">
            <v>13</v>
          </cell>
          <cell r="G2676">
            <v>0</v>
          </cell>
          <cell r="H2676">
            <v>250</v>
          </cell>
          <cell r="I2676">
            <v>482</v>
          </cell>
          <cell r="J2676">
            <v>0</v>
          </cell>
          <cell r="K2676">
            <v>0</v>
          </cell>
          <cell r="L2676">
            <v>24505</v>
          </cell>
          <cell r="M2676">
            <v>24572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  <cell r="R2676">
            <v>0</v>
          </cell>
          <cell r="S2676">
            <v>0</v>
          </cell>
          <cell r="T2676">
            <v>0</v>
          </cell>
          <cell r="U2676">
            <v>0</v>
          </cell>
          <cell r="V2676">
            <v>0</v>
          </cell>
          <cell r="W2676">
            <v>0</v>
          </cell>
        </row>
        <row r="2677">
          <cell r="A2677" t="str">
            <v>454272</v>
          </cell>
          <cell r="B2677" t="str">
            <v>1251</v>
          </cell>
          <cell r="C2677" t="str">
            <v>12</v>
          </cell>
          <cell r="D2677" t="str">
            <v>07</v>
          </cell>
          <cell r="E2677">
            <v>17</v>
          </cell>
          <cell r="G2677">
            <v>0</v>
          </cell>
          <cell r="H2677">
            <v>4010</v>
          </cell>
          <cell r="I2677">
            <v>4009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4010</v>
          </cell>
          <cell r="Q2677">
            <v>4009</v>
          </cell>
          <cell r="R2677">
            <v>0</v>
          </cell>
          <cell r="S2677">
            <v>0</v>
          </cell>
          <cell r="T2677">
            <v>0</v>
          </cell>
          <cell r="U2677">
            <v>0</v>
          </cell>
          <cell r="V2677">
            <v>0</v>
          </cell>
          <cell r="W2677">
            <v>0</v>
          </cell>
        </row>
        <row r="2678">
          <cell r="A2678" t="str">
            <v>454272</v>
          </cell>
          <cell r="B2678" t="str">
            <v>1251</v>
          </cell>
          <cell r="C2678" t="str">
            <v>12</v>
          </cell>
          <cell r="D2678" t="str">
            <v>07</v>
          </cell>
          <cell r="E2678">
            <v>21</v>
          </cell>
          <cell r="G2678">
            <v>0</v>
          </cell>
          <cell r="H2678">
            <v>0</v>
          </cell>
          <cell r="I2678">
            <v>165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165</v>
          </cell>
          <cell r="R2678">
            <v>0</v>
          </cell>
          <cell r="S2678">
            <v>0</v>
          </cell>
          <cell r="T2678">
            <v>0</v>
          </cell>
          <cell r="U2678">
            <v>0</v>
          </cell>
          <cell r="V2678">
            <v>0</v>
          </cell>
          <cell r="W2678">
            <v>0</v>
          </cell>
        </row>
        <row r="2679">
          <cell r="A2679" t="str">
            <v>454272</v>
          </cell>
          <cell r="B2679" t="str">
            <v>1251</v>
          </cell>
          <cell r="C2679" t="str">
            <v>12</v>
          </cell>
          <cell r="D2679" t="str">
            <v>07</v>
          </cell>
          <cell r="E2679">
            <v>25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  <cell r="R2679">
            <v>0</v>
          </cell>
          <cell r="S2679">
            <v>0</v>
          </cell>
          <cell r="T2679">
            <v>0</v>
          </cell>
          <cell r="U2679">
            <v>0</v>
          </cell>
          <cell r="V2679">
            <v>0</v>
          </cell>
          <cell r="W2679">
            <v>0</v>
          </cell>
        </row>
        <row r="2680">
          <cell r="A2680" t="str">
            <v>454272</v>
          </cell>
          <cell r="B2680" t="str">
            <v>1251</v>
          </cell>
          <cell r="C2680" t="str">
            <v>12</v>
          </cell>
          <cell r="D2680" t="str">
            <v>07</v>
          </cell>
          <cell r="E2680">
            <v>29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28515</v>
          </cell>
          <cell r="Q2680">
            <v>28746</v>
          </cell>
          <cell r="R2680">
            <v>0</v>
          </cell>
          <cell r="S2680">
            <v>0</v>
          </cell>
          <cell r="T2680">
            <v>0</v>
          </cell>
          <cell r="U2680">
            <v>0</v>
          </cell>
          <cell r="V2680">
            <v>0</v>
          </cell>
          <cell r="W2680">
            <v>0</v>
          </cell>
        </row>
        <row r="2681">
          <cell r="A2681" t="str">
            <v>454272</v>
          </cell>
          <cell r="B2681" t="str">
            <v>1251</v>
          </cell>
          <cell r="C2681" t="str">
            <v>12</v>
          </cell>
          <cell r="D2681" t="str">
            <v>08</v>
          </cell>
          <cell r="E2681">
            <v>1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  <cell r="R2681">
            <v>0</v>
          </cell>
          <cell r="S2681">
            <v>0</v>
          </cell>
          <cell r="T2681">
            <v>0</v>
          </cell>
          <cell r="U2681">
            <v>0</v>
          </cell>
          <cell r="V2681">
            <v>0</v>
          </cell>
          <cell r="W2681">
            <v>0</v>
          </cell>
        </row>
        <row r="2682">
          <cell r="A2682" t="str">
            <v>454272</v>
          </cell>
          <cell r="B2682" t="str">
            <v>1251</v>
          </cell>
          <cell r="C2682" t="str">
            <v>12</v>
          </cell>
          <cell r="D2682" t="str">
            <v>08</v>
          </cell>
          <cell r="E2682">
            <v>6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  <cell r="R2682">
            <v>0</v>
          </cell>
          <cell r="S2682">
            <v>0</v>
          </cell>
          <cell r="T2682">
            <v>0</v>
          </cell>
          <cell r="U2682">
            <v>0</v>
          </cell>
          <cell r="V2682">
            <v>0</v>
          </cell>
          <cell r="W2682">
            <v>0</v>
          </cell>
        </row>
        <row r="2683">
          <cell r="A2683" t="str">
            <v>454272</v>
          </cell>
          <cell r="B2683" t="str">
            <v>1251</v>
          </cell>
          <cell r="C2683" t="str">
            <v>12</v>
          </cell>
          <cell r="D2683" t="str">
            <v>08</v>
          </cell>
          <cell r="E2683">
            <v>11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  <cell r="R2683">
            <v>0</v>
          </cell>
          <cell r="S2683">
            <v>0</v>
          </cell>
          <cell r="T2683">
            <v>0</v>
          </cell>
          <cell r="U2683">
            <v>0</v>
          </cell>
          <cell r="V2683">
            <v>0</v>
          </cell>
          <cell r="W2683">
            <v>0</v>
          </cell>
        </row>
        <row r="2684">
          <cell r="A2684" t="str">
            <v>454272</v>
          </cell>
          <cell r="B2684" t="str">
            <v>1251</v>
          </cell>
          <cell r="C2684" t="str">
            <v>12</v>
          </cell>
          <cell r="D2684" t="str">
            <v>08</v>
          </cell>
          <cell r="E2684">
            <v>16</v>
          </cell>
          <cell r="G2684">
            <v>0</v>
          </cell>
          <cell r="H2684">
            <v>8461</v>
          </cell>
          <cell r="I2684">
            <v>7136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125</v>
          </cell>
          <cell r="P2684">
            <v>0</v>
          </cell>
          <cell r="Q2684">
            <v>0</v>
          </cell>
          <cell r="R2684">
            <v>0</v>
          </cell>
          <cell r="S2684">
            <v>0</v>
          </cell>
          <cell r="T2684">
            <v>0</v>
          </cell>
          <cell r="U2684">
            <v>0</v>
          </cell>
          <cell r="V2684">
            <v>0</v>
          </cell>
          <cell r="W2684">
            <v>0</v>
          </cell>
        </row>
        <row r="2685">
          <cell r="A2685" t="str">
            <v>454272</v>
          </cell>
          <cell r="B2685" t="str">
            <v>1251</v>
          </cell>
          <cell r="C2685" t="str">
            <v>12</v>
          </cell>
          <cell r="D2685" t="str">
            <v>08</v>
          </cell>
          <cell r="E2685">
            <v>21</v>
          </cell>
          <cell r="G2685">
            <v>0</v>
          </cell>
          <cell r="H2685">
            <v>8461</v>
          </cell>
          <cell r="I2685">
            <v>7261</v>
          </cell>
          <cell r="J2685">
            <v>0</v>
          </cell>
          <cell r="K2685">
            <v>8461</v>
          </cell>
          <cell r="L2685">
            <v>7261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  <cell r="R2685">
            <v>0</v>
          </cell>
          <cell r="S2685">
            <v>0</v>
          </cell>
          <cell r="T2685">
            <v>0</v>
          </cell>
          <cell r="U2685">
            <v>0</v>
          </cell>
          <cell r="V2685">
            <v>0</v>
          </cell>
          <cell r="W2685">
            <v>0</v>
          </cell>
        </row>
        <row r="2686">
          <cell r="A2686" t="str">
            <v>454272</v>
          </cell>
          <cell r="B2686" t="str">
            <v>1251</v>
          </cell>
          <cell r="C2686" t="str">
            <v>12</v>
          </cell>
          <cell r="D2686" t="str">
            <v>09</v>
          </cell>
          <cell r="E2686">
            <v>1</v>
          </cell>
          <cell r="G2686">
            <v>0</v>
          </cell>
          <cell r="H2686">
            <v>145170</v>
          </cell>
          <cell r="I2686">
            <v>145099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  <cell r="R2686">
            <v>0</v>
          </cell>
          <cell r="S2686">
            <v>0</v>
          </cell>
          <cell r="T2686">
            <v>145170</v>
          </cell>
          <cell r="U2686">
            <v>145099</v>
          </cell>
          <cell r="V2686">
            <v>0</v>
          </cell>
          <cell r="W2686">
            <v>0</v>
          </cell>
        </row>
        <row r="2687">
          <cell r="A2687" t="str">
            <v>454272</v>
          </cell>
          <cell r="B2687" t="str">
            <v>1251</v>
          </cell>
          <cell r="C2687" t="str">
            <v>12</v>
          </cell>
          <cell r="D2687" t="str">
            <v>09</v>
          </cell>
          <cell r="E2687">
            <v>6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  <cell r="R2687">
            <v>157</v>
          </cell>
          <cell r="S2687">
            <v>0</v>
          </cell>
          <cell r="T2687">
            <v>1939</v>
          </cell>
          <cell r="U2687">
            <v>1782</v>
          </cell>
          <cell r="V2687">
            <v>0</v>
          </cell>
          <cell r="W2687">
            <v>0</v>
          </cell>
        </row>
        <row r="2688">
          <cell r="A2688" t="str">
            <v>454272</v>
          </cell>
          <cell r="B2688" t="str">
            <v>1251</v>
          </cell>
          <cell r="C2688" t="str">
            <v>12</v>
          </cell>
          <cell r="D2688" t="str">
            <v>09</v>
          </cell>
          <cell r="E2688">
            <v>11</v>
          </cell>
          <cell r="G2688">
            <v>0</v>
          </cell>
          <cell r="H2688">
            <v>0</v>
          </cell>
          <cell r="I2688">
            <v>11598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1939</v>
          </cell>
          <cell r="R2688">
            <v>13537</v>
          </cell>
          <cell r="S2688">
            <v>0</v>
          </cell>
          <cell r="T2688">
            <v>0</v>
          </cell>
          <cell r="U2688">
            <v>0</v>
          </cell>
          <cell r="V2688">
            <v>0</v>
          </cell>
          <cell r="W2688">
            <v>0</v>
          </cell>
        </row>
        <row r="2689">
          <cell r="A2689" t="str">
            <v>454272</v>
          </cell>
          <cell r="B2689" t="str">
            <v>1251</v>
          </cell>
          <cell r="C2689" t="str">
            <v>12</v>
          </cell>
          <cell r="D2689" t="str">
            <v>09</v>
          </cell>
          <cell r="E2689">
            <v>16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426</v>
          </cell>
          <cell r="O2689">
            <v>426</v>
          </cell>
          <cell r="P2689">
            <v>0</v>
          </cell>
          <cell r="Q2689">
            <v>0</v>
          </cell>
          <cell r="R2689">
            <v>0</v>
          </cell>
          <cell r="S2689">
            <v>0</v>
          </cell>
          <cell r="T2689">
            <v>0</v>
          </cell>
          <cell r="U2689">
            <v>0</v>
          </cell>
          <cell r="V2689">
            <v>0</v>
          </cell>
          <cell r="W2689">
            <v>0</v>
          </cell>
        </row>
        <row r="2690">
          <cell r="A2690" t="str">
            <v>454272</v>
          </cell>
          <cell r="B2690" t="str">
            <v>1251</v>
          </cell>
          <cell r="C2690" t="str">
            <v>12</v>
          </cell>
          <cell r="D2690" t="str">
            <v>09</v>
          </cell>
          <cell r="E2690">
            <v>21</v>
          </cell>
          <cell r="G2690">
            <v>0</v>
          </cell>
          <cell r="H2690">
            <v>426</v>
          </cell>
          <cell r="I2690">
            <v>426</v>
          </cell>
          <cell r="J2690">
            <v>0</v>
          </cell>
          <cell r="K2690">
            <v>2365</v>
          </cell>
          <cell r="L2690">
            <v>13963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  <cell r="R2690">
            <v>0</v>
          </cell>
          <cell r="S2690">
            <v>0</v>
          </cell>
          <cell r="T2690">
            <v>0</v>
          </cell>
          <cell r="U2690">
            <v>0</v>
          </cell>
          <cell r="V2690">
            <v>0</v>
          </cell>
          <cell r="W2690">
            <v>0</v>
          </cell>
        </row>
        <row r="2691">
          <cell r="A2691" t="str">
            <v>454272</v>
          </cell>
          <cell r="B2691" t="str">
            <v>1251</v>
          </cell>
          <cell r="C2691" t="str">
            <v>12</v>
          </cell>
          <cell r="D2691" t="str">
            <v>09</v>
          </cell>
          <cell r="E2691">
            <v>26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147535</v>
          </cell>
          <cell r="L2691">
            <v>159062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  <cell r="R2691">
            <v>0</v>
          </cell>
          <cell r="S2691">
            <v>0</v>
          </cell>
          <cell r="T2691">
            <v>0</v>
          </cell>
          <cell r="U2691">
            <v>0</v>
          </cell>
          <cell r="V2691">
            <v>0</v>
          </cell>
          <cell r="W2691">
            <v>0</v>
          </cell>
        </row>
        <row r="2692">
          <cell r="A2692" t="str">
            <v>454272</v>
          </cell>
          <cell r="B2692" t="str">
            <v>1251</v>
          </cell>
          <cell r="C2692" t="str">
            <v>12</v>
          </cell>
          <cell r="D2692" t="str">
            <v>10</v>
          </cell>
          <cell r="E2692">
            <v>1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  <cell r="R2692">
            <v>0</v>
          </cell>
          <cell r="S2692">
            <v>0</v>
          </cell>
          <cell r="T2692">
            <v>0</v>
          </cell>
          <cell r="U2692">
            <v>0</v>
          </cell>
          <cell r="V2692">
            <v>0</v>
          </cell>
          <cell r="W2692">
            <v>0</v>
          </cell>
        </row>
        <row r="2693">
          <cell r="A2693" t="str">
            <v>454272</v>
          </cell>
          <cell r="B2693" t="str">
            <v>1251</v>
          </cell>
          <cell r="C2693" t="str">
            <v>12</v>
          </cell>
          <cell r="D2693" t="str">
            <v>10</v>
          </cell>
          <cell r="E2693">
            <v>6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  <cell r="R2693">
            <v>0</v>
          </cell>
          <cell r="S2693">
            <v>0</v>
          </cell>
          <cell r="T2693">
            <v>0</v>
          </cell>
          <cell r="U2693">
            <v>0</v>
          </cell>
          <cell r="V2693">
            <v>0</v>
          </cell>
          <cell r="W2693">
            <v>0</v>
          </cell>
        </row>
        <row r="2694">
          <cell r="A2694" t="str">
            <v>454272</v>
          </cell>
          <cell r="B2694" t="str">
            <v>1251</v>
          </cell>
          <cell r="C2694" t="str">
            <v>12</v>
          </cell>
          <cell r="D2694" t="str">
            <v>10</v>
          </cell>
          <cell r="E2694">
            <v>11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  <cell r="R2694">
            <v>0</v>
          </cell>
          <cell r="S2694">
            <v>0</v>
          </cell>
          <cell r="T2694">
            <v>0</v>
          </cell>
          <cell r="U2694">
            <v>0</v>
          </cell>
          <cell r="V2694">
            <v>0</v>
          </cell>
          <cell r="W2694">
            <v>0</v>
          </cell>
        </row>
        <row r="2695">
          <cell r="A2695" t="str">
            <v>454272</v>
          </cell>
          <cell r="B2695" t="str">
            <v>1251</v>
          </cell>
          <cell r="C2695" t="str">
            <v>12</v>
          </cell>
          <cell r="D2695" t="str">
            <v>10</v>
          </cell>
          <cell r="E2695">
            <v>16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  <cell r="R2695">
            <v>0</v>
          </cell>
          <cell r="S2695">
            <v>0</v>
          </cell>
          <cell r="T2695">
            <v>0</v>
          </cell>
          <cell r="U2695">
            <v>0</v>
          </cell>
          <cell r="V2695">
            <v>0</v>
          </cell>
          <cell r="W2695">
            <v>0</v>
          </cell>
        </row>
        <row r="2696">
          <cell r="A2696" t="str">
            <v>454272</v>
          </cell>
          <cell r="B2696" t="str">
            <v>1251</v>
          </cell>
          <cell r="C2696" t="str">
            <v>12</v>
          </cell>
          <cell r="D2696" t="str">
            <v>10</v>
          </cell>
          <cell r="E2696">
            <v>21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  <cell r="R2696">
            <v>0</v>
          </cell>
          <cell r="S2696">
            <v>0</v>
          </cell>
          <cell r="T2696">
            <v>0</v>
          </cell>
          <cell r="U2696">
            <v>0</v>
          </cell>
          <cell r="V2696">
            <v>0</v>
          </cell>
          <cell r="W2696">
            <v>0</v>
          </cell>
        </row>
        <row r="2697">
          <cell r="A2697" t="str">
            <v>454272</v>
          </cell>
          <cell r="B2697" t="str">
            <v>1251</v>
          </cell>
          <cell r="C2697" t="str">
            <v>12</v>
          </cell>
          <cell r="D2697" t="str">
            <v>10</v>
          </cell>
          <cell r="E2697">
            <v>26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  <cell r="R2697">
            <v>0</v>
          </cell>
          <cell r="S2697">
            <v>0</v>
          </cell>
          <cell r="T2697">
            <v>0</v>
          </cell>
          <cell r="U2697">
            <v>0</v>
          </cell>
          <cell r="V2697">
            <v>0</v>
          </cell>
          <cell r="W2697">
            <v>0</v>
          </cell>
        </row>
        <row r="2698">
          <cell r="A2698" t="str">
            <v>454272</v>
          </cell>
          <cell r="B2698" t="str">
            <v>1251</v>
          </cell>
          <cell r="C2698" t="str">
            <v>12</v>
          </cell>
          <cell r="D2698" t="str">
            <v>10</v>
          </cell>
          <cell r="E2698">
            <v>31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  <cell r="R2698">
            <v>0</v>
          </cell>
          <cell r="S2698">
            <v>0</v>
          </cell>
          <cell r="T2698">
            <v>0</v>
          </cell>
          <cell r="U2698">
            <v>0</v>
          </cell>
          <cell r="V2698">
            <v>0</v>
          </cell>
          <cell r="W2698">
            <v>0</v>
          </cell>
        </row>
        <row r="2699">
          <cell r="A2699" t="str">
            <v>454272</v>
          </cell>
          <cell r="B2699" t="str">
            <v>1251</v>
          </cell>
          <cell r="C2699" t="str">
            <v>12</v>
          </cell>
          <cell r="D2699" t="str">
            <v>10</v>
          </cell>
          <cell r="E2699">
            <v>36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  <cell r="R2699">
            <v>0</v>
          </cell>
          <cell r="S2699">
            <v>0</v>
          </cell>
          <cell r="T2699">
            <v>0</v>
          </cell>
          <cell r="U2699">
            <v>0</v>
          </cell>
          <cell r="V2699">
            <v>0</v>
          </cell>
          <cell r="W2699">
            <v>0</v>
          </cell>
        </row>
        <row r="2700">
          <cell r="A2700" t="str">
            <v>454272</v>
          </cell>
          <cell r="B2700" t="str">
            <v>1251</v>
          </cell>
          <cell r="C2700" t="str">
            <v>12</v>
          </cell>
          <cell r="D2700" t="str">
            <v>10</v>
          </cell>
          <cell r="E2700">
            <v>41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  <cell r="R2700">
            <v>0</v>
          </cell>
          <cell r="S2700">
            <v>0</v>
          </cell>
          <cell r="T2700">
            <v>0</v>
          </cell>
          <cell r="U2700">
            <v>0</v>
          </cell>
          <cell r="V2700">
            <v>0</v>
          </cell>
          <cell r="W2700">
            <v>0</v>
          </cell>
        </row>
        <row r="2701">
          <cell r="A2701" t="str">
            <v>454272</v>
          </cell>
          <cell r="B2701" t="str">
            <v>1251</v>
          </cell>
          <cell r="C2701" t="str">
            <v>12</v>
          </cell>
          <cell r="D2701" t="str">
            <v>10</v>
          </cell>
          <cell r="E2701">
            <v>46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  <cell r="R2701">
            <v>0</v>
          </cell>
          <cell r="S2701">
            <v>0</v>
          </cell>
          <cell r="T2701">
            <v>0</v>
          </cell>
          <cell r="U2701">
            <v>0</v>
          </cell>
          <cell r="V2701">
            <v>0</v>
          </cell>
          <cell r="W2701">
            <v>0</v>
          </cell>
        </row>
        <row r="2702">
          <cell r="A2702" t="str">
            <v>454272</v>
          </cell>
          <cell r="B2702" t="str">
            <v>1251</v>
          </cell>
          <cell r="C2702" t="str">
            <v>12</v>
          </cell>
          <cell r="D2702" t="str">
            <v>10</v>
          </cell>
          <cell r="E2702">
            <v>51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  <cell r="R2702">
            <v>0</v>
          </cell>
          <cell r="S2702">
            <v>0</v>
          </cell>
          <cell r="T2702">
            <v>0</v>
          </cell>
          <cell r="U2702">
            <v>0</v>
          </cell>
          <cell r="V2702">
            <v>0</v>
          </cell>
          <cell r="W2702">
            <v>0</v>
          </cell>
        </row>
        <row r="2703">
          <cell r="A2703" t="str">
            <v>454272</v>
          </cell>
          <cell r="B2703" t="str">
            <v>1251</v>
          </cell>
          <cell r="C2703" t="str">
            <v>12</v>
          </cell>
          <cell r="D2703" t="str">
            <v>10</v>
          </cell>
          <cell r="E2703">
            <v>56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  <cell r="R2703">
            <v>0</v>
          </cell>
          <cell r="S2703">
            <v>0</v>
          </cell>
          <cell r="T2703">
            <v>0</v>
          </cell>
          <cell r="U2703">
            <v>0</v>
          </cell>
          <cell r="V2703">
            <v>0</v>
          </cell>
          <cell r="W2703">
            <v>0</v>
          </cell>
        </row>
        <row r="2704">
          <cell r="A2704" t="str">
            <v>454272</v>
          </cell>
          <cell r="B2704" t="str">
            <v>1251</v>
          </cell>
          <cell r="C2704" t="str">
            <v>12</v>
          </cell>
          <cell r="D2704" t="str">
            <v>10</v>
          </cell>
          <cell r="E2704">
            <v>61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  <cell r="R2704">
            <v>0</v>
          </cell>
          <cell r="S2704">
            <v>0</v>
          </cell>
          <cell r="T2704">
            <v>0</v>
          </cell>
          <cell r="U2704">
            <v>0</v>
          </cell>
          <cell r="V2704">
            <v>0</v>
          </cell>
          <cell r="W2704">
            <v>0</v>
          </cell>
        </row>
        <row r="2705">
          <cell r="A2705" t="str">
            <v>454272</v>
          </cell>
          <cell r="B2705" t="str">
            <v>1251</v>
          </cell>
          <cell r="C2705" t="str">
            <v>12</v>
          </cell>
          <cell r="D2705" t="str">
            <v>10</v>
          </cell>
          <cell r="E2705">
            <v>66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  <cell r="R2705">
            <v>0</v>
          </cell>
          <cell r="S2705">
            <v>0</v>
          </cell>
          <cell r="T2705">
            <v>0</v>
          </cell>
          <cell r="U2705">
            <v>0</v>
          </cell>
          <cell r="V2705">
            <v>0</v>
          </cell>
          <cell r="W2705">
            <v>0</v>
          </cell>
        </row>
        <row r="2706">
          <cell r="A2706" t="str">
            <v>454272</v>
          </cell>
          <cell r="B2706" t="str">
            <v>1251</v>
          </cell>
          <cell r="C2706" t="str">
            <v>12</v>
          </cell>
          <cell r="D2706" t="str">
            <v>10</v>
          </cell>
          <cell r="E2706">
            <v>71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  <cell r="R2706">
            <v>0</v>
          </cell>
          <cell r="S2706">
            <v>0</v>
          </cell>
          <cell r="T2706">
            <v>0</v>
          </cell>
          <cell r="U2706">
            <v>0</v>
          </cell>
          <cell r="V2706">
            <v>0</v>
          </cell>
          <cell r="W2706">
            <v>0</v>
          </cell>
        </row>
        <row r="2707">
          <cell r="A2707" t="str">
            <v>454272</v>
          </cell>
          <cell r="B2707" t="str">
            <v>1251</v>
          </cell>
          <cell r="C2707" t="str">
            <v>12</v>
          </cell>
          <cell r="D2707" t="str">
            <v>10</v>
          </cell>
          <cell r="E2707">
            <v>76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  <cell r="R2707">
            <v>0</v>
          </cell>
          <cell r="S2707">
            <v>0</v>
          </cell>
          <cell r="T2707">
            <v>0</v>
          </cell>
          <cell r="U2707">
            <v>0</v>
          </cell>
          <cell r="V2707">
            <v>0</v>
          </cell>
          <cell r="W2707">
            <v>0</v>
          </cell>
        </row>
        <row r="2708">
          <cell r="A2708" t="str">
            <v>454272</v>
          </cell>
          <cell r="B2708" t="str">
            <v>1251</v>
          </cell>
          <cell r="C2708" t="str">
            <v>12</v>
          </cell>
          <cell r="D2708" t="str">
            <v>10</v>
          </cell>
          <cell r="E2708">
            <v>81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  <cell r="R2708">
            <v>0</v>
          </cell>
          <cell r="S2708">
            <v>0</v>
          </cell>
          <cell r="T2708">
            <v>0</v>
          </cell>
          <cell r="U2708">
            <v>0</v>
          </cell>
          <cell r="V2708">
            <v>0</v>
          </cell>
          <cell r="W2708">
            <v>0</v>
          </cell>
        </row>
        <row r="2709">
          <cell r="A2709" t="str">
            <v>454272</v>
          </cell>
          <cell r="B2709" t="str">
            <v>1251</v>
          </cell>
          <cell r="C2709" t="str">
            <v>12</v>
          </cell>
          <cell r="D2709" t="str">
            <v>10</v>
          </cell>
          <cell r="E2709">
            <v>86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  <cell r="R2709">
            <v>0</v>
          </cell>
          <cell r="S2709">
            <v>0</v>
          </cell>
          <cell r="T2709">
            <v>0</v>
          </cell>
          <cell r="U2709">
            <v>0</v>
          </cell>
          <cell r="V2709">
            <v>0</v>
          </cell>
          <cell r="W2709">
            <v>0</v>
          </cell>
        </row>
        <row r="2710">
          <cell r="A2710" t="str">
            <v>454272</v>
          </cell>
          <cell r="B2710" t="str">
            <v>1251</v>
          </cell>
          <cell r="C2710" t="str">
            <v>12</v>
          </cell>
          <cell r="D2710" t="str">
            <v>10</v>
          </cell>
          <cell r="E2710">
            <v>91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  <cell r="R2710">
            <v>0</v>
          </cell>
          <cell r="S2710">
            <v>0</v>
          </cell>
          <cell r="T2710">
            <v>0</v>
          </cell>
          <cell r="U2710">
            <v>0</v>
          </cell>
          <cell r="V2710">
            <v>0</v>
          </cell>
          <cell r="W2710">
            <v>0</v>
          </cell>
        </row>
        <row r="2711">
          <cell r="A2711" t="str">
            <v>454272</v>
          </cell>
          <cell r="B2711" t="str">
            <v>1251</v>
          </cell>
          <cell r="C2711" t="str">
            <v>12</v>
          </cell>
          <cell r="D2711" t="str">
            <v>10</v>
          </cell>
          <cell r="E2711">
            <v>96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  <cell r="R2711">
            <v>0</v>
          </cell>
          <cell r="S2711">
            <v>0</v>
          </cell>
          <cell r="T2711">
            <v>0</v>
          </cell>
          <cell r="U2711">
            <v>0</v>
          </cell>
          <cell r="V2711">
            <v>0</v>
          </cell>
          <cell r="W2711">
            <v>0</v>
          </cell>
        </row>
        <row r="2712">
          <cell r="A2712" t="str">
            <v>454272</v>
          </cell>
          <cell r="B2712" t="str">
            <v>1251</v>
          </cell>
          <cell r="C2712" t="str">
            <v>12</v>
          </cell>
          <cell r="D2712" t="str">
            <v>10</v>
          </cell>
          <cell r="E2712">
            <v>101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  <cell r="R2712">
            <v>0</v>
          </cell>
          <cell r="S2712">
            <v>0</v>
          </cell>
          <cell r="T2712">
            <v>0</v>
          </cell>
          <cell r="U2712">
            <v>0</v>
          </cell>
          <cell r="V2712">
            <v>0</v>
          </cell>
          <cell r="W2712">
            <v>0</v>
          </cell>
        </row>
        <row r="2713">
          <cell r="A2713" t="str">
            <v>454272</v>
          </cell>
          <cell r="B2713" t="str">
            <v>1251</v>
          </cell>
          <cell r="C2713" t="str">
            <v>12</v>
          </cell>
          <cell r="D2713" t="str">
            <v>10</v>
          </cell>
          <cell r="E2713">
            <v>106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513</v>
          </cell>
          <cell r="P2713">
            <v>0</v>
          </cell>
          <cell r="Q2713">
            <v>0</v>
          </cell>
          <cell r="R2713">
            <v>151</v>
          </cell>
          <cell r="S2713">
            <v>0</v>
          </cell>
          <cell r="T2713">
            <v>0</v>
          </cell>
          <cell r="U2713">
            <v>0</v>
          </cell>
          <cell r="V2713">
            <v>0</v>
          </cell>
          <cell r="W2713">
            <v>0</v>
          </cell>
        </row>
        <row r="2714">
          <cell r="A2714" t="str">
            <v>454272</v>
          </cell>
          <cell r="B2714" t="str">
            <v>1251</v>
          </cell>
          <cell r="C2714" t="str">
            <v>12</v>
          </cell>
          <cell r="D2714" t="str">
            <v>10</v>
          </cell>
          <cell r="E2714">
            <v>111</v>
          </cell>
          <cell r="G2714">
            <v>0</v>
          </cell>
          <cell r="H2714">
            <v>0</v>
          </cell>
          <cell r="I2714">
            <v>664</v>
          </cell>
          <cell r="J2714">
            <v>0</v>
          </cell>
          <cell r="K2714">
            <v>0</v>
          </cell>
          <cell r="L2714">
            <v>664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  <cell r="R2714">
            <v>0</v>
          </cell>
          <cell r="S2714">
            <v>0</v>
          </cell>
          <cell r="T2714">
            <v>0</v>
          </cell>
          <cell r="U2714">
            <v>0</v>
          </cell>
          <cell r="V2714">
            <v>0</v>
          </cell>
          <cell r="W2714">
            <v>0</v>
          </cell>
        </row>
        <row r="2715">
          <cell r="A2715" t="str">
            <v>454272</v>
          </cell>
          <cell r="B2715" t="str">
            <v>1251</v>
          </cell>
          <cell r="C2715" t="str">
            <v>12</v>
          </cell>
          <cell r="D2715" t="str">
            <v>21</v>
          </cell>
          <cell r="E2715">
            <v>1</v>
          </cell>
          <cell r="G2715">
            <v>552323</v>
          </cell>
          <cell r="H2715">
            <v>5380</v>
          </cell>
          <cell r="I2715">
            <v>807</v>
          </cell>
          <cell r="J2715">
            <v>16</v>
          </cell>
          <cell r="K2715">
            <v>6203</v>
          </cell>
          <cell r="L2715">
            <v>2081</v>
          </cell>
          <cell r="M2715">
            <v>16654</v>
          </cell>
          <cell r="N2715">
            <v>6</v>
          </cell>
          <cell r="O2715">
            <v>0</v>
          </cell>
          <cell r="P2715">
            <v>0</v>
          </cell>
          <cell r="Q2715">
            <v>0</v>
          </cell>
          <cell r="R2715">
            <v>0</v>
          </cell>
          <cell r="S2715">
            <v>0</v>
          </cell>
          <cell r="T2715">
            <v>0</v>
          </cell>
          <cell r="U2715">
            <v>0</v>
          </cell>
          <cell r="V2715">
            <v>0</v>
          </cell>
          <cell r="W2715">
            <v>0</v>
          </cell>
        </row>
        <row r="2716">
          <cell r="A2716" t="str">
            <v>454272</v>
          </cell>
          <cell r="B2716" t="str">
            <v>1251</v>
          </cell>
          <cell r="C2716" t="str">
            <v>12</v>
          </cell>
          <cell r="D2716" t="str">
            <v>21</v>
          </cell>
          <cell r="E2716">
            <v>1</v>
          </cell>
          <cell r="G2716">
            <v>552411</v>
          </cell>
          <cell r="H2716">
            <v>1350</v>
          </cell>
          <cell r="I2716">
            <v>203</v>
          </cell>
          <cell r="J2716">
            <v>0</v>
          </cell>
          <cell r="K2716">
            <v>1553</v>
          </cell>
          <cell r="L2716">
            <v>526</v>
          </cell>
          <cell r="M2716">
            <v>4184</v>
          </cell>
          <cell r="N2716">
            <v>1</v>
          </cell>
          <cell r="O2716">
            <v>0</v>
          </cell>
          <cell r="P2716">
            <v>0</v>
          </cell>
          <cell r="Q2716">
            <v>0</v>
          </cell>
          <cell r="R2716">
            <v>0</v>
          </cell>
          <cell r="S2716">
            <v>0</v>
          </cell>
          <cell r="T2716">
            <v>0</v>
          </cell>
          <cell r="U2716">
            <v>0</v>
          </cell>
          <cell r="V2716">
            <v>0</v>
          </cell>
          <cell r="W2716">
            <v>0</v>
          </cell>
        </row>
        <row r="2717">
          <cell r="A2717" t="str">
            <v>454272</v>
          </cell>
          <cell r="B2717" t="str">
            <v>1251</v>
          </cell>
          <cell r="C2717" t="str">
            <v>12</v>
          </cell>
          <cell r="D2717" t="str">
            <v>21</v>
          </cell>
          <cell r="E2717">
            <v>1</v>
          </cell>
          <cell r="G2717">
            <v>751768</v>
          </cell>
          <cell r="H2717">
            <v>11524</v>
          </cell>
          <cell r="I2717">
            <v>1444</v>
          </cell>
          <cell r="J2717">
            <v>513</v>
          </cell>
          <cell r="K2717">
            <v>13481</v>
          </cell>
          <cell r="L2717">
            <v>4369</v>
          </cell>
          <cell r="M2717">
            <v>11072</v>
          </cell>
          <cell r="N2717">
            <v>248</v>
          </cell>
          <cell r="O2717">
            <v>0</v>
          </cell>
          <cell r="P2717">
            <v>0</v>
          </cell>
          <cell r="Q2717">
            <v>0</v>
          </cell>
          <cell r="R2717">
            <v>0</v>
          </cell>
          <cell r="S2717">
            <v>0</v>
          </cell>
          <cell r="T2717">
            <v>0</v>
          </cell>
          <cell r="U2717">
            <v>0</v>
          </cell>
          <cell r="V2717">
            <v>0</v>
          </cell>
          <cell r="W2717">
            <v>0</v>
          </cell>
        </row>
        <row r="2718">
          <cell r="A2718" t="str">
            <v>454272</v>
          </cell>
          <cell r="B2718" t="str">
            <v>1251</v>
          </cell>
          <cell r="C2718" t="str">
            <v>12</v>
          </cell>
          <cell r="D2718" t="str">
            <v>21</v>
          </cell>
          <cell r="E2718">
            <v>1</v>
          </cell>
          <cell r="G2718">
            <v>802144</v>
          </cell>
          <cell r="H2718">
            <v>722</v>
          </cell>
          <cell r="I2718">
            <v>110</v>
          </cell>
          <cell r="J2718">
            <v>2</v>
          </cell>
          <cell r="K2718">
            <v>834</v>
          </cell>
          <cell r="L2718">
            <v>270</v>
          </cell>
          <cell r="M2718">
            <v>3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  <cell r="R2718">
            <v>0</v>
          </cell>
          <cell r="S2718">
            <v>0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</row>
        <row r="2719">
          <cell r="A2719" t="str">
            <v>454272</v>
          </cell>
          <cell r="B2719" t="str">
            <v>1251</v>
          </cell>
          <cell r="C2719" t="str">
            <v>12</v>
          </cell>
          <cell r="D2719" t="str">
            <v>21</v>
          </cell>
          <cell r="E2719">
            <v>1</v>
          </cell>
          <cell r="G2719">
            <v>802166</v>
          </cell>
          <cell r="H2719">
            <v>10045</v>
          </cell>
          <cell r="I2719">
            <v>1666</v>
          </cell>
          <cell r="J2719">
            <v>1499</v>
          </cell>
          <cell r="K2719">
            <v>13210</v>
          </cell>
          <cell r="L2719">
            <v>4116</v>
          </cell>
          <cell r="M2719">
            <v>8514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  <cell r="R2719">
            <v>0</v>
          </cell>
          <cell r="S2719">
            <v>0</v>
          </cell>
          <cell r="T2719">
            <v>0</v>
          </cell>
          <cell r="U2719">
            <v>0</v>
          </cell>
          <cell r="V2719">
            <v>0</v>
          </cell>
          <cell r="W2719">
            <v>0</v>
          </cell>
        </row>
        <row r="2720">
          <cell r="A2720" t="str">
            <v>454272</v>
          </cell>
          <cell r="B2720" t="str">
            <v>1251</v>
          </cell>
          <cell r="C2720" t="str">
            <v>12</v>
          </cell>
          <cell r="D2720" t="str">
            <v>21</v>
          </cell>
          <cell r="E2720">
            <v>1</v>
          </cell>
          <cell r="G2720">
            <v>802177</v>
          </cell>
          <cell r="H2720">
            <v>19908</v>
          </cell>
          <cell r="I2720">
            <v>3276</v>
          </cell>
          <cell r="J2720">
            <v>675</v>
          </cell>
          <cell r="K2720">
            <v>23859</v>
          </cell>
          <cell r="L2720">
            <v>7604</v>
          </cell>
          <cell r="M2720">
            <v>9762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  <cell r="R2720">
            <v>0</v>
          </cell>
          <cell r="S2720">
            <v>0</v>
          </cell>
          <cell r="T2720">
            <v>0</v>
          </cell>
          <cell r="U2720">
            <v>0</v>
          </cell>
          <cell r="V2720">
            <v>0</v>
          </cell>
          <cell r="W2720">
            <v>0</v>
          </cell>
        </row>
        <row r="2721">
          <cell r="A2721" t="str">
            <v>454272</v>
          </cell>
          <cell r="B2721" t="str">
            <v>1251</v>
          </cell>
          <cell r="C2721" t="str">
            <v>12</v>
          </cell>
          <cell r="D2721" t="str">
            <v>21</v>
          </cell>
          <cell r="E2721">
            <v>1</v>
          </cell>
          <cell r="G2721">
            <v>802214</v>
          </cell>
          <cell r="H2721">
            <v>8209</v>
          </cell>
          <cell r="I2721">
            <v>2914</v>
          </cell>
          <cell r="J2721">
            <v>400</v>
          </cell>
          <cell r="K2721">
            <v>11523</v>
          </cell>
          <cell r="L2721">
            <v>3673</v>
          </cell>
          <cell r="M2721">
            <v>115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  <cell r="R2721">
            <v>0</v>
          </cell>
          <cell r="S2721">
            <v>0</v>
          </cell>
          <cell r="T2721">
            <v>0</v>
          </cell>
          <cell r="U2721">
            <v>0</v>
          </cell>
          <cell r="V2721">
            <v>0</v>
          </cell>
          <cell r="W2721">
            <v>0</v>
          </cell>
        </row>
        <row r="2722">
          <cell r="A2722" t="str">
            <v>454272</v>
          </cell>
          <cell r="B2722" t="str">
            <v>1251</v>
          </cell>
          <cell r="C2722" t="str">
            <v>12</v>
          </cell>
          <cell r="D2722" t="str">
            <v>21</v>
          </cell>
          <cell r="E2722">
            <v>1</v>
          </cell>
          <cell r="G2722">
            <v>802241</v>
          </cell>
          <cell r="H2722">
            <v>13236</v>
          </cell>
          <cell r="I2722">
            <v>2497</v>
          </cell>
          <cell r="J2722">
            <v>1324</v>
          </cell>
          <cell r="K2722">
            <v>17057</v>
          </cell>
          <cell r="L2722">
            <v>5474</v>
          </cell>
          <cell r="M2722">
            <v>6298</v>
          </cell>
          <cell r="N2722">
            <v>3</v>
          </cell>
          <cell r="O2722">
            <v>0</v>
          </cell>
          <cell r="P2722">
            <v>0</v>
          </cell>
          <cell r="Q2722">
            <v>0</v>
          </cell>
          <cell r="R2722">
            <v>0</v>
          </cell>
          <cell r="S2722">
            <v>0</v>
          </cell>
          <cell r="T2722">
            <v>0</v>
          </cell>
          <cell r="U2722">
            <v>0</v>
          </cell>
          <cell r="V2722">
            <v>0</v>
          </cell>
          <cell r="W2722">
            <v>0</v>
          </cell>
        </row>
        <row r="2723">
          <cell r="A2723" t="str">
            <v>454272</v>
          </cell>
          <cell r="B2723" t="str">
            <v>1251</v>
          </cell>
          <cell r="C2723" t="str">
            <v>12</v>
          </cell>
          <cell r="D2723" t="str">
            <v>21</v>
          </cell>
          <cell r="E2723">
            <v>1</v>
          </cell>
          <cell r="G2723">
            <v>802263</v>
          </cell>
          <cell r="H2723">
            <v>0</v>
          </cell>
          <cell r="I2723">
            <v>34</v>
          </cell>
          <cell r="J2723">
            <v>0</v>
          </cell>
          <cell r="K2723">
            <v>34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  <cell r="R2723">
            <v>0</v>
          </cell>
          <cell r="S2723">
            <v>0</v>
          </cell>
          <cell r="T2723">
            <v>0</v>
          </cell>
          <cell r="U2723">
            <v>0</v>
          </cell>
          <cell r="V2723">
            <v>0</v>
          </cell>
          <cell r="W2723">
            <v>0</v>
          </cell>
        </row>
        <row r="2724">
          <cell r="A2724" t="str">
            <v>454272</v>
          </cell>
          <cell r="B2724" t="str">
            <v>1251</v>
          </cell>
          <cell r="C2724" t="str">
            <v>12</v>
          </cell>
          <cell r="D2724" t="str">
            <v>21</v>
          </cell>
          <cell r="E2724">
            <v>1</v>
          </cell>
          <cell r="G2724">
            <v>999999</v>
          </cell>
          <cell r="H2724">
            <v>70374</v>
          </cell>
          <cell r="I2724">
            <v>12951</v>
          </cell>
          <cell r="J2724">
            <v>4429</v>
          </cell>
          <cell r="K2724">
            <v>87754</v>
          </cell>
          <cell r="L2724">
            <v>28113</v>
          </cell>
          <cell r="M2724">
            <v>56602</v>
          </cell>
          <cell r="N2724">
            <v>258</v>
          </cell>
          <cell r="O2724">
            <v>0</v>
          </cell>
          <cell r="P2724">
            <v>0</v>
          </cell>
          <cell r="Q2724">
            <v>0</v>
          </cell>
          <cell r="R2724">
            <v>0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</row>
        <row r="2725">
          <cell r="A2725" t="str">
            <v>454272</v>
          </cell>
          <cell r="B2725" t="str">
            <v>1251</v>
          </cell>
          <cell r="C2725" t="str">
            <v>12</v>
          </cell>
          <cell r="D2725" t="str">
            <v>21</v>
          </cell>
          <cell r="E2725">
            <v>17</v>
          </cell>
          <cell r="G2725">
            <v>552323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  <cell r="R2725">
            <v>0</v>
          </cell>
          <cell r="S2725">
            <v>0</v>
          </cell>
          <cell r="T2725">
            <v>0</v>
          </cell>
          <cell r="U2725">
            <v>0</v>
          </cell>
          <cell r="V2725">
            <v>0</v>
          </cell>
          <cell r="W2725">
            <v>0</v>
          </cell>
        </row>
        <row r="2726">
          <cell r="A2726" t="str">
            <v>454272</v>
          </cell>
          <cell r="B2726" t="str">
            <v>1251</v>
          </cell>
          <cell r="C2726" t="str">
            <v>12</v>
          </cell>
          <cell r="D2726" t="str">
            <v>21</v>
          </cell>
          <cell r="E2726">
            <v>17</v>
          </cell>
          <cell r="G2726">
            <v>552411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  <cell r="R2726">
            <v>0</v>
          </cell>
          <cell r="S2726">
            <v>0</v>
          </cell>
          <cell r="T2726">
            <v>0</v>
          </cell>
          <cell r="U2726">
            <v>0</v>
          </cell>
          <cell r="V2726">
            <v>0</v>
          </cell>
          <cell r="W2726">
            <v>0</v>
          </cell>
        </row>
        <row r="2727">
          <cell r="A2727" t="str">
            <v>454272</v>
          </cell>
          <cell r="B2727" t="str">
            <v>1251</v>
          </cell>
          <cell r="C2727" t="str">
            <v>12</v>
          </cell>
          <cell r="D2727" t="str">
            <v>21</v>
          </cell>
          <cell r="E2727">
            <v>17</v>
          </cell>
          <cell r="G2727">
            <v>751768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  <cell r="R2727">
            <v>0</v>
          </cell>
          <cell r="S2727">
            <v>0</v>
          </cell>
          <cell r="T2727">
            <v>0</v>
          </cell>
          <cell r="U2727">
            <v>0</v>
          </cell>
          <cell r="V2727">
            <v>0</v>
          </cell>
          <cell r="W2727">
            <v>0</v>
          </cell>
        </row>
        <row r="2728">
          <cell r="A2728" t="str">
            <v>454272</v>
          </cell>
          <cell r="B2728" t="str">
            <v>1251</v>
          </cell>
          <cell r="C2728" t="str">
            <v>12</v>
          </cell>
          <cell r="D2728" t="str">
            <v>21</v>
          </cell>
          <cell r="E2728">
            <v>17</v>
          </cell>
          <cell r="G2728">
            <v>802144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  <cell r="R2728">
            <v>0</v>
          </cell>
          <cell r="S2728">
            <v>0</v>
          </cell>
          <cell r="T2728">
            <v>0</v>
          </cell>
          <cell r="U2728">
            <v>0</v>
          </cell>
          <cell r="V2728">
            <v>0</v>
          </cell>
          <cell r="W2728">
            <v>0</v>
          </cell>
        </row>
        <row r="2729">
          <cell r="A2729" t="str">
            <v>454272</v>
          </cell>
          <cell r="B2729" t="str">
            <v>1251</v>
          </cell>
          <cell r="C2729" t="str">
            <v>12</v>
          </cell>
          <cell r="D2729" t="str">
            <v>21</v>
          </cell>
          <cell r="E2729">
            <v>17</v>
          </cell>
          <cell r="G2729">
            <v>802166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  <cell r="R2729">
            <v>0</v>
          </cell>
          <cell r="S2729">
            <v>0</v>
          </cell>
          <cell r="T2729">
            <v>0</v>
          </cell>
          <cell r="U2729">
            <v>0</v>
          </cell>
          <cell r="V2729">
            <v>0</v>
          </cell>
          <cell r="W2729">
            <v>0</v>
          </cell>
        </row>
        <row r="2730">
          <cell r="A2730" t="str">
            <v>454272</v>
          </cell>
          <cell r="B2730" t="str">
            <v>1251</v>
          </cell>
          <cell r="C2730" t="str">
            <v>12</v>
          </cell>
          <cell r="D2730" t="str">
            <v>21</v>
          </cell>
          <cell r="E2730">
            <v>17</v>
          </cell>
          <cell r="G2730">
            <v>802177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  <cell r="R2730">
            <v>0</v>
          </cell>
          <cell r="S2730">
            <v>0</v>
          </cell>
          <cell r="T2730">
            <v>0</v>
          </cell>
          <cell r="U2730">
            <v>0</v>
          </cell>
          <cell r="V2730">
            <v>0</v>
          </cell>
          <cell r="W2730">
            <v>0</v>
          </cell>
        </row>
        <row r="2731">
          <cell r="A2731" t="str">
            <v>454272</v>
          </cell>
          <cell r="B2731" t="str">
            <v>1251</v>
          </cell>
          <cell r="C2731" t="str">
            <v>12</v>
          </cell>
          <cell r="D2731" t="str">
            <v>21</v>
          </cell>
          <cell r="E2731">
            <v>17</v>
          </cell>
          <cell r="G2731">
            <v>802214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  <cell r="R2731">
            <v>0</v>
          </cell>
          <cell r="S2731">
            <v>0</v>
          </cell>
          <cell r="T2731">
            <v>0</v>
          </cell>
          <cell r="U2731">
            <v>0</v>
          </cell>
          <cell r="V2731">
            <v>0</v>
          </cell>
          <cell r="W2731">
            <v>0</v>
          </cell>
        </row>
        <row r="2732">
          <cell r="A2732" t="str">
            <v>454272</v>
          </cell>
          <cell r="B2732" t="str">
            <v>1251</v>
          </cell>
          <cell r="C2732" t="str">
            <v>12</v>
          </cell>
          <cell r="D2732" t="str">
            <v>21</v>
          </cell>
          <cell r="E2732">
            <v>17</v>
          </cell>
          <cell r="G2732">
            <v>802241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  <cell r="R2732">
            <v>0</v>
          </cell>
          <cell r="S2732">
            <v>0</v>
          </cell>
          <cell r="T2732">
            <v>0</v>
          </cell>
          <cell r="U2732">
            <v>0</v>
          </cell>
          <cell r="V2732">
            <v>0</v>
          </cell>
          <cell r="W2732">
            <v>0</v>
          </cell>
        </row>
        <row r="2733">
          <cell r="A2733" t="str">
            <v>454272</v>
          </cell>
          <cell r="B2733" t="str">
            <v>1251</v>
          </cell>
          <cell r="C2733" t="str">
            <v>12</v>
          </cell>
          <cell r="D2733" t="str">
            <v>21</v>
          </cell>
          <cell r="E2733">
            <v>17</v>
          </cell>
          <cell r="G2733">
            <v>802263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  <cell r="R2733">
            <v>0</v>
          </cell>
          <cell r="S2733">
            <v>0</v>
          </cell>
          <cell r="T2733">
            <v>0</v>
          </cell>
          <cell r="U2733">
            <v>0</v>
          </cell>
          <cell r="V2733">
            <v>0</v>
          </cell>
          <cell r="W2733">
            <v>0</v>
          </cell>
        </row>
        <row r="2734">
          <cell r="A2734" t="str">
            <v>454272</v>
          </cell>
          <cell r="B2734" t="str">
            <v>1251</v>
          </cell>
          <cell r="C2734" t="str">
            <v>12</v>
          </cell>
          <cell r="D2734" t="str">
            <v>21</v>
          </cell>
          <cell r="E2734">
            <v>17</v>
          </cell>
          <cell r="G2734">
            <v>999999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  <cell r="R2734">
            <v>0</v>
          </cell>
          <cell r="S2734">
            <v>0</v>
          </cell>
          <cell r="T2734">
            <v>0</v>
          </cell>
          <cell r="U2734">
            <v>0</v>
          </cell>
          <cell r="V2734">
            <v>0</v>
          </cell>
          <cell r="W2734">
            <v>0</v>
          </cell>
        </row>
        <row r="2735">
          <cell r="A2735" t="str">
            <v>454272</v>
          </cell>
          <cell r="B2735" t="str">
            <v>1251</v>
          </cell>
          <cell r="C2735" t="str">
            <v>12</v>
          </cell>
          <cell r="D2735" t="str">
            <v>21</v>
          </cell>
          <cell r="E2735">
            <v>33</v>
          </cell>
          <cell r="G2735">
            <v>552323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  <cell r="R2735">
            <v>0</v>
          </cell>
          <cell r="S2735">
            <v>0</v>
          </cell>
          <cell r="T2735">
            <v>0</v>
          </cell>
          <cell r="U2735">
            <v>0</v>
          </cell>
          <cell r="V2735">
            <v>0</v>
          </cell>
          <cell r="W2735">
            <v>0</v>
          </cell>
        </row>
        <row r="2736">
          <cell r="A2736" t="str">
            <v>454272</v>
          </cell>
          <cell r="B2736" t="str">
            <v>1251</v>
          </cell>
          <cell r="C2736" t="str">
            <v>12</v>
          </cell>
          <cell r="D2736" t="str">
            <v>21</v>
          </cell>
          <cell r="E2736">
            <v>33</v>
          </cell>
          <cell r="G2736">
            <v>552411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  <cell r="R2736">
            <v>0</v>
          </cell>
          <cell r="S2736">
            <v>0</v>
          </cell>
          <cell r="T2736">
            <v>0</v>
          </cell>
          <cell r="U2736">
            <v>0</v>
          </cell>
          <cell r="V2736">
            <v>0</v>
          </cell>
          <cell r="W2736">
            <v>0</v>
          </cell>
        </row>
        <row r="2737">
          <cell r="A2737" t="str">
            <v>454272</v>
          </cell>
          <cell r="B2737" t="str">
            <v>1251</v>
          </cell>
          <cell r="C2737" t="str">
            <v>12</v>
          </cell>
          <cell r="D2737" t="str">
            <v>21</v>
          </cell>
          <cell r="E2737">
            <v>33</v>
          </cell>
          <cell r="G2737">
            <v>751768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  <cell r="R2737">
            <v>0</v>
          </cell>
          <cell r="S2737">
            <v>0</v>
          </cell>
          <cell r="T2737">
            <v>0</v>
          </cell>
          <cell r="U2737">
            <v>0</v>
          </cell>
          <cell r="V2737">
            <v>0</v>
          </cell>
          <cell r="W2737">
            <v>0</v>
          </cell>
        </row>
        <row r="2738">
          <cell r="A2738" t="str">
            <v>454272</v>
          </cell>
          <cell r="B2738" t="str">
            <v>1251</v>
          </cell>
          <cell r="C2738" t="str">
            <v>12</v>
          </cell>
          <cell r="D2738" t="str">
            <v>21</v>
          </cell>
          <cell r="E2738">
            <v>33</v>
          </cell>
          <cell r="G2738">
            <v>802144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  <cell r="R2738">
            <v>0</v>
          </cell>
          <cell r="S2738">
            <v>0</v>
          </cell>
          <cell r="T2738">
            <v>0</v>
          </cell>
          <cell r="U2738">
            <v>0</v>
          </cell>
          <cell r="V2738">
            <v>0</v>
          </cell>
          <cell r="W2738">
            <v>0</v>
          </cell>
        </row>
        <row r="2739">
          <cell r="A2739" t="str">
            <v>454272</v>
          </cell>
          <cell r="B2739" t="str">
            <v>1251</v>
          </cell>
          <cell r="C2739" t="str">
            <v>12</v>
          </cell>
          <cell r="D2739" t="str">
            <v>21</v>
          </cell>
          <cell r="E2739">
            <v>33</v>
          </cell>
          <cell r="G2739">
            <v>802166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  <cell r="R2739">
            <v>0</v>
          </cell>
          <cell r="S2739">
            <v>0</v>
          </cell>
          <cell r="T2739">
            <v>0</v>
          </cell>
          <cell r="U2739">
            <v>0</v>
          </cell>
          <cell r="V2739">
            <v>0</v>
          </cell>
          <cell r="W2739">
            <v>0</v>
          </cell>
        </row>
        <row r="2740">
          <cell r="A2740" t="str">
            <v>454272</v>
          </cell>
          <cell r="B2740" t="str">
            <v>1251</v>
          </cell>
          <cell r="C2740" t="str">
            <v>12</v>
          </cell>
          <cell r="D2740" t="str">
            <v>21</v>
          </cell>
          <cell r="E2740">
            <v>33</v>
          </cell>
          <cell r="G2740">
            <v>802177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  <cell r="R2740">
            <v>0</v>
          </cell>
          <cell r="S2740">
            <v>0</v>
          </cell>
          <cell r="T2740">
            <v>0</v>
          </cell>
          <cell r="U2740">
            <v>0</v>
          </cell>
          <cell r="V2740">
            <v>0</v>
          </cell>
          <cell r="W2740">
            <v>0</v>
          </cell>
        </row>
        <row r="2741">
          <cell r="A2741" t="str">
            <v>454272</v>
          </cell>
          <cell r="B2741" t="str">
            <v>1251</v>
          </cell>
          <cell r="C2741" t="str">
            <v>12</v>
          </cell>
          <cell r="D2741" t="str">
            <v>21</v>
          </cell>
          <cell r="E2741">
            <v>33</v>
          </cell>
          <cell r="G2741">
            <v>802214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  <cell r="R2741">
            <v>0</v>
          </cell>
          <cell r="S2741">
            <v>0</v>
          </cell>
          <cell r="T2741">
            <v>0</v>
          </cell>
          <cell r="U2741">
            <v>0</v>
          </cell>
          <cell r="V2741">
            <v>0</v>
          </cell>
          <cell r="W2741">
            <v>0</v>
          </cell>
        </row>
        <row r="2742">
          <cell r="A2742" t="str">
            <v>454272</v>
          </cell>
          <cell r="B2742" t="str">
            <v>1251</v>
          </cell>
          <cell r="C2742" t="str">
            <v>12</v>
          </cell>
          <cell r="D2742" t="str">
            <v>21</v>
          </cell>
          <cell r="E2742">
            <v>33</v>
          </cell>
          <cell r="G2742">
            <v>802241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  <cell r="R2742">
            <v>0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</row>
        <row r="2743">
          <cell r="A2743" t="str">
            <v>454272</v>
          </cell>
          <cell r="B2743" t="str">
            <v>1251</v>
          </cell>
          <cell r="C2743" t="str">
            <v>12</v>
          </cell>
          <cell r="D2743" t="str">
            <v>21</v>
          </cell>
          <cell r="E2743">
            <v>33</v>
          </cell>
          <cell r="G2743">
            <v>802263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  <cell r="R2743">
            <v>0</v>
          </cell>
          <cell r="S2743">
            <v>0</v>
          </cell>
          <cell r="T2743">
            <v>0</v>
          </cell>
          <cell r="U2743">
            <v>0</v>
          </cell>
          <cell r="V2743">
            <v>0</v>
          </cell>
          <cell r="W2743">
            <v>0</v>
          </cell>
        </row>
        <row r="2744">
          <cell r="A2744" t="str">
            <v>454272</v>
          </cell>
          <cell r="B2744" t="str">
            <v>1251</v>
          </cell>
          <cell r="C2744" t="str">
            <v>12</v>
          </cell>
          <cell r="D2744" t="str">
            <v>21</v>
          </cell>
          <cell r="E2744">
            <v>33</v>
          </cell>
          <cell r="G2744">
            <v>999999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  <cell r="R2744">
            <v>0</v>
          </cell>
          <cell r="S2744">
            <v>0</v>
          </cell>
          <cell r="T2744">
            <v>0</v>
          </cell>
          <cell r="U2744">
            <v>0</v>
          </cell>
          <cell r="V2744">
            <v>0</v>
          </cell>
          <cell r="W2744">
            <v>0</v>
          </cell>
        </row>
        <row r="2745">
          <cell r="A2745" t="str">
            <v>454272</v>
          </cell>
          <cell r="B2745" t="str">
            <v>1251</v>
          </cell>
          <cell r="C2745" t="str">
            <v>12</v>
          </cell>
          <cell r="D2745" t="str">
            <v>21</v>
          </cell>
          <cell r="E2745">
            <v>49</v>
          </cell>
          <cell r="G2745">
            <v>552323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  <cell r="R2745">
            <v>0</v>
          </cell>
          <cell r="S2745">
            <v>0</v>
          </cell>
          <cell r="T2745">
            <v>0</v>
          </cell>
          <cell r="U2745">
            <v>0</v>
          </cell>
          <cell r="V2745">
            <v>0</v>
          </cell>
          <cell r="W2745">
            <v>0</v>
          </cell>
        </row>
        <row r="2746">
          <cell r="A2746" t="str">
            <v>454272</v>
          </cell>
          <cell r="B2746" t="str">
            <v>1251</v>
          </cell>
          <cell r="C2746" t="str">
            <v>12</v>
          </cell>
          <cell r="D2746" t="str">
            <v>21</v>
          </cell>
          <cell r="E2746">
            <v>49</v>
          </cell>
          <cell r="G2746">
            <v>552411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  <cell r="R2746">
            <v>0</v>
          </cell>
          <cell r="S2746">
            <v>0</v>
          </cell>
          <cell r="T2746">
            <v>0</v>
          </cell>
          <cell r="U2746">
            <v>0</v>
          </cell>
          <cell r="V2746">
            <v>0</v>
          </cell>
          <cell r="W2746">
            <v>0</v>
          </cell>
        </row>
        <row r="2747">
          <cell r="A2747" t="str">
            <v>454272</v>
          </cell>
          <cell r="B2747" t="str">
            <v>1251</v>
          </cell>
          <cell r="C2747" t="str">
            <v>12</v>
          </cell>
          <cell r="D2747" t="str">
            <v>21</v>
          </cell>
          <cell r="E2747">
            <v>49</v>
          </cell>
          <cell r="G2747">
            <v>751768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  <cell r="R2747">
            <v>0</v>
          </cell>
          <cell r="S2747">
            <v>0</v>
          </cell>
          <cell r="T2747">
            <v>0</v>
          </cell>
          <cell r="U2747">
            <v>0</v>
          </cell>
          <cell r="V2747">
            <v>0</v>
          </cell>
          <cell r="W2747">
            <v>0</v>
          </cell>
        </row>
        <row r="2748">
          <cell r="A2748" t="str">
            <v>454272</v>
          </cell>
          <cell r="B2748" t="str">
            <v>1251</v>
          </cell>
          <cell r="C2748" t="str">
            <v>12</v>
          </cell>
          <cell r="D2748" t="str">
            <v>21</v>
          </cell>
          <cell r="E2748">
            <v>49</v>
          </cell>
          <cell r="G2748">
            <v>802144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</row>
        <row r="2749">
          <cell r="A2749" t="str">
            <v>454272</v>
          </cell>
          <cell r="B2749" t="str">
            <v>1251</v>
          </cell>
          <cell r="C2749" t="str">
            <v>12</v>
          </cell>
          <cell r="D2749" t="str">
            <v>21</v>
          </cell>
          <cell r="E2749">
            <v>49</v>
          </cell>
          <cell r="G2749">
            <v>802166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  <cell r="R2749">
            <v>0</v>
          </cell>
          <cell r="S2749">
            <v>0</v>
          </cell>
          <cell r="T2749">
            <v>0</v>
          </cell>
          <cell r="U2749">
            <v>0</v>
          </cell>
          <cell r="V2749">
            <v>0</v>
          </cell>
          <cell r="W2749">
            <v>0</v>
          </cell>
        </row>
        <row r="2750">
          <cell r="A2750" t="str">
            <v>454272</v>
          </cell>
          <cell r="B2750" t="str">
            <v>1251</v>
          </cell>
          <cell r="C2750" t="str">
            <v>12</v>
          </cell>
          <cell r="D2750" t="str">
            <v>21</v>
          </cell>
          <cell r="E2750">
            <v>49</v>
          </cell>
          <cell r="G2750">
            <v>802177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  <cell r="R2750">
            <v>0</v>
          </cell>
          <cell r="S2750">
            <v>0</v>
          </cell>
          <cell r="T2750">
            <v>0</v>
          </cell>
          <cell r="U2750">
            <v>0</v>
          </cell>
          <cell r="V2750">
            <v>0</v>
          </cell>
          <cell r="W2750">
            <v>0</v>
          </cell>
        </row>
        <row r="2751">
          <cell r="A2751" t="str">
            <v>454272</v>
          </cell>
          <cell r="B2751" t="str">
            <v>1251</v>
          </cell>
          <cell r="C2751" t="str">
            <v>12</v>
          </cell>
          <cell r="D2751" t="str">
            <v>21</v>
          </cell>
          <cell r="E2751">
            <v>49</v>
          </cell>
          <cell r="G2751">
            <v>802214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  <cell r="R2751">
            <v>0</v>
          </cell>
          <cell r="S2751">
            <v>0</v>
          </cell>
          <cell r="T2751">
            <v>0</v>
          </cell>
          <cell r="U2751">
            <v>0</v>
          </cell>
          <cell r="V2751">
            <v>0</v>
          </cell>
          <cell r="W2751">
            <v>0</v>
          </cell>
        </row>
        <row r="2752">
          <cell r="A2752" t="str">
            <v>454272</v>
          </cell>
          <cell r="B2752" t="str">
            <v>1251</v>
          </cell>
          <cell r="C2752" t="str">
            <v>12</v>
          </cell>
          <cell r="D2752" t="str">
            <v>21</v>
          </cell>
          <cell r="E2752">
            <v>49</v>
          </cell>
          <cell r="G2752">
            <v>802241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  <cell r="R2752">
            <v>0</v>
          </cell>
          <cell r="S2752">
            <v>0</v>
          </cell>
          <cell r="T2752">
            <v>0</v>
          </cell>
          <cell r="U2752">
            <v>0</v>
          </cell>
          <cell r="V2752">
            <v>0</v>
          </cell>
          <cell r="W2752">
            <v>0</v>
          </cell>
        </row>
        <row r="2753">
          <cell r="A2753" t="str">
            <v>454272</v>
          </cell>
          <cell r="B2753" t="str">
            <v>1251</v>
          </cell>
          <cell r="C2753" t="str">
            <v>12</v>
          </cell>
          <cell r="D2753" t="str">
            <v>21</v>
          </cell>
          <cell r="E2753">
            <v>49</v>
          </cell>
          <cell r="G2753">
            <v>802263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  <cell r="R2753">
            <v>0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</row>
        <row r="2754">
          <cell r="A2754" t="str">
            <v>454272</v>
          </cell>
          <cell r="B2754" t="str">
            <v>1251</v>
          </cell>
          <cell r="C2754" t="str">
            <v>12</v>
          </cell>
          <cell r="D2754" t="str">
            <v>21</v>
          </cell>
          <cell r="E2754">
            <v>49</v>
          </cell>
          <cell r="G2754">
            <v>999999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  <cell r="R2754">
            <v>0</v>
          </cell>
          <cell r="S2754">
            <v>0</v>
          </cell>
          <cell r="T2754">
            <v>0</v>
          </cell>
          <cell r="U2754">
            <v>0</v>
          </cell>
          <cell r="V2754">
            <v>0</v>
          </cell>
          <cell r="W2754">
            <v>0</v>
          </cell>
        </row>
        <row r="2755">
          <cell r="A2755" t="str">
            <v>454272</v>
          </cell>
          <cell r="B2755" t="str">
            <v>1251</v>
          </cell>
          <cell r="C2755" t="str">
            <v>12</v>
          </cell>
          <cell r="D2755" t="str">
            <v>21</v>
          </cell>
          <cell r="E2755">
            <v>65</v>
          </cell>
          <cell r="G2755">
            <v>552323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24944</v>
          </cell>
          <cell r="M2755">
            <v>0</v>
          </cell>
          <cell r="N2755">
            <v>24944</v>
          </cell>
          <cell r="O2755">
            <v>0</v>
          </cell>
          <cell r="P2755">
            <v>24944</v>
          </cell>
          <cell r="Q2755">
            <v>1</v>
          </cell>
          <cell r="R2755">
            <v>1</v>
          </cell>
          <cell r="S2755">
            <v>17</v>
          </cell>
          <cell r="T2755">
            <v>16</v>
          </cell>
          <cell r="U2755">
            <v>0</v>
          </cell>
          <cell r="V2755">
            <v>0</v>
          </cell>
          <cell r="W2755">
            <v>0</v>
          </cell>
        </row>
        <row r="2756">
          <cell r="A2756" t="str">
            <v>454272</v>
          </cell>
          <cell r="B2756" t="str">
            <v>1251</v>
          </cell>
          <cell r="C2756" t="str">
            <v>12</v>
          </cell>
          <cell r="D2756" t="str">
            <v>21</v>
          </cell>
          <cell r="E2756">
            <v>65</v>
          </cell>
          <cell r="G2756">
            <v>552411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6264</v>
          </cell>
          <cell r="M2756">
            <v>0</v>
          </cell>
          <cell r="N2756">
            <v>6264</v>
          </cell>
          <cell r="O2756">
            <v>0</v>
          </cell>
          <cell r="P2756">
            <v>6264</v>
          </cell>
          <cell r="Q2756">
            <v>1</v>
          </cell>
          <cell r="R2756">
            <v>1</v>
          </cell>
          <cell r="S2756">
            <v>1</v>
          </cell>
          <cell r="T2756">
            <v>1</v>
          </cell>
          <cell r="U2756">
            <v>0</v>
          </cell>
          <cell r="V2756">
            <v>0</v>
          </cell>
          <cell r="W2756">
            <v>0</v>
          </cell>
        </row>
        <row r="2757">
          <cell r="A2757" t="str">
            <v>454272</v>
          </cell>
          <cell r="B2757" t="str">
            <v>1251</v>
          </cell>
          <cell r="C2757" t="str">
            <v>12</v>
          </cell>
          <cell r="D2757" t="str">
            <v>21</v>
          </cell>
          <cell r="E2757">
            <v>65</v>
          </cell>
          <cell r="G2757">
            <v>751768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29170</v>
          </cell>
          <cell r="M2757">
            <v>0</v>
          </cell>
          <cell r="N2757">
            <v>29170</v>
          </cell>
          <cell r="O2757">
            <v>0</v>
          </cell>
          <cell r="P2757">
            <v>29170</v>
          </cell>
          <cell r="Q2757">
            <v>34</v>
          </cell>
          <cell r="R2757">
            <v>33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</row>
        <row r="2758">
          <cell r="A2758" t="str">
            <v>454272</v>
          </cell>
          <cell r="B2758" t="str">
            <v>1251</v>
          </cell>
          <cell r="C2758" t="str">
            <v>12</v>
          </cell>
          <cell r="D2758" t="str">
            <v>21</v>
          </cell>
          <cell r="E2758">
            <v>65</v>
          </cell>
          <cell r="G2758">
            <v>802144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1107</v>
          </cell>
          <cell r="M2758">
            <v>0</v>
          </cell>
          <cell r="N2758">
            <v>1107</v>
          </cell>
          <cell r="O2758">
            <v>0</v>
          </cell>
          <cell r="P2758">
            <v>1107</v>
          </cell>
          <cell r="Q2758">
            <v>0</v>
          </cell>
          <cell r="R2758">
            <v>0</v>
          </cell>
          <cell r="S2758">
            <v>7</v>
          </cell>
          <cell r="T2758">
            <v>1</v>
          </cell>
          <cell r="U2758">
            <v>0</v>
          </cell>
          <cell r="V2758">
            <v>0</v>
          </cell>
          <cell r="W2758">
            <v>0</v>
          </cell>
        </row>
        <row r="2759">
          <cell r="A2759" t="str">
            <v>454272</v>
          </cell>
          <cell r="B2759" t="str">
            <v>1251</v>
          </cell>
          <cell r="C2759" t="str">
            <v>12</v>
          </cell>
          <cell r="D2759" t="str">
            <v>21</v>
          </cell>
          <cell r="E2759">
            <v>65</v>
          </cell>
          <cell r="G2759">
            <v>802166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25840</v>
          </cell>
          <cell r="M2759">
            <v>0</v>
          </cell>
          <cell r="N2759">
            <v>25840</v>
          </cell>
          <cell r="O2759">
            <v>0</v>
          </cell>
          <cell r="P2759">
            <v>25840</v>
          </cell>
          <cell r="Q2759">
            <v>0</v>
          </cell>
          <cell r="R2759">
            <v>0</v>
          </cell>
          <cell r="S2759">
            <v>0</v>
          </cell>
          <cell r="T2759">
            <v>26</v>
          </cell>
          <cell r="U2759">
            <v>0</v>
          </cell>
          <cell r="V2759">
            <v>0</v>
          </cell>
          <cell r="W2759">
            <v>0</v>
          </cell>
        </row>
        <row r="2760">
          <cell r="A2760" t="str">
            <v>454272</v>
          </cell>
          <cell r="B2760" t="str">
            <v>1251</v>
          </cell>
          <cell r="C2760" t="str">
            <v>12</v>
          </cell>
          <cell r="D2760" t="str">
            <v>21</v>
          </cell>
          <cell r="E2760">
            <v>65</v>
          </cell>
          <cell r="G2760">
            <v>802177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41225</v>
          </cell>
          <cell r="M2760">
            <v>0</v>
          </cell>
          <cell r="N2760">
            <v>41225</v>
          </cell>
          <cell r="O2760">
            <v>0</v>
          </cell>
          <cell r="P2760">
            <v>41225</v>
          </cell>
          <cell r="Q2760">
            <v>0</v>
          </cell>
          <cell r="R2760">
            <v>0</v>
          </cell>
          <cell r="S2760">
            <v>35</v>
          </cell>
          <cell r="T2760">
            <v>30</v>
          </cell>
          <cell r="U2760">
            <v>0</v>
          </cell>
          <cell r="V2760">
            <v>0</v>
          </cell>
          <cell r="W2760">
            <v>0</v>
          </cell>
        </row>
        <row r="2761">
          <cell r="A2761" t="str">
            <v>454272</v>
          </cell>
          <cell r="B2761" t="str">
            <v>1251</v>
          </cell>
          <cell r="C2761" t="str">
            <v>12</v>
          </cell>
          <cell r="D2761" t="str">
            <v>21</v>
          </cell>
          <cell r="E2761">
            <v>65</v>
          </cell>
          <cell r="G2761">
            <v>802214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15311</v>
          </cell>
          <cell r="M2761">
            <v>0</v>
          </cell>
          <cell r="N2761">
            <v>15311</v>
          </cell>
          <cell r="O2761">
            <v>0</v>
          </cell>
          <cell r="P2761">
            <v>15311</v>
          </cell>
          <cell r="Q2761">
            <v>0</v>
          </cell>
          <cell r="R2761">
            <v>0</v>
          </cell>
          <cell r="S2761">
            <v>7</v>
          </cell>
          <cell r="T2761">
            <v>11</v>
          </cell>
          <cell r="U2761">
            <v>0</v>
          </cell>
          <cell r="V2761">
            <v>0</v>
          </cell>
          <cell r="W2761">
            <v>0</v>
          </cell>
        </row>
        <row r="2762">
          <cell r="A2762" t="str">
            <v>454272</v>
          </cell>
          <cell r="B2762" t="str">
            <v>1251</v>
          </cell>
          <cell r="C2762" t="str">
            <v>12</v>
          </cell>
          <cell r="D2762" t="str">
            <v>21</v>
          </cell>
          <cell r="E2762">
            <v>65</v>
          </cell>
          <cell r="G2762">
            <v>802241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28832</v>
          </cell>
          <cell r="M2762">
            <v>0</v>
          </cell>
          <cell r="N2762">
            <v>28832</v>
          </cell>
          <cell r="O2762">
            <v>0</v>
          </cell>
          <cell r="P2762">
            <v>28832</v>
          </cell>
          <cell r="Q2762">
            <v>0</v>
          </cell>
          <cell r="R2762">
            <v>0</v>
          </cell>
          <cell r="S2762">
            <v>27</v>
          </cell>
          <cell r="T2762">
            <v>23</v>
          </cell>
          <cell r="U2762">
            <v>0</v>
          </cell>
          <cell r="V2762">
            <v>0</v>
          </cell>
          <cell r="W2762">
            <v>0</v>
          </cell>
        </row>
        <row r="2763">
          <cell r="A2763" t="str">
            <v>454272</v>
          </cell>
          <cell r="B2763" t="str">
            <v>1251</v>
          </cell>
          <cell r="C2763" t="str">
            <v>12</v>
          </cell>
          <cell r="D2763" t="str">
            <v>21</v>
          </cell>
          <cell r="E2763">
            <v>65</v>
          </cell>
          <cell r="G2763">
            <v>802263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34</v>
          </cell>
          <cell r="M2763">
            <v>0</v>
          </cell>
          <cell r="N2763">
            <v>34</v>
          </cell>
          <cell r="O2763">
            <v>0</v>
          </cell>
          <cell r="P2763">
            <v>34</v>
          </cell>
          <cell r="Q2763">
            <v>0</v>
          </cell>
          <cell r="R2763">
            <v>0</v>
          </cell>
          <cell r="S2763">
            <v>0</v>
          </cell>
          <cell r="T2763">
            <v>0</v>
          </cell>
          <cell r="U2763">
            <v>0</v>
          </cell>
          <cell r="V2763">
            <v>0</v>
          </cell>
          <cell r="W2763">
            <v>0</v>
          </cell>
        </row>
        <row r="2764">
          <cell r="A2764" t="str">
            <v>454272</v>
          </cell>
          <cell r="B2764" t="str">
            <v>1251</v>
          </cell>
          <cell r="C2764" t="str">
            <v>12</v>
          </cell>
          <cell r="D2764" t="str">
            <v>21</v>
          </cell>
          <cell r="E2764">
            <v>65</v>
          </cell>
          <cell r="G2764">
            <v>999999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172727</v>
          </cell>
          <cell r="M2764">
            <v>0</v>
          </cell>
          <cell r="N2764">
            <v>172727</v>
          </cell>
          <cell r="O2764">
            <v>0</v>
          </cell>
          <cell r="P2764">
            <v>172727</v>
          </cell>
          <cell r="Q2764">
            <v>36</v>
          </cell>
          <cell r="R2764">
            <v>35</v>
          </cell>
          <cell r="S2764">
            <v>94</v>
          </cell>
          <cell r="T2764">
            <v>108</v>
          </cell>
          <cell r="U2764">
            <v>0</v>
          </cell>
          <cell r="V2764">
            <v>0</v>
          </cell>
          <cell r="W2764">
            <v>0</v>
          </cell>
        </row>
        <row r="2765">
          <cell r="A2765" t="str">
            <v>454272</v>
          </cell>
          <cell r="B2765" t="str">
            <v>1251</v>
          </cell>
          <cell r="C2765" t="str">
            <v>12</v>
          </cell>
          <cell r="D2765" t="str">
            <v>22</v>
          </cell>
          <cell r="E2765">
            <v>1</v>
          </cell>
          <cell r="G2765">
            <v>552323</v>
          </cell>
          <cell r="H2765">
            <v>0</v>
          </cell>
          <cell r="I2765">
            <v>10187</v>
          </cell>
          <cell r="J2765">
            <v>2002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  <cell r="R2765">
            <v>0</v>
          </cell>
          <cell r="S2765">
            <v>0</v>
          </cell>
          <cell r="T2765">
            <v>0</v>
          </cell>
          <cell r="U2765">
            <v>0</v>
          </cell>
          <cell r="V2765">
            <v>0</v>
          </cell>
          <cell r="W2765">
            <v>0</v>
          </cell>
        </row>
        <row r="2766">
          <cell r="A2766" t="str">
            <v>454272</v>
          </cell>
          <cell r="B2766" t="str">
            <v>1251</v>
          </cell>
          <cell r="C2766" t="str">
            <v>12</v>
          </cell>
          <cell r="D2766" t="str">
            <v>22</v>
          </cell>
          <cell r="E2766">
            <v>1</v>
          </cell>
          <cell r="G2766">
            <v>552411</v>
          </cell>
          <cell r="H2766">
            <v>0</v>
          </cell>
          <cell r="I2766">
            <v>5251</v>
          </cell>
          <cell r="J2766">
            <v>1038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  <cell r="R2766">
            <v>0</v>
          </cell>
          <cell r="S2766">
            <v>0</v>
          </cell>
          <cell r="T2766">
            <v>0</v>
          </cell>
          <cell r="U2766">
            <v>0</v>
          </cell>
          <cell r="V2766">
            <v>0</v>
          </cell>
          <cell r="W2766">
            <v>0</v>
          </cell>
        </row>
        <row r="2767">
          <cell r="A2767" t="str">
            <v>454272</v>
          </cell>
          <cell r="B2767" t="str">
            <v>1251</v>
          </cell>
          <cell r="C2767" t="str">
            <v>12</v>
          </cell>
          <cell r="D2767" t="str">
            <v>22</v>
          </cell>
          <cell r="E2767">
            <v>1</v>
          </cell>
          <cell r="G2767">
            <v>751768</v>
          </cell>
          <cell r="H2767">
            <v>0</v>
          </cell>
          <cell r="I2767">
            <v>2841</v>
          </cell>
          <cell r="J2767">
            <v>120</v>
          </cell>
          <cell r="K2767">
            <v>165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11598</v>
          </cell>
          <cell r="Q2767">
            <v>0</v>
          </cell>
          <cell r="R2767">
            <v>11598</v>
          </cell>
          <cell r="S2767">
            <v>0</v>
          </cell>
          <cell r="T2767">
            <v>0</v>
          </cell>
          <cell r="U2767">
            <v>0</v>
          </cell>
          <cell r="V2767">
            <v>0</v>
          </cell>
          <cell r="W2767">
            <v>0</v>
          </cell>
        </row>
        <row r="2768">
          <cell r="A2768" t="str">
            <v>454272</v>
          </cell>
          <cell r="B2768" t="str">
            <v>1251</v>
          </cell>
          <cell r="C2768" t="str">
            <v>12</v>
          </cell>
          <cell r="D2768" t="str">
            <v>22</v>
          </cell>
          <cell r="E2768">
            <v>1</v>
          </cell>
          <cell r="G2768">
            <v>751922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  <cell r="R2768">
            <v>0</v>
          </cell>
          <cell r="S2768">
            <v>0</v>
          </cell>
          <cell r="T2768">
            <v>0</v>
          </cell>
          <cell r="U2768">
            <v>0</v>
          </cell>
          <cell r="V2768">
            <v>0</v>
          </cell>
          <cell r="W2768">
            <v>0</v>
          </cell>
        </row>
        <row r="2769">
          <cell r="A2769" t="str">
            <v>454272</v>
          </cell>
          <cell r="B2769" t="str">
            <v>1251</v>
          </cell>
          <cell r="C2769" t="str">
            <v>12</v>
          </cell>
          <cell r="D2769" t="str">
            <v>22</v>
          </cell>
          <cell r="E2769">
            <v>1</v>
          </cell>
          <cell r="G2769">
            <v>802166</v>
          </cell>
          <cell r="H2769">
            <v>0</v>
          </cell>
          <cell r="I2769">
            <v>452</v>
          </cell>
          <cell r="J2769">
            <v>90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  <cell r="R2769">
            <v>0</v>
          </cell>
          <cell r="S2769">
            <v>0</v>
          </cell>
          <cell r="T2769">
            <v>0</v>
          </cell>
          <cell r="U2769">
            <v>0</v>
          </cell>
          <cell r="V2769">
            <v>0</v>
          </cell>
          <cell r="W2769">
            <v>0</v>
          </cell>
        </row>
        <row r="2770">
          <cell r="A2770" t="str">
            <v>454272</v>
          </cell>
          <cell r="B2770" t="str">
            <v>1251</v>
          </cell>
          <cell r="C2770" t="str">
            <v>12</v>
          </cell>
          <cell r="D2770" t="str">
            <v>22</v>
          </cell>
          <cell r="E2770">
            <v>1</v>
          </cell>
          <cell r="G2770">
            <v>802177</v>
          </cell>
          <cell r="H2770">
            <v>0</v>
          </cell>
          <cell r="I2770">
            <v>369</v>
          </cell>
          <cell r="J2770">
            <v>9</v>
          </cell>
          <cell r="K2770">
            <v>0</v>
          </cell>
          <cell r="L2770">
            <v>0</v>
          </cell>
          <cell r="M2770">
            <v>0</v>
          </cell>
          <cell r="N2770">
            <v>157</v>
          </cell>
          <cell r="O2770">
            <v>0</v>
          </cell>
          <cell r="P2770">
            <v>0</v>
          </cell>
          <cell r="Q2770">
            <v>0</v>
          </cell>
          <cell r="R2770">
            <v>157</v>
          </cell>
          <cell r="S2770">
            <v>0</v>
          </cell>
          <cell r="T2770">
            <v>0</v>
          </cell>
          <cell r="U2770">
            <v>0</v>
          </cell>
          <cell r="V2770">
            <v>0</v>
          </cell>
          <cell r="W2770">
            <v>0</v>
          </cell>
        </row>
        <row r="2771">
          <cell r="A2771" t="str">
            <v>454272</v>
          </cell>
          <cell r="B2771" t="str">
            <v>1251</v>
          </cell>
          <cell r="C2771" t="str">
            <v>12</v>
          </cell>
          <cell r="D2771" t="str">
            <v>22</v>
          </cell>
          <cell r="E2771">
            <v>1</v>
          </cell>
          <cell r="G2771">
            <v>802214</v>
          </cell>
          <cell r="H2771">
            <v>0</v>
          </cell>
          <cell r="I2771">
            <v>32</v>
          </cell>
          <cell r="J2771">
            <v>2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  <cell r="R2771">
            <v>0</v>
          </cell>
          <cell r="S2771">
            <v>0</v>
          </cell>
          <cell r="T2771">
            <v>0</v>
          </cell>
          <cell r="U2771">
            <v>0</v>
          </cell>
          <cell r="V2771">
            <v>0</v>
          </cell>
          <cell r="W2771">
            <v>0</v>
          </cell>
        </row>
        <row r="2772">
          <cell r="A2772" t="str">
            <v>454272</v>
          </cell>
          <cell r="B2772" t="str">
            <v>1251</v>
          </cell>
          <cell r="C2772" t="str">
            <v>12</v>
          </cell>
          <cell r="D2772" t="str">
            <v>22</v>
          </cell>
          <cell r="E2772">
            <v>1</v>
          </cell>
          <cell r="G2772">
            <v>802241</v>
          </cell>
          <cell r="H2772">
            <v>0</v>
          </cell>
          <cell r="I2772">
            <v>5440</v>
          </cell>
          <cell r="J2772">
            <v>748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1782</v>
          </cell>
          <cell r="P2772">
            <v>0</v>
          </cell>
          <cell r="Q2772">
            <v>0</v>
          </cell>
          <cell r="R2772">
            <v>1782</v>
          </cell>
          <cell r="S2772">
            <v>0</v>
          </cell>
          <cell r="T2772">
            <v>0</v>
          </cell>
          <cell r="U2772">
            <v>0</v>
          </cell>
          <cell r="V2772">
            <v>0</v>
          </cell>
          <cell r="W2772">
            <v>0</v>
          </cell>
        </row>
        <row r="2773">
          <cell r="A2773" t="str">
            <v>454272</v>
          </cell>
          <cell r="B2773" t="str">
            <v>1251</v>
          </cell>
          <cell r="C2773" t="str">
            <v>12</v>
          </cell>
          <cell r="D2773" t="str">
            <v>22</v>
          </cell>
          <cell r="E2773">
            <v>1</v>
          </cell>
          <cell r="G2773">
            <v>999999</v>
          </cell>
          <cell r="H2773">
            <v>0</v>
          </cell>
          <cell r="I2773">
            <v>24572</v>
          </cell>
          <cell r="J2773">
            <v>4009</v>
          </cell>
          <cell r="K2773">
            <v>165</v>
          </cell>
          <cell r="L2773">
            <v>0</v>
          </cell>
          <cell r="M2773">
            <v>0</v>
          </cell>
          <cell r="N2773">
            <v>157</v>
          </cell>
          <cell r="O2773">
            <v>1782</v>
          </cell>
          <cell r="P2773">
            <v>11598</v>
          </cell>
          <cell r="Q2773">
            <v>0</v>
          </cell>
          <cell r="R2773">
            <v>13537</v>
          </cell>
          <cell r="S2773">
            <v>0</v>
          </cell>
          <cell r="T2773">
            <v>0</v>
          </cell>
          <cell r="U2773">
            <v>0</v>
          </cell>
          <cell r="V2773">
            <v>0</v>
          </cell>
          <cell r="W2773">
            <v>0</v>
          </cell>
        </row>
        <row r="2774">
          <cell r="A2774" t="str">
            <v>454272</v>
          </cell>
          <cell r="B2774" t="str">
            <v>1251</v>
          </cell>
          <cell r="C2774" t="str">
            <v>12</v>
          </cell>
          <cell r="D2774" t="str">
            <v>22</v>
          </cell>
          <cell r="E2774">
            <v>17</v>
          </cell>
          <cell r="G2774">
            <v>552323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12189</v>
          </cell>
          <cell r="R2774">
            <v>0</v>
          </cell>
          <cell r="S2774">
            <v>0</v>
          </cell>
          <cell r="T2774">
            <v>0</v>
          </cell>
          <cell r="U2774">
            <v>0</v>
          </cell>
          <cell r="V2774">
            <v>0</v>
          </cell>
          <cell r="W2774">
            <v>0</v>
          </cell>
        </row>
        <row r="2775">
          <cell r="A2775" t="str">
            <v>454272</v>
          </cell>
          <cell r="B2775" t="str">
            <v>1251</v>
          </cell>
          <cell r="C2775" t="str">
            <v>12</v>
          </cell>
          <cell r="D2775" t="str">
            <v>22</v>
          </cell>
          <cell r="E2775">
            <v>17</v>
          </cell>
          <cell r="G2775">
            <v>552411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6289</v>
          </cell>
          <cell r="R2775">
            <v>0</v>
          </cell>
          <cell r="S2775">
            <v>0</v>
          </cell>
          <cell r="T2775">
            <v>0</v>
          </cell>
          <cell r="U2775">
            <v>0</v>
          </cell>
          <cell r="V2775">
            <v>0</v>
          </cell>
          <cell r="W2775">
            <v>0</v>
          </cell>
        </row>
        <row r="2776">
          <cell r="A2776" t="str">
            <v>454272</v>
          </cell>
          <cell r="B2776" t="str">
            <v>1251</v>
          </cell>
          <cell r="C2776" t="str">
            <v>12</v>
          </cell>
          <cell r="D2776" t="str">
            <v>22</v>
          </cell>
          <cell r="E2776">
            <v>17</v>
          </cell>
          <cell r="G2776">
            <v>751768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14724</v>
          </cell>
          <cell r="R2776">
            <v>0</v>
          </cell>
          <cell r="S2776">
            <v>0</v>
          </cell>
          <cell r="T2776">
            <v>0</v>
          </cell>
          <cell r="U2776">
            <v>0</v>
          </cell>
          <cell r="V2776">
            <v>0</v>
          </cell>
          <cell r="W2776">
            <v>0</v>
          </cell>
        </row>
        <row r="2777">
          <cell r="A2777" t="str">
            <v>454272</v>
          </cell>
          <cell r="B2777" t="str">
            <v>1251</v>
          </cell>
          <cell r="C2777" t="str">
            <v>12</v>
          </cell>
          <cell r="D2777" t="str">
            <v>22</v>
          </cell>
          <cell r="E2777">
            <v>17</v>
          </cell>
          <cell r="G2777">
            <v>751922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</row>
        <row r="2778">
          <cell r="A2778" t="str">
            <v>454272</v>
          </cell>
          <cell r="B2778" t="str">
            <v>1251</v>
          </cell>
          <cell r="C2778" t="str">
            <v>12</v>
          </cell>
          <cell r="D2778" t="str">
            <v>22</v>
          </cell>
          <cell r="E2778">
            <v>17</v>
          </cell>
          <cell r="G2778">
            <v>802166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542</v>
          </cell>
          <cell r="R2778">
            <v>0</v>
          </cell>
          <cell r="S2778">
            <v>0</v>
          </cell>
          <cell r="T2778">
            <v>0</v>
          </cell>
          <cell r="U2778">
            <v>0</v>
          </cell>
          <cell r="V2778">
            <v>0</v>
          </cell>
          <cell r="W2778">
            <v>426</v>
          </cell>
        </row>
        <row r="2779">
          <cell r="A2779" t="str">
            <v>454272</v>
          </cell>
          <cell r="B2779" t="str">
            <v>1251</v>
          </cell>
          <cell r="C2779" t="str">
            <v>12</v>
          </cell>
          <cell r="D2779" t="str">
            <v>22</v>
          </cell>
          <cell r="E2779">
            <v>17</v>
          </cell>
          <cell r="G2779">
            <v>802177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535</v>
          </cell>
          <cell r="R2779">
            <v>0</v>
          </cell>
          <cell r="S2779">
            <v>0</v>
          </cell>
          <cell r="T2779">
            <v>0</v>
          </cell>
          <cell r="U2779">
            <v>0</v>
          </cell>
          <cell r="V2779">
            <v>0</v>
          </cell>
          <cell r="W2779">
            <v>0</v>
          </cell>
        </row>
        <row r="2780">
          <cell r="A2780" t="str">
            <v>454272</v>
          </cell>
          <cell r="B2780" t="str">
            <v>1251</v>
          </cell>
          <cell r="C2780" t="str">
            <v>12</v>
          </cell>
          <cell r="D2780" t="str">
            <v>22</v>
          </cell>
          <cell r="E2780">
            <v>17</v>
          </cell>
          <cell r="G2780">
            <v>802214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34</v>
          </cell>
          <cell r="R2780">
            <v>0</v>
          </cell>
          <cell r="S2780">
            <v>0</v>
          </cell>
          <cell r="T2780">
            <v>0</v>
          </cell>
          <cell r="U2780">
            <v>0</v>
          </cell>
          <cell r="V2780">
            <v>0</v>
          </cell>
          <cell r="W2780">
            <v>0</v>
          </cell>
        </row>
        <row r="2781">
          <cell r="A2781" t="str">
            <v>454272</v>
          </cell>
          <cell r="B2781" t="str">
            <v>1251</v>
          </cell>
          <cell r="C2781" t="str">
            <v>12</v>
          </cell>
          <cell r="D2781" t="str">
            <v>22</v>
          </cell>
          <cell r="E2781">
            <v>17</v>
          </cell>
          <cell r="G2781">
            <v>802241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7970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</row>
        <row r="2782">
          <cell r="A2782" t="str">
            <v>454272</v>
          </cell>
          <cell r="B2782" t="str">
            <v>1251</v>
          </cell>
          <cell r="C2782" t="str">
            <v>12</v>
          </cell>
          <cell r="D2782" t="str">
            <v>22</v>
          </cell>
          <cell r="E2782">
            <v>17</v>
          </cell>
          <cell r="G2782">
            <v>999999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42283</v>
          </cell>
          <cell r="R2782">
            <v>0</v>
          </cell>
          <cell r="S2782">
            <v>0</v>
          </cell>
          <cell r="T2782">
            <v>0</v>
          </cell>
          <cell r="U2782">
            <v>0</v>
          </cell>
          <cell r="V2782">
            <v>0</v>
          </cell>
          <cell r="W2782">
            <v>426</v>
          </cell>
        </row>
        <row r="2783">
          <cell r="A2783" t="str">
            <v>454272</v>
          </cell>
          <cell r="B2783" t="str">
            <v>1251</v>
          </cell>
          <cell r="C2783" t="str">
            <v>12</v>
          </cell>
          <cell r="D2783" t="str">
            <v>22</v>
          </cell>
          <cell r="E2783">
            <v>33</v>
          </cell>
          <cell r="G2783">
            <v>552323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  <cell r="R2783">
            <v>0</v>
          </cell>
          <cell r="S2783">
            <v>0</v>
          </cell>
          <cell r="T2783">
            <v>0</v>
          </cell>
          <cell r="U2783">
            <v>0</v>
          </cell>
          <cell r="V2783">
            <v>0</v>
          </cell>
          <cell r="W2783">
            <v>0</v>
          </cell>
        </row>
        <row r="2784">
          <cell r="A2784" t="str">
            <v>454272</v>
          </cell>
          <cell r="B2784" t="str">
            <v>1251</v>
          </cell>
          <cell r="C2784" t="str">
            <v>12</v>
          </cell>
          <cell r="D2784" t="str">
            <v>22</v>
          </cell>
          <cell r="E2784">
            <v>33</v>
          </cell>
          <cell r="G2784">
            <v>552411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  <cell r="R2784">
            <v>0</v>
          </cell>
          <cell r="S2784">
            <v>0</v>
          </cell>
          <cell r="T2784">
            <v>0</v>
          </cell>
          <cell r="U2784">
            <v>0</v>
          </cell>
          <cell r="V2784">
            <v>0</v>
          </cell>
          <cell r="W2784">
            <v>0</v>
          </cell>
        </row>
        <row r="2785">
          <cell r="A2785" t="str">
            <v>454272</v>
          </cell>
          <cell r="B2785" t="str">
            <v>1251</v>
          </cell>
          <cell r="C2785" t="str">
            <v>12</v>
          </cell>
          <cell r="D2785" t="str">
            <v>22</v>
          </cell>
          <cell r="E2785">
            <v>33</v>
          </cell>
          <cell r="G2785">
            <v>751768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  <cell r="R2785">
            <v>0</v>
          </cell>
          <cell r="S2785">
            <v>0</v>
          </cell>
          <cell r="T2785">
            <v>0</v>
          </cell>
          <cell r="U2785">
            <v>0</v>
          </cell>
          <cell r="V2785">
            <v>0</v>
          </cell>
          <cell r="W2785">
            <v>0</v>
          </cell>
        </row>
        <row r="2786">
          <cell r="A2786" t="str">
            <v>454272</v>
          </cell>
          <cell r="B2786" t="str">
            <v>1251</v>
          </cell>
          <cell r="C2786" t="str">
            <v>12</v>
          </cell>
          <cell r="D2786" t="str">
            <v>22</v>
          </cell>
          <cell r="E2786">
            <v>33</v>
          </cell>
          <cell r="G2786">
            <v>751922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  <cell r="R2786">
            <v>0</v>
          </cell>
          <cell r="S2786">
            <v>0</v>
          </cell>
          <cell r="T2786">
            <v>0</v>
          </cell>
          <cell r="U2786">
            <v>0</v>
          </cell>
          <cell r="V2786">
            <v>0</v>
          </cell>
          <cell r="W2786">
            <v>0</v>
          </cell>
        </row>
        <row r="2787">
          <cell r="A2787" t="str">
            <v>454272</v>
          </cell>
          <cell r="B2787" t="str">
            <v>1251</v>
          </cell>
          <cell r="C2787" t="str">
            <v>12</v>
          </cell>
          <cell r="D2787" t="str">
            <v>22</v>
          </cell>
          <cell r="E2787">
            <v>33</v>
          </cell>
          <cell r="G2787">
            <v>802166</v>
          </cell>
          <cell r="H2787">
            <v>0</v>
          </cell>
          <cell r="I2787">
            <v>0</v>
          </cell>
          <cell r="J2787">
            <v>426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  <cell r="R2787">
            <v>0</v>
          </cell>
          <cell r="S2787">
            <v>0</v>
          </cell>
          <cell r="T2787">
            <v>0</v>
          </cell>
          <cell r="U2787">
            <v>0</v>
          </cell>
          <cell r="V2787">
            <v>0</v>
          </cell>
          <cell r="W2787">
            <v>426</v>
          </cell>
        </row>
        <row r="2788">
          <cell r="A2788" t="str">
            <v>454272</v>
          </cell>
          <cell r="B2788" t="str">
            <v>1251</v>
          </cell>
          <cell r="C2788" t="str">
            <v>12</v>
          </cell>
          <cell r="D2788" t="str">
            <v>22</v>
          </cell>
          <cell r="E2788">
            <v>33</v>
          </cell>
          <cell r="G2788">
            <v>802177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125</v>
          </cell>
          <cell r="M2788">
            <v>0</v>
          </cell>
          <cell r="N2788">
            <v>0</v>
          </cell>
          <cell r="O2788">
            <v>125</v>
          </cell>
          <cell r="P2788">
            <v>0</v>
          </cell>
          <cell r="Q2788">
            <v>0</v>
          </cell>
          <cell r="R2788">
            <v>0</v>
          </cell>
          <cell r="S2788">
            <v>0</v>
          </cell>
          <cell r="T2788">
            <v>0</v>
          </cell>
          <cell r="U2788">
            <v>125</v>
          </cell>
          <cell r="V2788">
            <v>0</v>
          </cell>
          <cell r="W2788">
            <v>125</v>
          </cell>
        </row>
        <row r="2789">
          <cell r="A2789" t="str">
            <v>454272</v>
          </cell>
          <cell r="B2789" t="str">
            <v>1251</v>
          </cell>
          <cell r="C2789" t="str">
            <v>12</v>
          </cell>
          <cell r="D2789" t="str">
            <v>22</v>
          </cell>
          <cell r="E2789">
            <v>33</v>
          </cell>
          <cell r="G2789">
            <v>802214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  <cell r="R2789">
            <v>0</v>
          </cell>
          <cell r="S2789">
            <v>0</v>
          </cell>
          <cell r="T2789">
            <v>0</v>
          </cell>
          <cell r="U2789">
            <v>0</v>
          </cell>
          <cell r="V2789">
            <v>0</v>
          </cell>
          <cell r="W2789">
            <v>0</v>
          </cell>
        </row>
        <row r="2790">
          <cell r="A2790" t="str">
            <v>454272</v>
          </cell>
          <cell r="B2790" t="str">
            <v>1251</v>
          </cell>
          <cell r="C2790" t="str">
            <v>12</v>
          </cell>
          <cell r="D2790" t="str">
            <v>22</v>
          </cell>
          <cell r="E2790">
            <v>33</v>
          </cell>
          <cell r="G2790">
            <v>802241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7136</v>
          </cell>
          <cell r="N2790">
            <v>0</v>
          </cell>
          <cell r="O2790">
            <v>7136</v>
          </cell>
          <cell r="P2790">
            <v>0</v>
          </cell>
          <cell r="Q2790">
            <v>0</v>
          </cell>
          <cell r="R2790">
            <v>0</v>
          </cell>
          <cell r="S2790">
            <v>0</v>
          </cell>
          <cell r="T2790">
            <v>0</v>
          </cell>
          <cell r="U2790">
            <v>7136</v>
          </cell>
          <cell r="V2790">
            <v>0</v>
          </cell>
          <cell r="W2790">
            <v>7136</v>
          </cell>
        </row>
        <row r="2791">
          <cell r="A2791" t="str">
            <v>454272</v>
          </cell>
          <cell r="B2791" t="str">
            <v>1251</v>
          </cell>
          <cell r="C2791" t="str">
            <v>12</v>
          </cell>
          <cell r="D2791" t="str">
            <v>22</v>
          </cell>
          <cell r="E2791">
            <v>33</v>
          </cell>
          <cell r="G2791">
            <v>999999</v>
          </cell>
          <cell r="H2791">
            <v>0</v>
          </cell>
          <cell r="I2791">
            <v>0</v>
          </cell>
          <cell r="J2791">
            <v>426</v>
          </cell>
          <cell r="K2791">
            <v>0</v>
          </cell>
          <cell r="L2791">
            <v>125</v>
          </cell>
          <cell r="M2791">
            <v>7136</v>
          </cell>
          <cell r="N2791">
            <v>0</v>
          </cell>
          <cell r="O2791">
            <v>7261</v>
          </cell>
          <cell r="P2791">
            <v>0</v>
          </cell>
          <cell r="Q2791">
            <v>0</v>
          </cell>
          <cell r="R2791">
            <v>0</v>
          </cell>
          <cell r="S2791">
            <v>0</v>
          </cell>
          <cell r="T2791">
            <v>0</v>
          </cell>
          <cell r="U2791">
            <v>7261</v>
          </cell>
          <cell r="V2791">
            <v>0</v>
          </cell>
          <cell r="W2791">
            <v>7687</v>
          </cell>
        </row>
        <row r="2792">
          <cell r="A2792" t="str">
            <v>454272</v>
          </cell>
          <cell r="B2792" t="str">
            <v>1251</v>
          </cell>
          <cell r="C2792" t="str">
            <v>12</v>
          </cell>
          <cell r="D2792" t="str">
            <v>22</v>
          </cell>
          <cell r="E2792">
            <v>49</v>
          </cell>
          <cell r="G2792">
            <v>552323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12189</v>
          </cell>
          <cell r="P2792">
            <v>0</v>
          </cell>
          <cell r="Q2792">
            <v>12189</v>
          </cell>
          <cell r="R2792">
            <v>0</v>
          </cell>
          <cell r="S2792">
            <v>12189</v>
          </cell>
          <cell r="T2792">
            <v>0</v>
          </cell>
          <cell r="U2792">
            <v>0</v>
          </cell>
          <cell r="V2792">
            <v>0</v>
          </cell>
          <cell r="W2792">
            <v>0</v>
          </cell>
        </row>
        <row r="2793">
          <cell r="A2793" t="str">
            <v>454272</v>
          </cell>
          <cell r="B2793" t="str">
            <v>1251</v>
          </cell>
          <cell r="C2793" t="str">
            <v>12</v>
          </cell>
          <cell r="D2793" t="str">
            <v>22</v>
          </cell>
          <cell r="E2793">
            <v>49</v>
          </cell>
          <cell r="G2793">
            <v>552411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6289</v>
          </cell>
          <cell r="P2793">
            <v>0</v>
          </cell>
          <cell r="Q2793">
            <v>6289</v>
          </cell>
          <cell r="R2793">
            <v>0</v>
          </cell>
          <cell r="S2793">
            <v>6289</v>
          </cell>
          <cell r="T2793">
            <v>0</v>
          </cell>
          <cell r="U2793">
            <v>0</v>
          </cell>
          <cell r="V2793">
            <v>0</v>
          </cell>
          <cell r="W2793">
            <v>0</v>
          </cell>
        </row>
        <row r="2794">
          <cell r="A2794" t="str">
            <v>454272</v>
          </cell>
          <cell r="B2794" t="str">
            <v>1251</v>
          </cell>
          <cell r="C2794" t="str">
            <v>12</v>
          </cell>
          <cell r="D2794" t="str">
            <v>22</v>
          </cell>
          <cell r="E2794">
            <v>49</v>
          </cell>
          <cell r="G2794">
            <v>751768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14724</v>
          </cell>
          <cell r="P2794">
            <v>0</v>
          </cell>
          <cell r="Q2794">
            <v>14724</v>
          </cell>
          <cell r="R2794">
            <v>0</v>
          </cell>
          <cell r="S2794">
            <v>14724</v>
          </cell>
          <cell r="T2794">
            <v>0</v>
          </cell>
          <cell r="U2794">
            <v>0</v>
          </cell>
          <cell r="V2794">
            <v>0</v>
          </cell>
          <cell r="W2794">
            <v>0</v>
          </cell>
        </row>
        <row r="2795">
          <cell r="A2795" t="str">
            <v>454272</v>
          </cell>
          <cell r="B2795" t="str">
            <v>1251</v>
          </cell>
          <cell r="C2795" t="str">
            <v>12</v>
          </cell>
          <cell r="D2795" t="str">
            <v>22</v>
          </cell>
          <cell r="E2795">
            <v>49</v>
          </cell>
          <cell r="G2795">
            <v>751922</v>
          </cell>
          <cell r="H2795">
            <v>145099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145099</v>
          </cell>
          <cell r="P2795">
            <v>0</v>
          </cell>
          <cell r="Q2795">
            <v>145099</v>
          </cell>
          <cell r="R2795">
            <v>0</v>
          </cell>
          <cell r="S2795">
            <v>145099</v>
          </cell>
          <cell r="T2795">
            <v>0</v>
          </cell>
          <cell r="U2795">
            <v>0</v>
          </cell>
          <cell r="V2795">
            <v>0</v>
          </cell>
          <cell r="W2795">
            <v>0</v>
          </cell>
        </row>
        <row r="2796">
          <cell r="A2796" t="str">
            <v>454272</v>
          </cell>
          <cell r="B2796" t="str">
            <v>1251</v>
          </cell>
          <cell r="C2796" t="str">
            <v>12</v>
          </cell>
          <cell r="D2796" t="str">
            <v>22</v>
          </cell>
          <cell r="E2796">
            <v>49</v>
          </cell>
          <cell r="G2796">
            <v>802166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968</v>
          </cell>
          <cell r="P2796">
            <v>0</v>
          </cell>
          <cell r="Q2796">
            <v>968</v>
          </cell>
          <cell r="R2796">
            <v>0</v>
          </cell>
          <cell r="S2796">
            <v>968</v>
          </cell>
          <cell r="T2796">
            <v>0</v>
          </cell>
          <cell r="U2796">
            <v>0</v>
          </cell>
          <cell r="V2796">
            <v>0</v>
          </cell>
          <cell r="W2796">
            <v>0</v>
          </cell>
        </row>
        <row r="2797">
          <cell r="A2797" t="str">
            <v>454272</v>
          </cell>
          <cell r="B2797" t="str">
            <v>1251</v>
          </cell>
          <cell r="C2797" t="str">
            <v>12</v>
          </cell>
          <cell r="D2797" t="str">
            <v>22</v>
          </cell>
          <cell r="E2797">
            <v>49</v>
          </cell>
          <cell r="G2797">
            <v>802177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660</v>
          </cell>
          <cell r="P2797">
            <v>0</v>
          </cell>
          <cell r="Q2797">
            <v>660</v>
          </cell>
          <cell r="R2797">
            <v>0</v>
          </cell>
          <cell r="S2797">
            <v>660</v>
          </cell>
          <cell r="T2797">
            <v>0</v>
          </cell>
          <cell r="U2797">
            <v>0</v>
          </cell>
          <cell r="V2797">
            <v>0</v>
          </cell>
          <cell r="W2797">
            <v>0</v>
          </cell>
        </row>
        <row r="2798">
          <cell r="A2798" t="str">
            <v>454272</v>
          </cell>
          <cell r="B2798" t="str">
            <v>1251</v>
          </cell>
          <cell r="C2798" t="str">
            <v>12</v>
          </cell>
          <cell r="D2798" t="str">
            <v>22</v>
          </cell>
          <cell r="E2798">
            <v>49</v>
          </cell>
          <cell r="G2798">
            <v>802214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34</v>
          </cell>
          <cell r="P2798">
            <v>0</v>
          </cell>
          <cell r="Q2798">
            <v>34</v>
          </cell>
          <cell r="R2798">
            <v>0</v>
          </cell>
          <cell r="S2798">
            <v>34</v>
          </cell>
          <cell r="T2798">
            <v>0</v>
          </cell>
          <cell r="U2798">
            <v>0</v>
          </cell>
          <cell r="V2798">
            <v>0</v>
          </cell>
          <cell r="W2798">
            <v>0</v>
          </cell>
        </row>
        <row r="2799">
          <cell r="A2799" t="str">
            <v>454272</v>
          </cell>
          <cell r="B2799" t="str">
            <v>1251</v>
          </cell>
          <cell r="C2799" t="str">
            <v>12</v>
          </cell>
          <cell r="D2799" t="str">
            <v>22</v>
          </cell>
          <cell r="E2799">
            <v>49</v>
          </cell>
          <cell r="G2799">
            <v>802241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  <cell r="M2799">
            <v>0</v>
          </cell>
          <cell r="N2799">
            <v>0</v>
          </cell>
          <cell r="O2799">
            <v>15106</v>
          </cell>
          <cell r="P2799">
            <v>0</v>
          </cell>
          <cell r="Q2799">
            <v>15106</v>
          </cell>
          <cell r="R2799">
            <v>0</v>
          </cell>
          <cell r="S2799">
            <v>15106</v>
          </cell>
          <cell r="T2799">
            <v>0</v>
          </cell>
          <cell r="U2799">
            <v>0</v>
          </cell>
          <cell r="V2799">
            <v>0</v>
          </cell>
          <cell r="W2799">
            <v>0</v>
          </cell>
        </row>
        <row r="2800">
          <cell r="A2800" t="str">
            <v>454272</v>
          </cell>
          <cell r="B2800" t="str">
            <v>1251</v>
          </cell>
          <cell r="C2800" t="str">
            <v>12</v>
          </cell>
          <cell r="D2800" t="str">
            <v>22</v>
          </cell>
          <cell r="E2800">
            <v>49</v>
          </cell>
          <cell r="G2800">
            <v>999999</v>
          </cell>
          <cell r="H2800">
            <v>145099</v>
          </cell>
          <cell r="I2800">
            <v>0</v>
          </cell>
          <cell r="J2800">
            <v>0</v>
          </cell>
          <cell r="K2800">
            <v>0</v>
          </cell>
          <cell r="L2800">
            <v>0</v>
          </cell>
          <cell r="M2800">
            <v>0</v>
          </cell>
          <cell r="N2800">
            <v>0</v>
          </cell>
          <cell r="O2800">
            <v>195069</v>
          </cell>
          <cell r="P2800">
            <v>0</v>
          </cell>
          <cell r="Q2800">
            <v>195069</v>
          </cell>
          <cell r="R2800">
            <v>0</v>
          </cell>
          <cell r="S2800">
            <v>195069</v>
          </cell>
          <cell r="T2800">
            <v>0</v>
          </cell>
          <cell r="U2800">
            <v>0</v>
          </cell>
          <cell r="V2800">
            <v>0</v>
          </cell>
          <cell r="W2800">
            <v>0</v>
          </cell>
        </row>
        <row r="2801">
          <cell r="A2801" t="str">
            <v>454272</v>
          </cell>
          <cell r="B2801" t="str">
            <v>1251</v>
          </cell>
          <cell r="C2801" t="str">
            <v>12</v>
          </cell>
          <cell r="D2801" t="str">
            <v>23</v>
          </cell>
          <cell r="E2801">
            <v>1</v>
          </cell>
          <cell r="G2801">
            <v>0</v>
          </cell>
          <cell r="H2801">
            <v>0</v>
          </cell>
          <cell r="I2801">
            <v>0</v>
          </cell>
          <cell r="J2801">
            <v>88131</v>
          </cell>
          <cell r="K2801">
            <v>0</v>
          </cell>
          <cell r="L2801">
            <v>88131</v>
          </cell>
          <cell r="M2801">
            <v>88131</v>
          </cell>
          <cell r="N2801">
            <v>87754</v>
          </cell>
          <cell r="O2801">
            <v>0</v>
          </cell>
          <cell r="P2801">
            <v>0</v>
          </cell>
          <cell r="Q2801">
            <v>0</v>
          </cell>
          <cell r="R2801">
            <v>0</v>
          </cell>
          <cell r="S2801">
            <v>0</v>
          </cell>
          <cell r="T2801">
            <v>0</v>
          </cell>
          <cell r="U2801">
            <v>0</v>
          </cell>
          <cell r="V2801">
            <v>0</v>
          </cell>
          <cell r="W2801">
            <v>0</v>
          </cell>
        </row>
        <row r="2802">
          <cell r="A2802" t="str">
            <v>454272</v>
          </cell>
          <cell r="B2802" t="str">
            <v>1251</v>
          </cell>
          <cell r="C2802" t="str">
            <v>12</v>
          </cell>
          <cell r="D2802" t="str">
            <v>23</v>
          </cell>
          <cell r="E2802">
            <v>2</v>
          </cell>
          <cell r="G2802">
            <v>0</v>
          </cell>
          <cell r="H2802">
            <v>0</v>
          </cell>
          <cell r="I2802">
            <v>0</v>
          </cell>
          <cell r="J2802">
            <v>28128</v>
          </cell>
          <cell r="K2802">
            <v>0</v>
          </cell>
          <cell r="L2802">
            <v>28128</v>
          </cell>
          <cell r="M2802">
            <v>28128</v>
          </cell>
          <cell r="N2802">
            <v>28113</v>
          </cell>
          <cell r="O2802">
            <v>0</v>
          </cell>
          <cell r="P2802">
            <v>0</v>
          </cell>
          <cell r="Q2802">
            <v>0</v>
          </cell>
          <cell r="R2802">
            <v>0</v>
          </cell>
          <cell r="S2802">
            <v>0</v>
          </cell>
          <cell r="T2802">
            <v>0</v>
          </cell>
          <cell r="U2802">
            <v>0</v>
          </cell>
          <cell r="V2802">
            <v>0</v>
          </cell>
          <cell r="W2802">
            <v>0</v>
          </cell>
        </row>
        <row r="2803">
          <cell r="A2803" t="str">
            <v>454272</v>
          </cell>
          <cell r="B2803" t="str">
            <v>1251</v>
          </cell>
          <cell r="C2803" t="str">
            <v>12</v>
          </cell>
          <cell r="D2803" t="str">
            <v>23</v>
          </cell>
          <cell r="E2803">
            <v>3</v>
          </cell>
          <cell r="G2803">
            <v>0</v>
          </cell>
          <cell r="H2803">
            <v>0</v>
          </cell>
          <cell r="I2803">
            <v>0</v>
          </cell>
          <cell r="J2803">
            <v>58186</v>
          </cell>
          <cell r="K2803">
            <v>0</v>
          </cell>
          <cell r="L2803">
            <v>58186</v>
          </cell>
          <cell r="M2803">
            <v>58186</v>
          </cell>
          <cell r="N2803">
            <v>56795</v>
          </cell>
          <cell r="O2803">
            <v>0</v>
          </cell>
          <cell r="P2803">
            <v>0</v>
          </cell>
          <cell r="Q2803">
            <v>0</v>
          </cell>
          <cell r="R2803">
            <v>0</v>
          </cell>
          <cell r="S2803">
            <v>0</v>
          </cell>
          <cell r="T2803">
            <v>0</v>
          </cell>
          <cell r="U2803">
            <v>0</v>
          </cell>
          <cell r="V2803">
            <v>0</v>
          </cell>
          <cell r="W2803">
            <v>0</v>
          </cell>
        </row>
        <row r="2804">
          <cell r="A2804" t="str">
            <v>454272</v>
          </cell>
          <cell r="B2804" t="str">
            <v>1251</v>
          </cell>
          <cell r="C2804" t="str">
            <v>12</v>
          </cell>
          <cell r="D2804" t="str">
            <v>23</v>
          </cell>
          <cell r="E2804">
            <v>4</v>
          </cell>
          <cell r="G2804">
            <v>0</v>
          </cell>
          <cell r="H2804">
            <v>0</v>
          </cell>
          <cell r="I2804">
            <v>0</v>
          </cell>
          <cell r="J2804">
            <v>100</v>
          </cell>
          <cell r="K2804">
            <v>0</v>
          </cell>
          <cell r="L2804">
            <v>100</v>
          </cell>
          <cell r="M2804">
            <v>100</v>
          </cell>
          <cell r="N2804">
            <v>65</v>
          </cell>
          <cell r="O2804">
            <v>0</v>
          </cell>
          <cell r="P2804">
            <v>0</v>
          </cell>
          <cell r="Q2804">
            <v>0</v>
          </cell>
          <cell r="R2804">
            <v>0</v>
          </cell>
          <cell r="S2804">
            <v>0</v>
          </cell>
          <cell r="T2804">
            <v>0</v>
          </cell>
          <cell r="U2804">
            <v>0</v>
          </cell>
          <cell r="V2804">
            <v>0</v>
          </cell>
          <cell r="W2804">
            <v>0</v>
          </cell>
        </row>
        <row r="2805">
          <cell r="A2805" t="str">
            <v>454272</v>
          </cell>
          <cell r="B2805" t="str">
            <v>1251</v>
          </cell>
          <cell r="C2805" t="str">
            <v>12</v>
          </cell>
          <cell r="D2805" t="str">
            <v>23</v>
          </cell>
          <cell r="E2805">
            <v>5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L2805">
            <v>0</v>
          </cell>
          <cell r="M2805">
            <v>0</v>
          </cell>
          <cell r="N2805">
            <v>0</v>
          </cell>
          <cell r="O2805">
            <v>0</v>
          </cell>
          <cell r="P2805">
            <v>0</v>
          </cell>
          <cell r="Q2805">
            <v>0</v>
          </cell>
          <cell r="R2805">
            <v>0</v>
          </cell>
          <cell r="S2805">
            <v>0</v>
          </cell>
          <cell r="T2805">
            <v>0</v>
          </cell>
          <cell r="U2805">
            <v>0</v>
          </cell>
          <cell r="V2805">
            <v>0</v>
          </cell>
          <cell r="W2805">
            <v>0</v>
          </cell>
        </row>
        <row r="2806">
          <cell r="A2806" t="str">
            <v>454272</v>
          </cell>
          <cell r="B2806" t="str">
            <v>1251</v>
          </cell>
          <cell r="C2806" t="str">
            <v>12</v>
          </cell>
          <cell r="D2806" t="str">
            <v>23</v>
          </cell>
          <cell r="E2806">
            <v>6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L2806">
            <v>0</v>
          </cell>
          <cell r="M2806">
            <v>0</v>
          </cell>
          <cell r="N2806">
            <v>0</v>
          </cell>
          <cell r="O2806">
            <v>0</v>
          </cell>
          <cell r="P2806">
            <v>0</v>
          </cell>
          <cell r="Q2806">
            <v>0</v>
          </cell>
          <cell r="R2806">
            <v>0</v>
          </cell>
          <cell r="S2806">
            <v>0</v>
          </cell>
          <cell r="T2806">
            <v>0</v>
          </cell>
          <cell r="U2806">
            <v>0</v>
          </cell>
          <cell r="V2806">
            <v>0</v>
          </cell>
          <cell r="W2806">
            <v>0</v>
          </cell>
        </row>
        <row r="2807">
          <cell r="A2807" t="str">
            <v>454272</v>
          </cell>
          <cell r="B2807" t="str">
            <v>1251</v>
          </cell>
          <cell r="C2807" t="str">
            <v>12</v>
          </cell>
          <cell r="D2807" t="str">
            <v>23</v>
          </cell>
          <cell r="E2807">
            <v>7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L2807">
            <v>0</v>
          </cell>
          <cell r="M2807">
            <v>0</v>
          </cell>
          <cell r="N2807">
            <v>0</v>
          </cell>
          <cell r="O2807">
            <v>0</v>
          </cell>
          <cell r="P2807">
            <v>0</v>
          </cell>
          <cell r="Q2807">
            <v>0</v>
          </cell>
          <cell r="R2807">
            <v>0</v>
          </cell>
          <cell r="S2807">
            <v>0</v>
          </cell>
          <cell r="T2807">
            <v>0</v>
          </cell>
          <cell r="U2807">
            <v>0</v>
          </cell>
          <cell r="V2807">
            <v>0</v>
          </cell>
          <cell r="W2807">
            <v>0</v>
          </cell>
        </row>
        <row r="2808">
          <cell r="A2808" t="str">
            <v>454272</v>
          </cell>
          <cell r="B2808" t="str">
            <v>1251</v>
          </cell>
          <cell r="C2808" t="str">
            <v>12</v>
          </cell>
          <cell r="D2808" t="str">
            <v>23</v>
          </cell>
          <cell r="E2808">
            <v>8</v>
          </cell>
          <cell r="G2808">
            <v>0</v>
          </cell>
          <cell r="H2808">
            <v>0</v>
          </cell>
          <cell r="I2808">
            <v>0</v>
          </cell>
          <cell r="J2808">
            <v>0</v>
          </cell>
          <cell r="K2808">
            <v>0</v>
          </cell>
          <cell r="L2808">
            <v>0</v>
          </cell>
          <cell r="M2808">
            <v>0</v>
          </cell>
          <cell r="N2808">
            <v>0</v>
          </cell>
          <cell r="O2808">
            <v>0</v>
          </cell>
          <cell r="P2808">
            <v>0</v>
          </cell>
          <cell r="Q2808">
            <v>0</v>
          </cell>
          <cell r="R2808">
            <v>0</v>
          </cell>
          <cell r="S2808">
            <v>0</v>
          </cell>
          <cell r="T2808">
            <v>0</v>
          </cell>
          <cell r="U2808">
            <v>0</v>
          </cell>
          <cell r="V2808">
            <v>0</v>
          </cell>
          <cell r="W2808">
            <v>0</v>
          </cell>
        </row>
        <row r="2809">
          <cell r="A2809" t="str">
            <v>454272</v>
          </cell>
          <cell r="B2809" t="str">
            <v>1251</v>
          </cell>
          <cell r="C2809" t="str">
            <v>12</v>
          </cell>
          <cell r="D2809" t="str">
            <v>23</v>
          </cell>
          <cell r="E2809">
            <v>9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L2809">
            <v>0</v>
          </cell>
          <cell r="M2809">
            <v>0</v>
          </cell>
          <cell r="N2809">
            <v>0</v>
          </cell>
          <cell r="O2809">
            <v>0</v>
          </cell>
          <cell r="P2809">
            <v>0</v>
          </cell>
          <cell r="Q2809">
            <v>0</v>
          </cell>
          <cell r="R2809">
            <v>0</v>
          </cell>
          <cell r="S2809">
            <v>0</v>
          </cell>
          <cell r="T2809">
            <v>0</v>
          </cell>
          <cell r="U2809">
            <v>0</v>
          </cell>
          <cell r="V2809">
            <v>0</v>
          </cell>
          <cell r="W2809">
            <v>0</v>
          </cell>
        </row>
        <row r="2810">
          <cell r="A2810" t="str">
            <v>454272</v>
          </cell>
          <cell r="B2810" t="str">
            <v>1251</v>
          </cell>
          <cell r="C2810" t="str">
            <v>12</v>
          </cell>
          <cell r="D2810" t="str">
            <v>23</v>
          </cell>
          <cell r="E2810">
            <v>10</v>
          </cell>
          <cell r="G2810">
            <v>0</v>
          </cell>
          <cell r="H2810">
            <v>0</v>
          </cell>
          <cell r="I2810">
            <v>0</v>
          </cell>
          <cell r="J2810">
            <v>0</v>
          </cell>
          <cell r="K2810">
            <v>0</v>
          </cell>
          <cell r="L2810">
            <v>0</v>
          </cell>
          <cell r="M2810">
            <v>0</v>
          </cell>
          <cell r="N2810">
            <v>0</v>
          </cell>
          <cell r="O2810">
            <v>0</v>
          </cell>
          <cell r="P2810">
            <v>0</v>
          </cell>
          <cell r="Q2810">
            <v>0</v>
          </cell>
          <cell r="R2810">
            <v>0</v>
          </cell>
          <cell r="S2810">
            <v>0</v>
          </cell>
          <cell r="T2810">
            <v>0</v>
          </cell>
          <cell r="U2810">
            <v>0</v>
          </cell>
          <cell r="V2810">
            <v>0</v>
          </cell>
          <cell r="W2810">
            <v>0</v>
          </cell>
        </row>
        <row r="2811">
          <cell r="A2811" t="str">
            <v>454272</v>
          </cell>
          <cell r="B2811" t="str">
            <v>1251</v>
          </cell>
          <cell r="C2811" t="str">
            <v>12</v>
          </cell>
          <cell r="D2811" t="str">
            <v>23</v>
          </cell>
          <cell r="E2811">
            <v>11</v>
          </cell>
          <cell r="G2811">
            <v>0</v>
          </cell>
          <cell r="H2811">
            <v>0</v>
          </cell>
          <cell r="I2811">
            <v>0</v>
          </cell>
          <cell r="J2811">
            <v>0</v>
          </cell>
          <cell r="K2811">
            <v>0</v>
          </cell>
          <cell r="L2811">
            <v>0</v>
          </cell>
          <cell r="M2811">
            <v>0</v>
          </cell>
          <cell r="N2811">
            <v>0</v>
          </cell>
          <cell r="O2811">
            <v>0</v>
          </cell>
          <cell r="P2811">
            <v>0</v>
          </cell>
          <cell r="Q2811">
            <v>0</v>
          </cell>
          <cell r="R2811">
            <v>0</v>
          </cell>
          <cell r="S2811">
            <v>0</v>
          </cell>
          <cell r="T2811">
            <v>0</v>
          </cell>
          <cell r="U2811">
            <v>0</v>
          </cell>
          <cell r="V2811">
            <v>0</v>
          </cell>
          <cell r="W2811">
            <v>0</v>
          </cell>
        </row>
        <row r="2812">
          <cell r="A2812" t="str">
            <v>454272</v>
          </cell>
          <cell r="B2812" t="str">
            <v>1251</v>
          </cell>
          <cell r="C2812" t="str">
            <v>12</v>
          </cell>
          <cell r="D2812" t="str">
            <v>23</v>
          </cell>
          <cell r="E2812">
            <v>12</v>
          </cell>
          <cell r="G2812">
            <v>0</v>
          </cell>
          <cell r="H2812">
            <v>0</v>
          </cell>
          <cell r="I2812">
            <v>0</v>
          </cell>
          <cell r="J2812">
            <v>174545</v>
          </cell>
          <cell r="K2812">
            <v>0</v>
          </cell>
          <cell r="L2812">
            <v>174545</v>
          </cell>
          <cell r="M2812">
            <v>174545</v>
          </cell>
          <cell r="N2812">
            <v>172727</v>
          </cell>
          <cell r="O2812">
            <v>0</v>
          </cell>
          <cell r="P2812">
            <v>0</v>
          </cell>
          <cell r="Q2812">
            <v>0</v>
          </cell>
          <cell r="R2812">
            <v>0</v>
          </cell>
          <cell r="S2812">
            <v>0</v>
          </cell>
          <cell r="T2812">
            <v>0</v>
          </cell>
          <cell r="U2812">
            <v>0</v>
          </cell>
          <cell r="V2812">
            <v>0</v>
          </cell>
          <cell r="W2812">
            <v>0</v>
          </cell>
        </row>
        <row r="2813">
          <cell r="A2813" t="str">
            <v>454272</v>
          </cell>
          <cell r="B2813" t="str">
            <v>1251</v>
          </cell>
          <cell r="C2813" t="str">
            <v>12</v>
          </cell>
          <cell r="D2813" t="str">
            <v>23</v>
          </cell>
          <cell r="E2813">
            <v>13</v>
          </cell>
          <cell r="G2813">
            <v>0</v>
          </cell>
          <cell r="H2813">
            <v>0</v>
          </cell>
          <cell r="I2813">
            <v>0</v>
          </cell>
          <cell r="J2813">
            <v>9966</v>
          </cell>
          <cell r="K2813">
            <v>0</v>
          </cell>
          <cell r="L2813">
            <v>9966</v>
          </cell>
          <cell r="M2813">
            <v>9966</v>
          </cell>
          <cell r="N2813">
            <v>0</v>
          </cell>
          <cell r="O2813">
            <v>0</v>
          </cell>
          <cell r="P2813">
            <v>0</v>
          </cell>
          <cell r="Q2813">
            <v>0</v>
          </cell>
          <cell r="R2813">
            <v>0</v>
          </cell>
          <cell r="S2813">
            <v>0</v>
          </cell>
          <cell r="T2813">
            <v>0</v>
          </cell>
          <cell r="U2813">
            <v>0</v>
          </cell>
          <cell r="V2813">
            <v>0</v>
          </cell>
          <cell r="W2813">
            <v>0</v>
          </cell>
        </row>
        <row r="2814">
          <cell r="A2814" t="str">
            <v>454272</v>
          </cell>
          <cell r="B2814" t="str">
            <v>1251</v>
          </cell>
          <cell r="C2814" t="str">
            <v>12</v>
          </cell>
          <cell r="D2814" t="str">
            <v>23</v>
          </cell>
          <cell r="E2814">
            <v>14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  <cell r="K2814">
            <v>0</v>
          </cell>
          <cell r="L2814">
            <v>0</v>
          </cell>
          <cell r="M2814">
            <v>0</v>
          </cell>
          <cell r="N2814">
            <v>0</v>
          </cell>
          <cell r="O2814">
            <v>0</v>
          </cell>
          <cell r="P2814">
            <v>0</v>
          </cell>
          <cell r="Q2814">
            <v>0</v>
          </cell>
          <cell r="R2814">
            <v>0</v>
          </cell>
          <cell r="S2814">
            <v>0</v>
          </cell>
          <cell r="T2814">
            <v>0</v>
          </cell>
          <cell r="U2814">
            <v>0</v>
          </cell>
          <cell r="V2814">
            <v>0</v>
          </cell>
          <cell r="W2814">
            <v>0</v>
          </cell>
        </row>
        <row r="2815">
          <cell r="A2815" t="str">
            <v>454272</v>
          </cell>
          <cell r="B2815" t="str">
            <v>1251</v>
          </cell>
          <cell r="C2815" t="str">
            <v>12</v>
          </cell>
          <cell r="D2815" t="str">
            <v>23</v>
          </cell>
          <cell r="E2815">
            <v>15</v>
          </cell>
          <cell r="G2815">
            <v>0</v>
          </cell>
          <cell r="H2815">
            <v>0</v>
          </cell>
          <cell r="I2815">
            <v>0</v>
          </cell>
          <cell r="J2815">
            <v>0</v>
          </cell>
          <cell r="K2815">
            <v>0</v>
          </cell>
          <cell r="L2815">
            <v>0</v>
          </cell>
          <cell r="M2815">
            <v>0</v>
          </cell>
          <cell r="N2815">
            <v>0</v>
          </cell>
          <cell r="O2815">
            <v>0</v>
          </cell>
          <cell r="P2815">
            <v>0</v>
          </cell>
          <cell r="Q2815">
            <v>0</v>
          </cell>
          <cell r="R2815">
            <v>0</v>
          </cell>
          <cell r="S2815">
            <v>0</v>
          </cell>
          <cell r="T2815">
            <v>0</v>
          </cell>
          <cell r="U2815">
            <v>0</v>
          </cell>
          <cell r="V2815">
            <v>0</v>
          </cell>
          <cell r="W2815">
            <v>0</v>
          </cell>
        </row>
        <row r="2816">
          <cell r="A2816" t="str">
            <v>454272</v>
          </cell>
          <cell r="B2816" t="str">
            <v>1251</v>
          </cell>
          <cell r="C2816" t="str">
            <v>12</v>
          </cell>
          <cell r="D2816" t="str">
            <v>23</v>
          </cell>
          <cell r="E2816">
            <v>16</v>
          </cell>
          <cell r="G2816">
            <v>0</v>
          </cell>
          <cell r="H2816">
            <v>0</v>
          </cell>
          <cell r="I2816">
            <v>0</v>
          </cell>
          <cell r="J2816">
            <v>0</v>
          </cell>
          <cell r="K2816">
            <v>0</v>
          </cell>
          <cell r="L2816">
            <v>0</v>
          </cell>
          <cell r="M2816">
            <v>0</v>
          </cell>
          <cell r="N2816">
            <v>0</v>
          </cell>
          <cell r="O2816">
            <v>0</v>
          </cell>
          <cell r="P2816">
            <v>0</v>
          </cell>
          <cell r="Q2816">
            <v>0</v>
          </cell>
          <cell r="R2816">
            <v>0</v>
          </cell>
          <cell r="S2816">
            <v>0</v>
          </cell>
          <cell r="T2816">
            <v>0</v>
          </cell>
          <cell r="U2816">
            <v>0</v>
          </cell>
          <cell r="V2816">
            <v>0</v>
          </cell>
          <cell r="W2816">
            <v>0</v>
          </cell>
        </row>
        <row r="2817">
          <cell r="A2817" t="str">
            <v>454272</v>
          </cell>
          <cell r="B2817" t="str">
            <v>1251</v>
          </cell>
          <cell r="C2817" t="str">
            <v>12</v>
          </cell>
          <cell r="D2817" t="str">
            <v>23</v>
          </cell>
          <cell r="E2817">
            <v>17</v>
          </cell>
          <cell r="G2817">
            <v>0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0</v>
          </cell>
          <cell r="Q2817">
            <v>0</v>
          </cell>
          <cell r="R2817">
            <v>0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</row>
        <row r="2818">
          <cell r="A2818" t="str">
            <v>454272</v>
          </cell>
          <cell r="B2818" t="str">
            <v>1251</v>
          </cell>
          <cell r="C2818" t="str">
            <v>12</v>
          </cell>
          <cell r="D2818" t="str">
            <v>23</v>
          </cell>
          <cell r="E2818">
            <v>18</v>
          </cell>
          <cell r="G2818">
            <v>0</v>
          </cell>
          <cell r="H2818">
            <v>0</v>
          </cell>
          <cell r="I2818">
            <v>0</v>
          </cell>
          <cell r="J2818">
            <v>0</v>
          </cell>
          <cell r="K2818">
            <v>0</v>
          </cell>
          <cell r="L2818">
            <v>0</v>
          </cell>
          <cell r="M2818">
            <v>0</v>
          </cell>
          <cell r="N2818">
            <v>0</v>
          </cell>
          <cell r="O2818">
            <v>0</v>
          </cell>
          <cell r="P2818">
            <v>0</v>
          </cell>
          <cell r="Q2818">
            <v>0</v>
          </cell>
          <cell r="R2818">
            <v>0</v>
          </cell>
          <cell r="S2818">
            <v>0</v>
          </cell>
          <cell r="T2818">
            <v>0</v>
          </cell>
          <cell r="U2818">
            <v>0</v>
          </cell>
          <cell r="V2818">
            <v>0</v>
          </cell>
          <cell r="W2818">
            <v>0</v>
          </cell>
        </row>
        <row r="2819">
          <cell r="A2819" t="str">
            <v>454272</v>
          </cell>
          <cell r="B2819" t="str">
            <v>1251</v>
          </cell>
          <cell r="C2819" t="str">
            <v>12</v>
          </cell>
          <cell r="D2819" t="str">
            <v>23</v>
          </cell>
          <cell r="E2819">
            <v>19</v>
          </cell>
          <cell r="G2819">
            <v>0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  <cell r="L2819">
            <v>0</v>
          </cell>
          <cell r="M2819">
            <v>0</v>
          </cell>
          <cell r="N2819">
            <v>0</v>
          </cell>
          <cell r="O2819">
            <v>0</v>
          </cell>
          <cell r="P2819">
            <v>0</v>
          </cell>
          <cell r="Q2819">
            <v>0</v>
          </cell>
          <cell r="R2819">
            <v>0</v>
          </cell>
          <cell r="S2819">
            <v>0</v>
          </cell>
          <cell r="T2819">
            <v>0</v>
          </cell>
          <cell r="U2819">
            <v>0</v>
          </cell>
          <cell r="V2819">
            <v>0</v>
          </cell>
          <cell r="W2819">
            <v>0</v>
          </cell>
        </row>
        <row r="2820">
          <cell r="A2820" t="str">
            <v>454272</v>
          </cell>
          <cell r="B2820" t="str">
            <v>1251</v>
          </cell>
          <cell r="C2820" t="str">
            <v>12</v>
          </cell>
          <cell r="D2820" t="str">
            <v>23</v>
          </cell>
          <cell r="E2820">
            <v>20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L2820">
            <v>0</v>
          </cell>
          <cell r="M2820">
            <v>0</v>
          </cell>
          <cell r="N2820">
            <v>0</v>
          </cell>
          <cell r="O2820">
            <v>0</v>
          </cell>
          <cell r="P2820">
            <v>0</v>
          </cell>
          <cell r="Q2820">
            <v>0</v>
          </cell>
          <cell r="R2820">
            <v>0</v>
          </cell>
          <cell r="S2820">
            <v>0</v>
          </cell>
          <cell r="T2820">
            <v>0</v>
          </cell>
          <cell r="U2820">
            <v>0</v>
          </cell>
          <cell r="V2820">
            <v>0</v>
          </cell>
          <cell r="W2820">
            <v>0</v>
          </cell>
        </row>
        <row r="2821">
          <cell r="A2821" t="str">
            <v>454272</v>
          </cell>
          <cell r="B2821" t="str">
            <v>1251</v>
          </cell>
          <cell r="C2821" t="str">
            <v>12</v>
          </cell>
          <cell r="D2821" t="str">
            <v>23</v>
          </cell>
          <cell r="E2821">
            <v>21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L2821">
            <v>0</v>
          </cell>
          <cell r="M2821">
            <v>0</v>
          </cell>
          <cell r="N2821">
            <v>0</v>
          </cell>
          <cell r="O2821">
            <v>0</v>
          </cell>
          <cell r="P2821">
            <v>0</v>
          </cell>
          <cell r="Q2821">
            <v>0</v>
          </cell>
          <cell r="R2821">
            <v>0</v>
          </cell>
          <cell r="S2821">
            <v>0</v>
          </cell>
          <cell r="T2821">
            <v>0</v>
          </cell>
          <cell r="U2821">
            <v>0</v>
          </cell>
          <cell r="V2821">
            <v>0</v>
          </cell>
          <cell r="W2821">
            <v>0</v>
          </cell>
        </row>
        <row r="2822">
          <cell r="A2822" t="str">
            <v>454272</v>
          </cell>
          <cell r="B2822" t="str">
            <v>1251</v>
          </cell>
          <cell r="C2822" t="str">
            <v>12</v>
          </cell>
          <cell r="D2822" t="str">
            <v>23</v>
          </cell>
          <cell r="E2822">
            <v>22</v>
          </cell>
          <cell r="G2822">
            <v>0</v>
          </cell>
          <cell r="H2822">
            <v>0</v>
          </cell>
          <cell r="I2822">
            <v>0</v>
          </cell>
          <cell r="J2822">
            <v>9966</v>
          </cell>
          <cell r="K2822">
            <v>0</v>
          </cell>
          <cell r="L2822">
            <v>9966</v>
          </cell>
          <cell r="M2822">
            <v>9966</v>
          </cell>
          <cell r="N2822">
            <v>0</v>
          </cell>
          <cell r="O2822">
            <v>0</v>
          </cell>
          <cell r="P2822">
            <v>0</v>
          </cell>
          <cell r="Q2822">
            <v>0</v>
          </cell>
          <cell r="R2822">
            <v>0</v>
          </cell>
          <cell r="S2822">
            <v>0</v>
          </cell>
          <cell r="T2822">
            <v>0</v>
          </cell>
          <cell r="U2822">
            <v>0</v>
          </cell>
          <cell r="V2822">
            <v>0</v>
          </cell>
          <cell r="W2822">
            <v>0</v>
          </cell>
        </row>
        <row r="2823">
          <cell r="A2823" t="str">
            <v>454272</v>
          </cell>
          <cell r="B2823" t="str">
            <v>1251</v>
          </cell>
          <cell r="C2823" t="str">
            <v>12</v>
          </cell>
          <cell r="D2823" t="str">
            <v>23</v>
          </cell>
          <cell r="E2823">
            <v>23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L2823">
            <v>0</v>
          </cell>
          <cell r="M2823">
            <v>0</v>
          </cell>
          <cell r="N2823">
            <v>0</v>
          </cell>
          <cell r="O2823">
            <v>0</v>
          </cell>
          <cell r="P2823">
            <v>0</v>
          </cell>
          <cell r="Q2823">
            <v>0</v>
          </cell>
          <cell r="R2823">
            <v>0</v>
          </cell>
          <cell r="S2823">
            <v>0</v>
          </cell>
          <cell r="T2823">
            <v>0</v>
          </cell>
          <cell r="U2823">
            <v>0</v>
          </cell>
          <cell r="V2823">
            <v>0</v>
          </cell>
          <cell r="W2823">
            <v>0</v>
          </cell>
        </row>
        <row r="2824">
          <cell r="A2824" t="str">
            <v>454272</v>
          </cell>
          <cell r="B2824" t="str">
            <v>1251</v>
          </cell>
          <cell r="C2824" t="str">
            <v>12</v>
          </cell>
          <cell r="D2824" t="str">
            <v>23</v>
          </cell>
          <cell r="E2824">
            <v>24</v>
          </cell>
          <cell r="G2824">
            <v>0</v>
          </cell>
          <cell r="H2824">
            <v>0</v>
          </cell>
          <cell r="I2824">
            <v>0</v>
          </cell>
          <cell r="J2824">
            <v>0</v>
          </cell>
          <cell r="K2824">
            <v>0</v>
          </cell>
          <cell r="L2824">
            <v>0</v>
          </cell>
          <cell r="M2824">
            <v>0</v>
          </cell>
          <cell r="N2824">
            <v>0</v>
          </cell>
          <cell r="O2824">
            <v>0</v>
          </cell>
          <cell r="P2824">
            <v>0</v>
          </cell>
          <cell r="Q2824">
            <v>0</v>
          </cell>
          <cell r="R2824">
            <v>0</v>
          </cell>
          <cell r="S2824">
            <v>0</v>
          </cell>
          <cell r="T2824">
            <v>0</v>
          </cell>
          <cell r="U2824">
            <v>0</v>
          </cell>
          <cell r="V2824">
            <v>0</v>
          </cell>
          <cell r="W2824">
            <v>0</v>
          </cell>
        </row>
        <row r="2825">
          <cell r="A2825" t="str">
            <v>454272</v>
          </cell>
          <cell r="B2825" t="str">
            <v>1251</v>
          </cell>
          <cell r="C2825" t="str">
            <v>12</v>
          </cell>
          <cell r="D2825" t="str">
            <v>23</v>
          </cell>
          <cell r="E2825">
            <v>25</v>
          </cell>
          <cell r="G2825">
            <v>0</v>
          </cell>
          <cell r="H2825">
            <v>0</v>
          </cell>
          <cell r="I2825">
            <v>0</v>
          </cell>
          <cell r="J2825">
            <v>0</v>
          </cell>
          <cell r="K2825">
            <v>0</v>
          </cell>
          <cell r="L2825">
            <v>0</v>
          </cell>
          <cell r="M2825">
            <v>0</v>
          </cell>
          <cell r="N2825">
            <v>0</v>
          </cell>
          <cell r="O2825">
            <v>0</v>
          </cell>
          <cell r="P2825">
            <v>0</v>
          </cell>
          <cell r="Q2825">
            <v>0</v>
          </cell>
          <cell r="R2825">
            <v>0</v>
          </cell>
          <cell r="S2825">
            <v>0</v>
          </cell>
          <cell r="T2825">
            <v>0</v>
          </cell>
          <cell r="U2825">
            <v>0</v>
          </cell>
          <cell r="V2825">
            <v>0</v>
          </cell>
          <cell r="W2825">
            <v>0</v>
          </cell>
        </row>
        <row r="2826">
          <cell r="A2826" t="str">
            <v>454272</v>
          </cell>
          <cell r="B2826" t="str">
            <v>1251</v>
          </cell>
          <cell r="C2826" t="str">
            <v>12</v>
          </cell>
          <cell r="D2826" t="str">
            <v>23</v>
          </cell>
          <cell r="E2826">
            <v>26</v>
          </cell>
          <cell r="G2826">
            <v>0</v>
          </cell>
          <cell r="H2826">
            <v>0</v>
          </cell>
          <cell r="I2826">
            <v>0</v>
          </cell>
          <cell r="J2826">
            <v>184511</v>
          </cell>
          <cell r="K2826">
            <v>0</v>
          </cell>
          <cell r="L2826">
            <v>184511</v>
          </cell>
          <cell r="M2826">
            <v>184511</v>
          </cell>
          <cell r="N2826">
            <v>172727</v>
          </cell>
          <cell r="O2826">
            <v>0</v>
          </cell>
          <cell r="P2826">
            <v>0</v>
          </cell>
          <cell r="Q2826">
            <v>0</v>
          </cell>
          <cell r="R2826">
            <v>0</v>
          </cell>
          <cell r="S2826">
            <v>0</v>
          </cell>
          <cell r="T2826">
            <v>0</v>
          </cell>
          <cell r="U2826">
            <v>0</v>
          </cell>
          <cell r="V2826">
            <v>0</v>
          </cell>
          <cell r="W2826">
            <v>0</v>
          </cell>
        </row>
        <row r="2827">
          <cell r="A2827" t="str">
            <v>454272</v>
          </cell>
          <cell r="B2827" t="str">
            <v>1251</v>
          </cell>
          <cell r="C2827" t="str">
            <v>12</v>
          </cell>
          <cell r="D2827" t="str">
            <v>23</v>
          </cell>
          <cell r="E2827">
            <v>27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L2827">
            <v>0</v>
          </cell>
          <cell r="M2827">
            <v>0</v>
          </cell>
          <cell r="N2827">
            <v>0</v>
          </cell>
          <cell r="O2827">
            <v>0</v>
          </cell>
          <cell r="P2827">
            <v>0</v>
          </cell>
          <cell r="Q2827">
            <v>0</v>
          </cell>
          <cell r="R2827">
            <v>0</v>
          </cell>
          <cell r="S2827">
            <v>0</v>
          </cell>
          <cell r="T2827">
            <v>0</v>
          </cell>
          <cell r="U2827">
            <v>0</v>
          </cell>
          <cell r="V2827">
            <v>0</v>
          </cell>
          <cell r="W2827">
            <v>0</v>
          </cell>
        </row>
        <row r="2828">
          <cell r="A2828" t="str">
            <v>454272</v>
          </cell>
          <cell r="B2828" t="str">
            <v>1251</v>
          </cell>
          <cell r="C2828" t="str">
            <v>12</v>
          </cell>
          <cell r="D2828" t="str">
            <v>23</v>
          </cell>
          <cell r="E2828">
            <v>28</v>
          </cell>
          <cell r="G2828">
            <v>0</v>
          </cell>
          <cell r="H2828">
            <v>0</v>
          </cell>
          <cell r="I2828">
            <v>0</v>
          </cell>
          <cell r="J2828">
            <v>0</v>
          </cell>
          <cell r="K2828">
            <v>0</v>
          </cell>
          <cell r="L2828">
            <v>0</v>
          </cell>
          <cell r="M2828">
            <v>0</v>
          </cell>
          <cell r="N2828">
            <v>1824</v>
          </cell>
          <cell r="O2828">
            <v>0</v>
          </cell>
          <cell r="P2828">
            <v>0</v>
          </cell>
          <cell r="Q2828">
            <v>0</v>
          </cell>
          <cell r="R2828">
            <v>0</v>
          </cell>
          <cell r="S2828">
            <v>0</v>
          </cell>
          <cell r="T2828">
            <v>0</v>
          </cell>
          <cell r="U2828">
            <v>0</v>
          </cell>
          <cell r="V2828">
            <v>0</v>
          </cell>
          <cell r="W2828">
            <v>0</v>
          </cell>
        </row>
        <row r="2829">
          <cell r="A2829" t="str">
            <v>454272</v>
          </cell>
          <cell r="B2829" t="str">
            <v>1251</v>
          </cell>
          <cell r="C2829" t="str">
            <v>12</v>
          </cell>
          <cell r="D2829" t="str">
            <v>23</v>
          </cell>
          <cell r="E2829">
            <v>29</v>
          </cell>
          <cell r="G2829">
            <v>0</v>
          </cell>
          <cell r="H2829">
            <v>0</v>
          </cell>
          <cell r="I2829">
            <v>0</v>
          </cell>
          <cell r="J2829">
            <v>184511</v>
          </cell>
          <cell r="K2829">
            <v>0</v>
          </cell>
          <cell r="L2829">
            <v>184511</v>
          </cell>
          <cell r="M2829">
            <v>184511</v>
          </cell>
          <cell r="N2829">
            <v>174551</v>
          </cell>
          <cell r="O2829">
            <v>0</v>
          </cell>
          <cell r="P2829">
            <v>0</v>
          </cell>
          <cell r="Q2829">
            <v>0</v>
          </cell>
          <cell r="R2829">
            <v>0</v>
          </cell>
          <cell r="S2829">
            <v>0</v>
          </cell>
          <cell r="T2829">
            <v>0</v>
          </cell>
          <cell r="U2829">
            <v>0</v>
          </cell>
          <cell r="V2829">
            <v>0</v>
          </cell>
          <cell r="W2829">
            <v>0</v>
          </cell>
        </row>
        <row r="2830">
          <cell r="A2830" t="str">
            <v>454272</v>
          </cell>
          <cell r="B2830" t="str">
            <v>1251</v>
          </cell>
          <cell r="C2830" t="str">
            <v>12</v>
          </cell>
          <cell r="D2830" t="str">
            <v>23</v>
          </cell>
          <cell r="E2830">
            <v>30</v>
          </cell>
          <cell r="G2830">
            <v>0</v>
          </cell>
          <cell r="H2830">
            <v>0</v>
          </cell>
          <cell r="I2830">
            <v>0</v>
          </cell>
          <cell r="J2830">
            <v>30454</v>
          </cell>
          <cell r="K2830">
            <v>0</v>
          </cell>
          <cell r="L2830">
            <v>30454</v>
          </cell>
          <cell r="M2830">
            <v>30454</v>
          </cell>
          <cell r="N2830">
            <v>42283</v>
          </cell>
          <cell r="O2830">
            <v>0</v>
          </cell>
          <cell r="P2830">
            <v>0</v>
          </cell>
          <cell r="Q2830">
            <v>0</v>
          </cell>
          <cell r="R2830">
            <v>0</v>
          </cell>
          <cell r="S2830">
            <v>0</v>
          </cell>
          <cell r="T2830">
            <v>0</v>
          </cell>
          <cell r="U2830">
            <v>0</v>
          </cell>
          <cell r="V2830">
            <v>0</v>
          </cell>
          <cell r="W2830">
            <v>0</v>
          </cell>
        </row>
        <row r="2831">
          <cell r="A2831" t="str">
            <v>454272</v>
          </cell>
          <cell r="B2831" t="str">
            <v>1251</v>
          </cell>
          <cell r="C2831" t="str">
            <v>12</v>
          </cell>
          <cell r="D2831" t="str">
            <v>23</v>
          </cell>
          <cell r="E2831">
            <v>31</v>
          </cell>
          <cell r="G2831">
            <v>0</v>
          </cell>
          <cell r="H2831">
            <v>0</v>
          </cell>
          <cell r="I2831">
            <v>0</v>
          </cell>
          <cell r="J2831">
            <v>8887</v>
          </cell>
          <cell r="K2831">
            <v>0</v>
          </cell>
          <cell r="L2831">
            <v>8887</v>
          </cell>
          <cell r="M2831">
            <v>8887</v>
          </cell>
          <cell r="N2831">
            <v>7687</v>
          </cell>
          <cell r="O2831">
            <v>0</v>
          </cell>
          <cell r="P2831">
            <v>0</v>
          </cell>
          <cell r="Q2831">
            <v>0</v>
          </cell>
          <cell r="R2831">
            <v>0</v>
          </cell>
          <cell r="S2831">
            <v>0</v>
          </cell>
          <cell r="T2831">
            <v>0</v>
          </cell>
          <cell r="U2831">
            <v>0</v>
          </cell>
          <cell r="V2831">
            <v>0</v>
          </cell>
          <cell r="W2831">
            <v>0</v>
          </cell>
        </row>
        <row r="2832">
          <cell r="A2832" t="str">
            <v>454272</v>
          </cell>
          <cell r="B2832" t="str">
            <v>1251</v>
          </cell>
          <cell r="C2832" t="str">
            <v>12</v>
          </cell>
          <cell r="D2832" t="str">
            <v>23</v>
          </cell>
          <cell r="E2832">
            <v>32</v>
          </cell>
          <cell r="G2832">
            <v>0</v>
          </cell>
          <cell r="H2832">
            <v>0</v>
          </cell>
          <cell r="I2832">
            <v>0</v>
          </cell>
          <cell r="J2832">
            <v>0</v>
          </cell>
          <cell r="K2832">
            <v>0</v>
          </cell>
          <cell r="L2832">
            <v>0</v>
          </cell>
          <cell r="M2832">
            <v>0</v>
          </cell>
          <cell r="N2832">
            <v>0</v>
          </cell>
          <cell r="O2832">
            <v>0</v>
          </cell>
          <cell r="P2832">
            <v>0</v>
          </cell>
          <cell r="Q2832">
            <v>0</v>
          </cell>
          <cell r="R2832">
            <v>0</v>
          </cell>
          <cell r="S2832">
            <v>0</v>
          </cell>
          <cell r="T2832">
            <v>0</v>
          </cell>
          <cell r="U2832">
            <v>0</v>
          </cell>
          <cell r="V2832">
            <v>0</v>
          </cell>
          <cell r="W2832">
            <v>0</v>
          </cell>
        </row>
        <row r="2833">
          <cell r="A2833" t="str">
            <v>454272</v>
          </cell>
          <cell r="B2833" t="str">
            <v>1251</v>
          </cell>
          <cell r="C2833" t="str">
            <v>12</v>
          </cell>
          <cell r="D2833" t="str">
            <v>23</v>
          </cell>
          <cell r="E2833">
            <v>33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L2833">
            <v>0</v>
          </cell>
          <cell r="M2833">
            <v>0</v>
          </cell>
          <cell r="N2833">
            <v>0</v>
          </cell>
          <cell r="O2833">
            <v>0</v>
          </cell>
          <cell r="P2833">
            <v>0</v>
          </cell>
          <cell r="Q2833">
            <v>0</v>
          </cell>
          <cell r="R2833">
            <v>0</v>
          </cell>
          <cell r="S2833">
            <v>0</v>
          </cell>
          <cell r="T2833">
            <v>0</v>
          </cell>
          <cell r="U2833">
            <v>0</v>
          </cell>
          <cell r="V2833">
            <v>0</v>
          </cell>
          <cell r="W2833">
            <v>0</v>
          </cell>
        </row>
        <row r="2834">
          <cell r="A2834" t="str">
            <v>454272</v>
          </cell>
          <cell r="B2834" t="str">
            <v>1251</v>
          </cell>
          <cell r="C2834" t="str">
            <v>12</v>
          </cell>
          <cell r="D2834" t="str">
            <v>23</v>
          </cell>
          <cell r="E2834">
            <v>34</v>
          </cell>
          <cell r="G2834">
            <v>0</v>
          </cell>
          <cell r="H2834">
            <v>0</v>
          </cell>
          <cell r="I2834">
            <v>0</v>
          </cell>
          <cell r="J2834">
            <v>145170</v>
          </cell>
          <cell r="K2834">
            <v>0</v>
          </cell>
          <cell r="L2834">
            <v>145170</v>
          </cell>
          <cell r="M2834">
            <v>145170</v>
          </cell>
          <cell r="N2834">
            <v>145099</v>
          </cell>
          <cell r="O2834">
            <v>0</v>
          </cell>
          <cell r="P2834">
            <v>0</v>
          </cell>
          <cell r="Q2834">
            <v>0</v>
          </cell>
          <cell r="R2834">
            <v>0</v>
          </cell>
          <cell r="S2834">
            <v>0</v>
          </cell>
          <cell r="T2834">
            <v>0</v>
          </cell>
          <cell r="U2834">
            <v>0</v>
          </cell>
          <cell r="V2834">
            <v>0</v>
          </cell>
          <cell r="W2834">
            <v>0</v>
          </cell>
        </row>
        <row r="2835">
          <cell r="A2835" t="str">
            <v>454272</v>
          </cell>
          <cell r="B2835" t="str">
            <v>1251</v>
          </cell>
          <cell r="C2835" t="str">
            <v>12</v>
          </cell>
          <cell r="D2835" t="str">
            <v>23</v>
          </cell>
          <cell r="E2835">
            <v>35</v>
          </cell>
          <cell r="G2835">
            <v>0</v>
          </cell>
          <cell r="H2835">
            <v>0</v>
          </cell>
          <cell r="I2835">
            <v>0</v>
          </cell>
          <cell r="J2835">
            <v>0</v>
          </cell>
          <cell r="K2835">
            <v>0</v>
          </cell>
          <cell r="L2835">
            <v>0</v>
          </cell>
          <cell r="M2835">
            <v>0</v>
          </cell>
          <cell r="N2835">
            <v>0</v>
          </cell>
          <cell r="O2835">
            <v>0</v>
          </cell>
          <cell r="P2835">
            <v>0</v>
          </cell>
          <cell r="Q2835">
            <v>0</v>
          </cell>
          <cell r="R2835">
            <v>0</v>
          </cell>
          <cell r="S2835">
            <v>0</v>
          </cell>
          <cell r="T2835">
            <v>0</v>
          </cell>
          <cell r="U2835">
            <v>0</v>
          </cell>
          <cell r="V2835">
            <v>0</v>
          </cell>
          <cell r="W2835">
            <v>0</v>
          </cell>
        </row>
        <row r="2836">
          <cell r="A2836" t="str">
            <v>454272</v>
          </cell>
          <cell r="B2836" t="str">
            <v>1251</v>
          </cell>
          <cell r="C2836" t="str">
            <v>12</v>
          </cell>
          <cell r="D2836" t="str">
            <v>23</v>
          </cell>
          <cell r="E2836">
            <v>36</v>
          </cell>
          <cell r="G2836">
            <v>0</v>
          </cell>
          <cell r="H2836">
            <v>0</v>
          </cell>
          <cell r="I2836">
            <v>0</v>
          </cell>
          <cell r="J2836">
            <v>184511</v>
          </cell>
          <cell r="K2836">
            <v>0</v>
          </cell>
          <cell r="L2836">
            <v>184511</v>
          </cell>
          <cell r="M2836">
            <v>184511</v>
          </cell>
          <cell r="N2836">
            <v>195069</v>
          </cell>
          <cell r="O2836">
            <v>0</v>
          </cell>
          <cell r="P2836">
            <v>0</v>
          </cell>
          <cell r="Q2836">
            <v>0</v>
          </cell>
          <cell r="R2836">
            <v>0</v>
          </cell>
          <cell r="S2836">
            <v>0</v>
          </cell>
          <cell r="T2836">
            <v>0</v>
          </cell>
          <cell r="U2836">
            <v>0</v>
          </cell>
          <cell r="V2836">
            <v>0</v>
          </cell>
          <cell r="W2836">
            <v>0</v>
          </cell>
        </row>
        <row r="2837">
          <cell r="A2837" t="str">
            <v>454272</v>
          </cell>
          <cell r="B2837" t="str">
            <v>1251</v>
          </cell>
          <cell r="C2837" t="str">
            <v>12</v>
          </cell>
          <cell r="D2837" t="str">
            <v>23</v>
          </cell>
          <cell r="E2837">
            <v>37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L2837">
            <v>0</v>
          </cell>
          <cell r="M2837">
            <v>0</v>
          </cell>
          <cell r="N2837">
            <v>0</v>
          </cell>
          <cell r="O2837">
            <v>0</v>
          </cell>
          <cell r="P2837">
            <v>0</v>
          </cell>
          <cell r="Q2837">
            <v>0</v>
          </cell>
          <cell r="R2837">
            <v>0</v>
          </cell>
          <cell r="S2837">
            <v>0</v>
          </cell>
          <cell r="T2837">
            <v>0</v>
          </cell>
          <cell r="U2837">
            <v>0</v>
          </cell>
          <cell r="V2837">
            <v>0</v>
          </cell>
          <cell r="W2837">
            <v>0</v>
          </cell>
        </row>
        <row r="2838">
          <cell r="A2838" t="str">
            <v>454272</v>
          </cell>
          <cell r="B2838" t="str">
            <v>1251</v>
          </cell>
          <cell r="C2838" t="str">
            <v>12</v>
          </cell>
          <cell r="D2838" t="str">
            <v>23</v>
          </cell>
          <cell r="E2838">
            <v>38</v>
          </cell>
          <cell r="G2838">
            <v>0</v>
          </cell>
          <cell r="H2838">
            <v>0</v>
          </cell>
          <cell r="I2838">
            <v>0</v>
          </cell>
          <cell r="J2838">
            <v>0</v>
          </cell>
          <cell r="K2838">
            <v>0</v>
          </cell>
          <cell r="L2838">
            <v>0</v>
          </cell>
          <cell r="M2838">
            <v>0</v>
          </cell>
          <cell r="N2838">
            <v>664</v>
          </cell>
          <cell r="O2838">
            <v>0</v>
          </cell>
          <cell r="P2838">
            <v>0</v>
          </cell>
          <cell r="Q2838">
            <v>0</v>
          </cell>
          <cell r="R2838">
            <v>0</v>
          </cell>
          <cell r="S2838">
            <v>0</v>
          </cell>
          <cell r="T2838">
            <v>0</v>
          </cell>
          <cell r="U2838">
            <v>0</v>
          </cell>
          <cell r="V2838">
            <v>0</v>
          </cell>
          <cell r="W2838">
            <v>0</v>
          </cell>
        </row>
        <row r="2839">
          <cell r="A2839" t="str">
            <v>454272</v>
          </cell>
          <cell r="B2839" t="str">
            <v>1251</v>
          </cell>
          <cell r="C2839" t="str">
            <v>12</v>
          </cell>
          <cell r="D2839" t="str">
            <v>23</v>
          </cell>
          <cell r="E2839">
            <v>39</v>
          </cell>
          <cell r="G2839">
            <v>0</v>
          </cell>
          <cell r="H2839">
            <v>0</v>
          </cell>
          <cell r="I2839">
            <v>0</v>
          </cell>
          <cell r="J2839">
            <v>184511</v>
          </cell>
          <cell r="K2839">
            <v>0</v>
          </cell>
          <cell r="L2839">
            <v>184511</v>
          </cell>
          <cell r="M2839">
            <v>184511</v>
          </cell>
          <cell r="N2839">
            <v>195733</v>
          </cell>
          <cell r="O2839">
            <v>0</v>
          </cell>
          <cell r="P2839">
            <v>0</v>
          </cell>
          <cell r="Q2839">
            <v>0</v>
          </cell>
          <cell r="R2839">
            <v>0</v>
          </cell>
          <cell r="S2839">
            <v>0</v>
          </cell>
          <cell r="T2839">
            <v>0</v>
          </cell>
          <cell r="U2839">
            <v>0</v>
          </cell>
          <cell r="V2839">
            <v>0</v>
          </cell>
          <cell r="W2839">
            <v>0</v>
          </cell>
        </row>
        <row r="2840">
          <cell r="A2840" t="str">
            <v>454272</v>
          </cell>
          <cell r="B2840" t="str">
            <v>1251</v>
          </cell>
          <cell r="C2840" t="str">
            <v>12</v>
          </cell>
          <cell r="D2840" t="str">
            <v>24</v>
          </cell>
          <cell r="E2840">
            <v>1</v>
          </cell>
          <cell r="G2840">
            <v>0</v>
          </cell>
          <cell r="H2840">
            <v>0</v>
          </cell>
          <cell r="I2840">
            <v>0</v>
          </cell>
          <cell r="J2840">
            <v>0</v>
          </cell>
          <cell r="K2840">
            <v>0</v>
          </cell>
          <cell r="L2840">
            <v>195733</v>
          </cell>
          <cell r="M2840">
            <v>174551</v>
          </cell>
          <cell r="N2840">
            <v>20861</v>
          </cell>
          <cell r="O2840">
            <v>0</v>
          </cell>
          <cell r="P2840">
            <v>321</v>
          </cell>
          <cell r="Q2840">
            <v>0</v>
          </cell>
          <cell r="R2840">
            <v>21182</v>
          </cell>
          <cell r="S2840">
            <v>0</v>
          </cell>
          <cell r="T2840">
            <v>0</v>
          </cell>
          <cell r="U2840">
            <v>0</v>
          </cell>
          <cell r="V2840">
            <v>0</v>
          </cell>
          <cell r="W2840">
            <v>0</v>
          </cell>
        </row>
        <row r="2841">
          <cell r="A2841" t="str">
            <v>454272</v>
          </cell>
          <cell r="B2841" t="str">
            <v>1251</v>
          </cell>
          <cell r="C2841" t="str">
            <v>12</v>
          </cell>
          <cell r="D2841" t="str">
            <v>29</v>
          </cell>
          <cell r="E2841">
            <v>1</v>
          </cell>
          <cell r="G2841">
            <v>0</v>
          </cell>
          <cell r="H2841">
            <v>20861</v>
          </cell>
          <cell r="I2841">
            <v>0</v>
          </cell>
          <cell r="J2841">
            <v>321</v>
          </cell>
          <cell r="K2841">
            <v>0</v>
          </cell>
          <cell r="L2841">
            <v>21182</v>
          </cell>
          <cell r="M2841">
            <v>0</v>
          </cell>
          <cell r="N2841">
            <v>0</v>
          </cell>
          <cell r="O2841">
            <v>0</v>
          </cell>
          <cell r="P2841">
            <v>0</v>
          </cell>
          <cell r="Q2841">
            <v>0</v>
          </cell>
          <cell r="R2841">
            <v>1584</v>
          </cell>
          <cell r="S2841">
            <v>0</v>
          </cell>
          <cell r="T2841">
            <v>151</v>
          </cell>
          <cell r="U2841">
            <v>0</v>
          </cell>
          <cell r="V2841">
            <v>240</v>
          </cell>
          <cell r="W2841">
            <v>0</v>
          </cell>
        </row>
        <row r="2842">
          <cell r="A2842" t="str">
            <v>454272</v>
          </cell>
          <cell r="B2842" t="str">
            <v>1251</v>
          </cell>
          <cell r="C2842" t="str">
            <v>12</v>
          </cell>
          <cell r="D2842" t="str">
            <v>29</v>
          </cell>
          <cell r="E2842">
            <v>9</v>
          </cell>
          <cell r="G2842">
            <v>0</v>
          </cell>
          <cell r="H2842">
            <v>513</v>
          </cell>
          <cell r="I2842">
            <v>0</v>
          </cell>
          <cell r="J2842">
            <v>1160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22342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71</v>
          </cell>
          <cell r="W2842">
            <v>0</v>
          </cell>
        </row>
        <row r="2843">
          <cell r="A2843" t="str">
            <v>454272</v>
          </cell>
          <cell r="B2843" t="str">
            <v>1251</v>
          </cell>
          <cell r="C2843" t="str">
            <v>12</v>
          </cell>
          <cell r="D2843" t="str">
            <v>29</v>
          </cell>
          <cell r="E2843">
            <v>17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L2843">
            <v>22413</v>
          </cell>
          <cell r="M2843">
            <v>0</v>
          </cell>
          <cell r="N2843">
            <v>0</v>
          </cell>
          <cell r="O2843">
            <v>0</v>
          </cell>
          <cell r="P2843">
            <v>0</v>
          </cell>
          <cell r="Q2843">
            <v>0</v>
          </cell>
          <cell r="R2843">
            <v>22413</v>
          </cell>
          <cell r="S2843">
            <v>0</v>
          </cell>
          <cell r="T2843">
            <v>0</v>
          </cell>
          <cell r="U2843">
            <v>0</v>
          </cell>
          <cell r="V2843">
            <v>22413</v>
          </cell>
          <cell r="W2843">
            <v>0</v>
          </cell>
        </row>
        <row r="2844">
          <cell r="A2844" t="str">
            <v>454272</v>
          </cell>
          <cell r="B2844" t="str">
            <v>1251</v>
          </cell>
          <cell r="C2844" t="str">
            <v>12</v>
          </cell>
          <cell r="D2844" t="str">
            <v>29</v>
          </cell>
          <cell r="E2844">
            <v>25</v>
          </cell>
          <cell r="G2844">
            <v>0</v>
          </cell>
          <cell r="H2844">
            <v>0</v>
          </cell>
          <cell r="I2844">
            <v>0</v>
          </cell>
          <cell r="J2844">
            <v>44826</v>
          </cell>
          <cell r="K2844">
            <v>0</v>
          </cell>
          <cell r="L2844">
            <v>0</v>
          </cell>
          <cell r="M2844">
            <v>0</v>
          </cell>
          <cell r="N2844">
            <v>0</v>
          </cell>
          <cell r="O2844">
            <v>0</v>
          </cell>
          <cell r="P2844">
            <v>0</v>
          </cell>
          <cell r="Q2844">
            <v>0</v>
          </cell>
          <cell r="R2844">
            <v>0</v>
          </cell>
          <cell r="S2844">
            <v>0</v>
          </cell>
          <cell r="T2844">
            <v>0</v>
          </cell>
          <cell r="U2844">
            <v>0</v>
          </cell>
          <cell r="V2844">
            <v>0</v>
          </cell>
          <cell r="W2844">
            <v>0</v>
          </cell>
        </row>
        <row r="2845">
          <cell r="A2845" t="str">
            <v>454272</v>
          </cell>
          <cell r="B2845" t="str">
            <v>1251</v>
          </cell>
          <cell r="C2845" t="str">
            <v>12</v>
          </cell>
          <cell r="D2845" t="str">
            <v>34</v>
          </cell>
          <cell r="E2845">
            <v>0</v>
          </cell>
          <cell r="G2845">
            <v>84</v>
          </cell>
          <cell r="H2845">
            <v>765</v>
          </cell>
          <cell r="I2845">
            <v>0</v>
          </cell>
          <cell r="J2845">
            <v>0</v>
          </cell>
          <cell r="K2845">
            <v>240</v>
          </cell>
          <cell r="L2845">
            <v>0</v>
          </cell>
          <cell r="M2845">
            <v>0</v>
          </cell>
          <cell r="N2845">
            <v>0</v>
          </cell>
          <cell r="O2845">
            <v>1005</v>
          </cell>
          <cell r="P2845">
            <v>210</v>
          </cell>
          <cell r="Q2845">
            <v>1</v>
          </cell>
          <cell r="R2845">
            <v>0</v>
          </cell>
          <cell r="S2845">
            <v>0</v>
          </cell>
          <cell r="T2845">
            <v>0</v>
          </cell>
          <cell r="U2845">
            <v>0</v>
          </cell>
          <cell r="V2845">
            <v>0</v>
          </cell>
          <cell r="W2845">
            <v>0</v>
          </cell>
        </row>
        <row r="2846">
          <cell r="A2846" t="str">
            <v>454272</v>
          </cell>
          <cell r="B2846" t="str">
            <v>1251</v>
          </cell>
          <cell r="C2846" t="str">
            <v>12</v>
          </cell>
          <cell r="D2846" t="str">
            <v>34</v>
          </cell>
          <cell r="E2846">
            <v>0</v>
          </cell>
          <cell r="G2846">
            <v>89</v>
          </cell>
          <cell r="H2846">
            <v>6152</v>
          </cell>
          <cell r="I2846">
            <v>0</v>
          </cell>
          <cell r="J2846">
            <v>0</v>
          </cell>
          <cell r="K2846">
            <v>1211</v>
          </cell>
          <cell r="L2846">
            <v>0</v>
          </cell>
          <cell r="M2846">
            <v>0</v>
          </cell>
          <cell r="N2846">
            <v>0</v>
          </cell>
          <cell r="O2846">
            <v>7363</v>
          </cell>
          <cell r="P2846">
            <v>769</v>
          </cell>
          <cell r="Q2846">
            <v>12</v>
          </cell>
          <cell r="R2846">
            <v>0</v>
          </cell>
          <cell r="S2846">
            <v>0</v>
          </cell>
          <cell r="T2846">
            <v>0</v>
          </cell>
          <cell r="U2846">
            <v>0</v>
          </cell>
          <cell r="V2846">
            <v>0</v>
          </cell>
          <cell r="W2846">
            <v>0</v>
          </cell>
        </row>
        <row r="2847">
          <cell r="A2847" t="str">
            <v>454272</v>
          </cell>
          <cell r="B2847" t="str">
            <v>1251</v>
          </cell>
          <cell r="C2847" t="str">
            <v>12</v>
          </cell>
          <cell r="D2847" t="str">
            <v>34</v>
          </cell>
          <cell r="E2847">
            <v>0</v>
          </cell>
          <cell r="G2847">
            <v>90</v>
          </cell>
          <cell r="H2847">
            <v>912</v>
          </cell>
          <cell r="I2847">
            <v>0</v>
          </cell>
          <cell r="J2847">
            <v>0</v>
          </cell>
          <cell r="K2847">
            <v>79</v>
          </cell>
          <cell r="L2847">
            <v>0</v>
          </cell>
          <cell r="M2847">
            <v>0</v>
          </cell>
          <cell r="N2847">
            <v>0</v>
          </cell>
          <cell r="O2847">
            <v>991</v>
          </cell>
          <cell r="P2847">
            <v>257</v>
          </cell>
          <cell r="Q2847">
            <v>1</v>
          </cell>
          <cell r="R2847">
            <v>0</v>
          </cell>
          <cell r="S2847">
            <v>0</v>
          </cell>
          <cell r="T2847">
            <v>0</v>
          </cell>
          <cell r="U2847">
            <v>0</v>
          </cell>
          <cell r="V2847">
            <v>0</v>
          </cell>
          <cell r="W2847">
            <v>0</v>
          </cell>
        </row>
        <row r="2848">
          <cell r="A2848" t="str">
            <v>454272</v>
          </cell>
          <cell r="B2848" t="str">
            <v>1251</v>
          </cell>
          <cell r="C2848" t="str">
            <v>12</v>
          </cell>
          <cell r="D2848" t="str">
            <v>34</v>
          </cell>
          <cell r="E2848">
            <v>0</v>
          </cell>
          <cell r="G2848">
            <v>92</v>
          </cell>
          <cell r="H2848">
            <v>501</v>
          </cell>
          <cell r="I2848">
            <v>0</v>
          </cell>
          <cell r="J2848">
            <v>0</v>
          </cell>
          <cell r="K2848">
            <v>39</v>
          </cell>
          <cell r="L2848">
            <v>19</v>
          </cell>
          <cell r="M2848">
            <v>0</v>
          </cell>
          <cell r="N2848">
            <v>0</v>
          </cell>
          <cell r="O2848">
            <v>559</v>
          </cell>
          <cell r="P2848">
            <v>47</v>
          </cell>
          <cell r="Q2848">
            <v>1</v>
          </cell>
          <cell r="R2848">
            <v>0</v>
          </cell>
          <cell r="S2848">
            <v>0</v>
          </cell>
          <cell r="T2848">
            <v>0</v>
          </cell>
          <cell r="U2848">
            <v>0</v>
          </cell>
          <cell r="V2848">
            <v>0</v>
          </cell>
          <cell r="W2848">
            <v>0</v>
          </cell>
        </row>
        <row r="2849">
          <cell r="A2849" t="str">
            <v>454272</v>
          </cell>
          <cell r="B2849" t="str">
            <v>1251</v>
          </cell>
          <cell r="C2849" t="str">
            <v>12</v>
          </cell>
          <cell r="D2849" t="str">
            <v>34</v>
          </cell>
          <cell r="E2849">
            <v>0</v>
          </cell>
          <cell r="G2849">
            <v>94</v>
          </cell>
          <cell r="H2849">
            <v>2459</v>
          </cell>
          <cell r="I2849">
            <v>0</v>
          </cell>
          <cell r="J2849">
            <v>0</v>
          </cell>
          <cell r="K2849">
            <v>0</v>
          </cell>
          <cell r="L2849">
            <v>0</v>
          </cell>
          <cell r="M2849">
            <v>0</v>
          </cell>
          <cell r="N2849">
            <v>0</v>
          </cell>
          <cell r="O2849">
            <v>2459</v>
          </cell>
          <cell r="P2849">
            <v>10</v>
          </cell>
          <cell r="Q2849">
            <v>11</v>
          </cell>
          <cell r="R2849">
            <v>0</v>
          </cell>
          <cell r="S2849">
            <v>0</v>
          </cell>
          <cell r="T2849">
            <v>0</v>
          </cell>
          <cell r="U2849">
            <v>0</v>
          </cell>
          <cell r="V2849">
            <v>0</v>
          </cell>
          <cell r="W2849">
            <v>0</v>
          </cell>
        </row>
        <row r="2850">
          <cell r="A2850" t="str">
            <v>454272</v>
          </cell>
          <cell r="B2850" t="str">
            <v>1251</v>
          </cell>
          <cell r="C2850" t="str">
            <v>12</v>
          </cell>
          <cell r="D2850" t="str">
            <v>34</v>
          </cell>
          <cell r="E2850">
            <v>0</v>
          </cell>
          <cell r="G2850">
            <v>95</v>
          </cell>
          <cell r="H2850">
            <v>6900</v>
          </cell>
          <cell r="I2850">
            <v>0</v>
          </cell>
          <cell r="J2850">
            <v>0</v>
          </cell>
          <cell r="K2850">
            <v>0</v>
          </cell>
          <cell r="L2850">
            <v>39</v>
          </cell>
          <cell r="M2850">
            <v>0</v>
          </cell>
          <cell r="N2850">
            <v>0</v>
          </cell>
          <cell r="O2850">
            <v>6939</v>
          </cell>
          <cell r="P2850">
            <v>120</v>
          </cell>
          <cell r="Q2850">
            <v>17</v>
          </cell>
          <cell r="R2850">
            <v>0</v>
          </cell>
          <cell r="S2850">
            <v>0</v>
          </cell>
          <cell r="T2850">
            <v>0</v>
          </cell>
          <cell r="U2850">
            <v>0</v>
          </cell>
          <cell r="V2850">
            <v>0</v>
          </cell>
          <cell r="W2850">
            <v>0</v>
          </cell>
        </row>
        <row r="2851">
          <cell r="A2851" t="str">
            <v>454272</v>
          </cell>
          <cell r="B2851" t="str">
            <v>1251</v>
          </cell>
          <cell r="C2851" t="str">
            <v>12</v>
          </cell>
          <cell r="D2851" t="str">
            <v>34</v>
          </cell>
          <cell r="E2851">
            <v>0</v>
          </cell>
          <cell r="G2851">
            <v>96</v>
          </cell>
          <cell r="H2851">
            <v>1710</v>
          </cell>
          <cell r="I2851">
            <v>0</v>
          </cell>
          <cell r="J2851">
            <v>0</v>
          </cell>
          <cell r="K2851">
            <v>0</v>
          </cell>
          <cell r="L2851">
            <v>0</v>
          </cell>
          <cell r="M2851">
            <v>0</v>
          </cell>
          <cell r="N2851">
            <v>0</v>
          </cell>
          <cell r="O2851">
            <v>1710</v>
          </cell>
          <cell r="P2851">
            <v>47</v>
          </cell>
          <cell r="Q2851">
            <v>5</v>
          </cell>
          <cell r="R2851">
            <v>0</v>
          </cell>
          <cell r="S2851">
            <v>0</v>
          </cell>
          <cell r="T2851">
            <v>0</v>
          </cell>
          <cell r="U2851">
            <v>0</v>
          </cell>
          <cell r="V2851">
            <v>0</v>
          </cell>
          <cell r="W2851">
            <v>0</v>
          </cell>
        </row>
        <row r="2852">
          <cell r="A2852" t="str">
            <v>454272</v>
          </cell>
          <cell r="B2852" t="str">
            <v>1251</v>
          </cell>
          <cell r="C2852" t="str">
            <v>12</v>
          </cell>
          <cell r="D2852" t="str">
            <v>34</v>
          </cell>
          <cell r="E2852">
            <v>0</v>
          </cell>
          <cell r="G2852">
            <v>97</v>
          </cell>
          <cell r="H2852">
            <v>2760</v>
          </cell>
          <cell r="I2852">
            <v>0</v>
          </cell>
          <cell r="J2852">
            <v>0</v>
          </cell>
          <cell r="K2852">
            <v>0</v>
          </cell>
          <cell r="L2852">
            <v>0</v>
          </cell>
          <cell r="M2852">
            <v>0</v>
          </cell>
          <cell r="N2852">
            <v>0</v>
          </cell>
          <cell r="O2852">
            <v>2760</v>
          </cell>
          <cell r="P2852">
            <v>132</v>
          </cell>
          <cell r="Q2852">
            <v>10</v>
          </cell>
          <cell r="R2852">
            <v>0</v>
          </cell>
          <cell r="S2852">
            <v>0</v>
          </cell>
          <cell r="T2852">
            <v>0</v>
          </cell>
          <cell r="U2852">
            <v>0</v>
          </cell>
          <cell r="V2852">
            <v>0</v>
          </cell>
          <cell r="W2852">
            <v>0</v>
          </cell>
        </row>
        <row r="2853">
          <cell r="A2853" t="str">
            <v>454272</v>
          </cell>
          <cell r="B2853" t="str">
            <v>1251</v>
          </cell>
          <cell r="C2853" t="str">
            <v>12</v>
          </cell>
          <cell r="D2853" t="str">
            <v>34</v>
          </cell>
          <cell r="E2853">
            <v>0</v>
          </cell>
          <cell r="G2853">
            <v>98</v>
          </cell>
          <cell r="H2853">
            <v>2320</v>
          </cell>
          <cell r="I2853">
            <v>0</v>
          </cell>
          <cell r="J2853">
            <v>0</v>
          </cell>
          <cell r="K2853">
            <v>25</v>
          </cell>
          <cell r="L2853">
            <v>0</v>
          </cell>
          <cell r="M2853">
            <v>0</v>
          </cell>
          <cell r="N2853">
            <v>0</v>
          </cell>
          <cell r="O2853">
            <v>2345</v>
          </cell>
          <cell r="P2853">
            <v>92</v>
          </cell>
          <cell r="Q2853">
            <v>6</v>
          </cell>
          <cell r="R2853">
            <v>0</v>
          </cell>
          <cell r="S2853">
            <v>0</v>
          </cell>
          <cell r="T2853">
            <v>0</v>
          </cell>
          <cell r="U2853">
            <v>0</v>
          </cell>
          <cell r="V2853">
            <v>0</v>
          </cell>
          <cell r="W2853">
            <v>0</v>
          </cell>
        </row>
        <row r="2854">
          <cell r="A2854" t="str">
            <v>454272</v>
          </cell>
          <cell r="B2854" t="str">
            <v>1251</v>
          </cell>
          <cell r="C2854" t="str">
            <v>12</v>
          </cell>
          <cell r="D2854" t="str">
            <v>34</v>
          </cell>
          <cell r="E2854">
            <v>0</v>
          </cell>
          <cell r="G2854">
            <v>99</v>
          </cell>
          <cell r="H2854">
            <v>12270</v>
          </cell>
          <cell r="I2854">
            <v>0</v>
          </cell>
          <cell r="J2854">
            <v>0</v>
          </cell>
          <cell r="K2854">
            <v>357</v>
          </cell>
          <cell r="L2854">
            <v>39</v>
          </cell>
          <cell r="M2854">
            <v>0</v>
          </cell>
          <cell r="N2854">
            <v>0</v>
          </cell>
          <cell r="O2854">
            <v>12666</v>
          </cell>
          <cell r="P2854">
            <v>1973</v>
          </cell>
          <cell r="Q2854">
            <v>24</v>
          </cell>
          <cell r="R2854">
            <v>0</v>
          </cell>
          <cell r="S2854">
            <v>0</v>
          </cell>
          <cell r="T2854">
            <v>0</v>
          </cell>
          <cell r="U2854">
            <v>0</v>
          </cell>
          <cell r="V2854">
            <v>0</v>
          </cell>
          <cell r="W2854">
            <v>0</v>
          </cell>
        </row>
        <row r="2855">
          <cell r="A2855" t="str">
            <v>454272</v>
          </cell>
          <cell r="B2855" t="str">
            <v>1251</v>
          </cell>
          <cell r="C2855" t="str">
            <v>12</v>
          </cell>
          <cell r="D2855" t="str">
            <v>34</v>
          </cell>
          <cell r="E2855">
            <v>0</v>
          </cell>
          <cell r="G2855">
            <v>101</v>
          </cell>
          <cell r="H2855">
            <v>23294</v>
          </cell>
          <cell r="I2855">
            <v>0</v>
          </cell>
          <cell r="J2855">
            <v>0</v>
          </cell>
          <cell r="K2855">
            <v>882</v>
          </cell>
          <cell r="L2855">
            <v>0</v>
          </cell>
          <cell r="M2855">
            <v>0</v>
          </cell>
          <cell r="N2855">
            <v>0</v>
          </cell>
          <cell r="O2855">
            <v>24176</v>
          </cell>
          <cell r="P2855">
            <v>3597</v>
          </cell>
          <cell r="Q2855">
            <v>32</v>
          </cell>
          <cell r="R2855">
            <v>0</v>
          </cell>
          <cell r="S2855">
            <v>0</v>
          </cell>
          <cell r="T2855">
            <v>0</v>
          </cell>
          <cell r="U2855">
            <v>0</v>
          </cell>
          <cell r="V2855">
            <v>0</v>
          </cell>
          <cell r="W2855">
            <v>0</v>
          </cell>
        </row>
        <row r="2856">
          <cell r="A2856" t="str">
            <v>454272</v>
          </cell>
          <cell r="B2856" t="str">
            <v>1251</v>
          </cell>
          <cell r="C2856" t="str">
            <v>12</v>
          </cell>
          <cell r="D2856" t="str">
            <v>34</v>
          </cell>
          <cell r="E2856">
            <v>0</v>
          </cell>
          <cell r="G2856">
            <v>102</v>
          </cell>
          <cell r="H2856">
            <v>2664</v>
          </cell>
          <cell r="I2856">
            <v>0</v>
          </cell>
          <cell r="J2856">
            <v>0</v>
          </cell>
          <cell r="K2856">
            <v>95</v>
          </cell>
          <cell r="L2856">
            <v>0</v>
          </cell>
          <cell r="M2856">
            <v>0</v>
          </cell>
          <cell r="N2856">
            <v>0</v>
          </cell>
          <cell r="O2856">
            <v>2759</v>
          </cell>
          <cell r="P2856">
            <v>515</v>
          </cell>
          <cell r="Q2856">
            <v>2</v>
          </cell>
          <cell r="R2856">
            <v>0</v>
          </cell>
          <cell r="S2856">
            <v>0</v>
          </cell>
          <cell r="T2856">
            <v>0</v>
          </cell>
          <cell r="U2856">
            <v>0</v>
          </cell>
          <cell r="V2856">
            <v>0</v>
          </cell>
          <cell r="W2856">
            <v>0</v>
          </cell>
        </row>
        <row r="2857">
          <cell r="A2857" t="str">
            <v>454272</v>
          </cell>
          <cell r="B2857" t="str">
            <v>1251</v>
          </cell>
          <cell r="C2857" t="str">
            <v>12</v>
          </cell>
          <cell r="D2857" t="str">
            <v>34</v>
          </cell>
          <cell r="E2857">
            <v>0</v>
          </cell>
          <cell r="G2857">
            <v>105</v>
          </cell>
          <cell r="H2857">
            <v>62707</v>
          </cell>
          <cell r="I2857">
            <v>0</v>
          </cell>
          <cell r="J2857">
            <v>0</v>
          </cell>
          <cell r="K2857">
            <v>2928</v>
          </cell>
          <cell r="L2857">
            <v>97</v>
          </cell>
          <cell r="M2857">
            <v>0</v>
          </cell>
          <cell r="N2857">
            <v>0</v>
          </cell>
          <cell r="O2857">
            <v>65732</v>
          </cell>
          <cell r="P2857">
            <v>7769</v>
          </cell>
          <cell r="Q2857">
            <v>122</v>
          </cell>
          <cell r="R2857">
            <v>0</v>
          </cell>
          <cell r="S2857">
            <v>0</v>
          </cell>
          <cell r="T2857">
            <v>0</v>
          </cell>
          <cell r="U2857">
            <v>0</v>
          </cell>
          <cell r="V2857">
            <v>0</v>
          </cell>
          <cell r="W2857">
            <v>0</v>
          </cell>
        </row>
        <row r="2858">
          <cell r="A2858" t="str">
            <v>454272</v>
          </cell>
          <cell r="B2858" t="str">
            <v>1251</v>
          </cell>
          <cell r="C2858" t="str">
            <v>12</v>
          </cell>
          <cell r="D2858" t="str">
            <v>34</v>
          </cell>
          <cell r="E2858">
            <v>0</v>
          </cell>
          <cell r="G2858">
            <v>151</v>
          </cell>
          <cell r="H2858">
            <v>62707</v>
          </cell>
          <cell r="I2858">
            <v>0</v>
          </cell>
          <cell r="J2858">
            <v>0</v>
          </cell>
          <cell r="K2858">
            <v>2928</v>
          </cell>
          <cell r="L2858">
            <v>97</v>
          </cell>
          <cell r="M2858">
            <v>0</v>
          </cell>
          <cell r="N2858">
            <v>0</v>
          </cell>
          <cell r="O2858">
            <v>65732</v>
          </cell>
          <cell r="P2858">
            <v>7769</v>
          </cell>
          <cell r="Q2858">
            <v>122</v>
          </cell>
          <cell r="R2858">
            <v>0</v>
          </cell>
          <cell r="S2858">
            <v>0</v>
          </cell>
          <cell r="T2858">
            <v>0</v>
          </cell>
          <cell r="U2858">
            <v>0</v>
          </cell>
          <cell r="V2858">
            <v>0</v>
          </cell>
          <cell r="W2858">
            <v>0</v>
          </cell>
        </row>
        <row r="2859">
          <cell r="A2859" t="str">
            <v>454272</v>
          </cell>
          <cell r="B2859" t="str">
            <v>1251</v>
          </cell>
          <cell r="C2859" t="str">
            <v>12</v>
          </cell>
          <cell r="D2859" t="str">
            <v>34</v>
          </cell>
          <cell r="E2859">
            <v>0</v>
          </cell>
          <cell r="G2859">
            <v>153</v>
          </cell>
          <cell r="H2859">
            <v>4642</v>
          </cell>
          <cell r="I2859">
            <v>0</v>
          </cell>
          <cell r="J2859">
            <v>0</v>
          </cell>
          <cell r="K2859">
            <v>0</v>
          </cell>
          <cell r="L2859">
            <v>0</v>
          </cell>
          <cell r="M2859">
            <v>0</v>
          </cell>
          <cell r="N2859">
            <v>0</v>
          </cell>
          <cell r="O2859">
            <v>4642</v>
          </cell>
          <cell r="P2859">
            <v>76</v>
          </cell>
          <cell r="Q2859">
            <v>7</v>
          </cell>
          <cell r="R2859">
            <v>0</v>
          </cell>
          <cell r="S2859">
            <v>0</v>
          </cell>
          <cell r="T2859">
            <v>0</v>
          </cell>
          <cell r="U2859">
            <v>0</v>
          </cell>
          <cell r="V2859">
            <v>0</v>
          </cell>
          <cell r="W2859">
            <v>0</v>
          </cell>
        </row>
        <row r="2860">
          <cell r="A2860" t="str">
            <v>454272</v>
          </cell>
          <cell r="B2860" t="str">
            <v>1251</v>
          </cell>
          <cell r="C2860" t="str">
            <v>12</v>
          </cell>
          <cell r="D2860" t="str">
            <v>34</v>
          </cell>
          <cell r="E2860">
            <v>0</v>
          </cell>
          <cell r="G2860">
            <v>157</v>
          </cell>
          <cell r="H2860">
            <v>4642</v>
          </cell>
          <cell r="I2860">
            <v>0</v>
          </cell>
          <cell r="J2860">
            <v>0</v>
          </cell>
          <cell r="K2860">
            <v>0</v>
          </cell>
          <cell r="L2860">
            <v>0</v>
          </cell>
          <cell r="M2860">
            <v>0</v>
          </cell>
          <cell r="N2860">
            <v>0</v>
          </cell>
          <cell r="O2860">
            <v>4642</v>
          </cell>
          <cell r="P2860">
            <v>76</v>
          </cell>
          <cell r="Q2860">
            <v>7</v>
          </cell>
          <cell r="R2860">
            <v>0</v>
          </cell>
          <cell r="S2860">
            <v>0</v>
          </cell>
          <cell r="T2860">
            <v>0</v>
          </cell>
          <cell r="U2860">
            <v>0</v>
          </cell>
          <cell r="V2860">
            <v>0</v>
          </cell>
          <cell r="W2860">
            <v>0</v>
          </cell>
        </row>
        <row r="2861">
          <cell r="A2861" t="str">
            <v>454272</v>
          </cell>
          <cell r="B2861" t="str">
            <v>1251</v>
          </cell>
          <cell r="C2861" t="str">
            <v>12</v>
          </cell>
          <cell r="D2861" t="str">
            <v>34</v>
          </cell>
          <cell r="E2861">
            <v>0</v>
          </cell>
          <cell r="G2861">
            <v>158</v>
          </cell>
          <cell r="H2861">
            <v>67349</v>
          </cell>
          <cell r="I2861">
            <v>0</v>
          </cell>
          <cell r="J2861">
            <v>0</v>
          </cell>
          <cell r="K2861">
            <v>2928</v>
          </cell>
          <cell r="L2861">
            <v>97</v>
          </cell>
          <cell r="M2861">
            <v>0</v>
          </cell>
          <cell r="N2861">
            <v>0</v>
          </cell>
          <cell r="O2861">
            <v>70374</v>
          </cell>
          <cell r="P2861">
            <v>7845</v>
          </cell>
          <cell r="Q2861">
            <v>129</v>
          </cell>
          <cell r="R2861">
            <v>0</v>
          </cell>
          <cell r="S2861">
            <v>0</v>
          </cell>
          <cell r="T2861">
            <v>0</v>
          </cell>
          <cell r="U2861">
            <v>0</v>
          </cell>
          <cell r="V2861">
            <v>0</v>
          </cell>
          <cell r="W2861">
            <v>0</v>
          </cell>
        </row>
        <row r="2862">
          <cell r="A2862" t="str">
            <v>454272</v>
          </cell>
          <cell r="B2862" t="str">
            <v>1251</v>
          </cell>
          <cell r="C2862" t="str">
            <v>12</v>
          </cell>
          <cell r="D2862" t="str">
            <v>35</v>
          </cell>
          <cell r="E2862">
            <v>1</v>
          </cell>
          <cell r="G2862">
            <v>65732</v>
          </cell>
          <cell r="H2862">
            <v>4642</v>
          </cell>
          <cell r="I2862">
            <v>0</v>
          </cell>
          <cell r="J2862">
            <v>0</v>
          </cell>
          <cell r="K2862">
            <v>70374</v>
          </cell>
          <cell r="L2862">
            <v>7769</v>
          </cell>
          <cell r="M2862">
            <v>76</v>
          </cell>
          <cell r="N2862">
            <v>0</v>
          </cell>
          <cell r="O2862">
            <v>0</v>
          </cell>
          <cell r="P2862">
            <v>7845</v>
          </cell>
          <cell r="Q2862">
            <v>0</v>
          </cell>
          <cell r="R2862">
            <v>0</v>
          </cell>
          <cell r="S2862">
            <v>0</v>
          </cell>
          <cell r="T2862">
            <v>0</v>
          </cell>
          <cell r="U2862">
            <v>0</v>
          </cell>
          <cell r="V2862">
            <v>0</v>
          </cell>
          <cell r="W2862">
            <v>0</v>
          </cell>
        </row>
        <row r="2863">
          <cell r="A2863" t="str">
            <v>454272</v>
          </cell>
          <cell r="B2863" t="str">
            <v>1251</v>
          </cell>
          <cell r="C2863" t="str">
            <v>12</v>
          </cell>
          <cell r="D2863" t="str">
            <v>35</v>
          </cell>
          <cell r="E2863">
            <v>4</v>
          </cell>
          <cell r="G2863">
            <v>2449</v>
          </cell>
          <cell r="H2863">
            <v>7</v>
          </cell>
          <cell r="I2863">
            <v>0</v>
          </cell>
          <cell r="J2863">
            <v>0</v>
          </cell>
          <cell r="K2863">
            <v>2456</v>
          </cell>
          <cell r="L2863">
            <v>2539</v>
          </cell>
          <cell r="M2863">
            <v>111</v>
          </cell>
          <cell r="N2863">
            <v>0</v>
          </cell>
          <cell r="O2863">
            <v>0</v>
          </cell>
          <cell r="P2863">
            <v>2650</v>
          </cell>
          <cell r="Q2863">
            <v>0</v>
          </cell>
          <cell r="R2863">
            <v>0</v>
          </cell>
          <cell r="S2863">
            <v>0</v>
          </cell>
          <cell r="T2863">
            <v>0</v>
          </cell>
          <cell r="U2863">
            <v>0</v>
          </cell>
          <cell r="V2863">
            <v>0</v>
          </cell>
          <cell r="W2863">
            <v>0</v>
          </cell>
        </row>
        <row r="2864">
          <cell r="A2864" t="str">
            <v>454272</v>
          </cell>
          <cell r="B2864" t="str">
            <v>1251</v>
          </cell>
          <cell r="C2864" t="str">
            <v>12</v>
          </cell>
          <cell r="D2864" t="str">
            <v>35</v>
          </cell>
          <cell r="E2864">
            <v>7</v>
          </cell>
          <cell r="G2864">
            <v>0</v>
          </cell>
          <cell r="H2864">
            <v>0</v>
          </cell>
          <cell r="I2864">
            <v>0</v>
          </cell>
          <cell r="J2864">
            <v>0</v>
          </cell>
          <cell r="K2864">
            <v>0</v>
          </cell>
          <cell r="L2864">
            <v>12757</v>
          </cell>
          <cell r="M2864">
            <v>194</v>
          </cell>
          <cell r="N2864">
            <v>0</v>
          </cell>
          <cell r="O2864">
            <v>0</v>
          </cell>
          <cell r="P2864">
            <v>12951</v>
          </cell>
          <cell r="Q2864">
            <v>0</v>
          </cell>
          <cell r="R2864">
            <v>0</v>
          </cell>
          <cell r="S2864">
            <v>4429</v>
          </cell>
          <cell r="T2864">
            <v>0</v>
          </cell>
          <cell r="U2864">
            <v>4429</v>
          </cell>
          <cell r="V2864">
            <v>0</v>
          </cell>
          <cell r="W2864">
            <v>0</v>
          </cell>
        </row>
        <row r="2865">
          <cell r="A2865" t="str">
            <v>454272</v>
          </cell>
          <cell r="B2865" t="str">
            <v>1251</v>
          </cell>
          <cell r="C2865" t="str">
            <v>12</v>
          </cell>
          <cell r="D2865" t="str">
            <v>35</v>
          </cell>
          <cell r="E2865">
            <v>10</v>
          </cell>
          <cell r="G2865">
            <v>78489</v>
          </cell>
          <cell r="H2865">
            <v>4836</v>
          </cell>
          <cell r="I2865">
            <v>4429</v>
          </cell>
          <cell r="J2865">
            <v>0</v>
          </cell>
          <cell r="K2865">
            <v>87754</v>
          </cell>
          <cell r="L2865">
            <v>0</v>
          </cell>
          <cell r="M2865">
            <v>0</v>
          </cell>
          <cell r="N2865">
            <v>0</v>
          </cell>
          <cell r="O2865">
            <v>0</v>
          </cell>
          <cell r="P2865">
            <v>0</v>
          </cell>
          <cell r="Q2865">
            <v>0</v>
          </cell>
          <cell r="R2865">
            <v>0</v>
          </cell>
          <cell r="S2865">
            <v>0</v>
          </cell>
          <cell r="T2865">
            <v>0</v>
          </cell>
          <cell r="U2865">
            <v>0</v>
          </cell>
          <cell r="V2865">
            <v>0</v>
          </cell>
          <cell r="W2865">
            <v>0</v>
          </cell>
        </row>
        <row r="2866">
          <cell r="A2866" t="str">
            <v>454272</v>
          </cell>
          <cell r="B2866" t="str">
            <v>1251</v>
          </cell>
          <cell r="C2866" t="str">
            <v>12</v>
          </cell>
          <cell r="D2866" t="str">
            <v>35</v>
          </cell>
          <cell r="E2866">
            <v>13</v>
          </cell>
          <cell r="G2866">
            <v>119</v>
          </cell>
          <cell r="H2866">
            <v>11</v>
          </cell>
          <cell r="I2866">
            <v>0</v>
          </cell>
          <cell r="J2866">
            <v>0</v>
          </cell>
          <cell r="K2866">
            <v>130</v>
          </cell>
          <cell r="L2866">
            <v>119</v>
          </cell>
          <cell r="M2866">
            <v>14</v>
          </cell>
          <cell r="N2866">
            <v>14</v>
          </cell>
          <cell r="O2866">
            <v>0</v>
          </cell>
          <cell r="P2866">
            <v>147</v>
          </cell>
          <cell r="Q2866">
            <v>129</v>
          </cell>
          <cell r="R2866">
            <v>12</v>
          </cell>
          <cell r="S2866">
            <v>14</v>
          </cell>
          <cell r="T2866">
            <v>0</v>
          </cell>
          <cell r="U2866">
            <v>155</v>
          </cell>
          <cell r="V2866">
            <v>0</v>
          </cell>
          <cell r="W2866">
            <v>0</v>
          </cell>
        </row>
        <row r="2867">
          <cell r="A2867" t="str">
            <v>454272</v>
          </cell>
          <cell r="B2867" t="str">
            <v>1251</v>
          </cell>
          <cell r="C2867" t="str">
            <v>12</v>
          </cell>
          <cell r="D2867" t="str">
            <v>35</v>
          </cell>
          <cell r="E2867">
            <v>16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L2867">
            <v>0</v>
          </cell>
          <cell r="M2867">
            <v>0</v>
          </cell>
          <cell r="N2867">
            <v>0</v>
          </cell>
          <cell r="O2867">
            <v>0</v>
          </cell>
          <cell r="P2867">
            <v>0</v>
          </cell>
          <cell r="Q2867">
            <v>122</v>
          </cell>
          <cell r="R2867">
            <v>7</v>
          </cell>
          <cell r="S2867">
            <v>14</v>
          </cell>
          <cell r="T2867">
            <v>0</v>
          </cell>
          <cell r="U2867">
            <v>143</v>
          </cell>
          <cell r="V2867">
            <v>0</v>
          </cell>
          <cell r="W2867">
            <v>0</v>
          </cell>
        </row>
        <row r="2868">
          <cell r="A2868" t="str">
            <v>454272</v>
          </cell>
          <cell r="B2868" t="str">
            <v>1251</v>
          </cell>
          <cell r="C2868" t="str">
            <v>12</v>
          </cell>
          <cell r="D2868" t="str">
            <v>35</v>
          </cell>
          <cell r="E2868">
            <v>19</v>
          </cell>
          <cell r="G2868">
            <v>0</v>
          </cell>
          <cell r="H2868">
            <v>0</v>
          </cell>
          <cell r="I2868">
            <v>0</v>
          </cell>
          <cell r="J2868">
            <v>0</v>
          </cell>
          <cell r="K2868">
            <v>0</v>
          </cell>
          <cell r="L2868">
            <v>0</v>
          </cell>
          <cell r="M2868">
            <v>0</v>
          </cell>
          <cell r="N2868">
            <v>0</v>
          </cell>
          <cell r="O2868">
            <v>0</v>
          </cell>
          <cell r="P2868">
            <v>0</v>
          </cell>
          <cell r="Q2868">
            <v>0</v>
          </cell>
          <cell r="R2868">
            <v>0</v>
          </cell>
          <cell r="S2868">
            <v>0</v>
          </cell>
          <cell r="T2868">
            <v>0</v>
          </cell>
          <cell r="U2868">
            <v>0</v>
          </cell>
          <cell r="V2868">
            <v>0</v>
          </cell>
          <cell r="W2868">
            <v>0</v>
          </cell>
        </row>
        <row r="2869">
          <cell r="A2869" t="str">
            <v>454272</v>
          </cell>
          <cell r="B2869" t="str">
            <v>1251</v>
          </cell>
          <cell r="C2869" t="str">
            <v>12</v>
          </cell>
          <cell r="D2869" t="str">
            <v>37</v>
          </cell>
          <cell r="E2869">
            <v>0</v>
          </cell>
          <cell r="G2869">
            <v>55232301</v>
          </cell>
          <cell r="H2869">
            <v>957</v>
          </cell>
          <cell r="I2869">
            <v>957</v>
          </cell>
          <cell r="J2869">
            <v>319</v>
          </cell>
          <cell r="K2869">
            <v>0</v>
          </cell>
          <cell r="L2869">
            <v>0</v>
          </cell>
          <cell r="M2869">
            <v>0</v>
          </cell>
          <cell r="N2869">
            <v>0</v>
          </cell>
          <cell r="O2869">
            <v>0</v>
          </cell>
          <cell r="P2869">
            <v>0</v>
          </cell>
          <cell r="Q2869">
            <v>0</v>
          </cell>
          <cell r="R2869">
            <v>0</v>
          </cell>
          <cell r="S2869">
            <v>0</v>
          </cell>
          <cell r="T2869">
            <v>0</v>
          </cell>
          <cell r="U2869">
            <v>0</v>
          </cell>
          <cell r="V2869">
            <v>0</v>
          </cell>
          <cell r="W2869">
            <v>0</v>
          </cell>
        </row>
        <row r="2870">
          <cell r="A2870" t="str">
            <v>454272</v>
          </cell>
          <cell r="B2870" t="str">
            <v>1251</v>
          </cell>
          <cell r="C2870" t="str">
            <v>12</v>
          </cell>
          <cell r="D2870" t="str">
            <v>37</v>
          </cell>
          <cell r="E2870">
            <v>0</v>
          </cell>
          <cell r="G2870">
            <v>55232302</v>
          </cell>
          <cell r="H2870">
            <v>0</v>
          </cell>
          <cell r="I2870">
            <v>0</v>
          </cell>
          <cell r="J2870">
            <v>23932</v>
          </cell>
          <cell r="K2870">
            <v>0</v>
          </cell>
          <cell r="L2870">
            <v>0</v>
          </cell>
          <cell r="M2870">
            <v>0</v>
          </cell>
          <cell r="N2870">
            <v>0</v>
          </cell>
          <cell r="O2870">
            <v>0</v>
          </cell>
          <cell r="P2870">
            <v>0</v>
          </cell>
          <cell r="Q2870">
            <v>0</v>
          </cell>
          <cell r="R2870">
            <v>0</v>
          </cell>
          <cell r="S2870">
            <v>0</v>
          </cell>
          <cell r="T2870">
            <v>0</v>
          </cell>
          <cell r="U2870">
            <v>0</v>
          </cell>
          <cell r="V2870">
            <v>0</v>
          </cell>
          <cell r="W2870">
            <v>0</v>
          </cell>
        </row>
        <row r="2871">
          <cell r="A2871" t="str">
            <v>454272</v>
          </cell>
          <cell r="B2871" t="str">
            <v>1251</v>
          </cell>
          <cell r="C2871" t="str">
            <v>12</v>
          </cell>
          <cell r="D2871" t="str">
            <v>37</v>
          </cell>
          <cell r="E2871">
            <v>0</v>
          </cell>
          <cell r="G2871">
            <v>75176801</v>
          </cell>
          <cell r="H2871">
            <v>1341</v>
          </cell>
          <cell r="I2871">
            <v>1341</v>
          </cell>
          <cell r="J2871">
            <v>447</v>
          </cell>
          <cell r="K2871">
            <v>0</v>
          </cell>
          <cell r="L2871">
            <v>0</v>
          </cell>
          <cell r="M2871">
            <v>0</v>
          </cell>
          <cell r="N2871">
            <v>0</v>
          </cell>
          <cell r="O2871">
            <v>0</v>
          </cell>
          <cell r="P2871">
            <v>0</v>
          </cell>
          <cell r="Q2871">
            <v>0</v>
          </cell>
          <cell r="R2871">
            <v>0</v>
          </cell>
          <cell r="S2871">
            <v>0</v>
          </cell>
          <cell r="T2871">
            <v>0</v>
          </cell>
          <cell r="U2871">
            <v>0</v>
          </cell>
          <cell r="V2871">
            <v>0</v>
          </cell>
          <cell r="W2871">
            <v>0</v>
          </cell>
        </row>
        <row r="2872">
          <cell r="A2872" t="str">
            <v>454272</v>
          </cell>
          <cell r="B2872" t="str">
            <v>1251</v>
          </cell>
          <cell r="C2872" t="str">
            <v>12</v>
          </cell>
          <cell r="D2872" t="str">
            <v>37</v>
          </cell>
          <cell r="E2872">
            <v>0</v>
          </cell>
          <cell r="G2872">
            <v>80214401</v>
          </cell>
          <cell r="H2872">
            <v>13</v>
          </cell>
          <cell r="I2872">
            <v>13</v>
          </cell>
          <cell r="J2872">
            <v>4</v>
          </cell>
          <cell r="K2872">
            <v>0</v>
          </cell>
          <cell r="L2872">
            <v>0</v>
          </cell>
          <cell r="M2872">
            <v>0</v>
          </cell>
          <cell r="N2872">
            <v>0</v>
          </cell>
          <cell r="O2872">
            <v>0</v>
          </cell>
          <cell r="P2872">
            <v>0</v>
          </cell>
          <cell r="Q2872">
            <v>0</v>
          </cell>
          <cell r="R2872">
            <v>0</v>
          </cell>
          <cell r="S2872">
            <v>0</v>
          </cell>
          <cell r="T2872">
            <v>0</v>
          </cell>
          <cell r="U2872">
            <v>0</v>
          </cell>
          <cell r="V2872">
            <v>0</v>
          </cell>
          <cell r="W2872">
            <v>0</v>
          </cell>
        </row>
        <row r="2873">
          <cell r="A2873" t="str">
            <v>454272</v>
          </cell>
          <cell r="B2873" t="str">
            <v>1251</v>
          </cell>
          <cell r="C2873" t="str">
            <v>12</v>
          </cell>
          <cell r="D2873" t="str">
            <v>37</v>
          </cell>
          <cell r="E2873">
            <v>0</v>
          </cell>
          <cell r="G2873">
            <v>80214402</v>
          </cell>
          <cell r="H2873">
            <v>0</v>
          </cell>
          <cell r="I2873">
            <v>0</v>
          </cell>
          <cell r="J2873">
            <v>1</v>
          </cell>
          <cell r="K2873">
            <v>0</v>
          </cell>
          <cell r="L2873">
            <v>0</v>
          </cell>
          <cell r="M2873">
            <v>0</v>
          </cell>
          <cell r="N2873">
            <v>0</v>
          </cell>
          <cell r="O2873">
            <v>0</v>
          </cell>
          <cell r="P2873">
            <v>0</v>
          </cell>
          <cell r="Q2873">
            <v>0</v>
          </cell>
          <cell r="R2873">
            <v>0</v>
          </cell>
          <cell r="S2873">
            <v>0</v>
          </cell>
          <cell r="T2873">
            <v>0</v>
          </cell>
          <cell r="U2873">
            <v>0</v>
          </cell>
          <cell r="V2873">
            <v>0</v>
          </cell>
          <cell r="W2873">
            <v>0</v>
          </cell>
        </row>
        <row r="2874">
          <cell r="A2874" t="str">
            <v>454272</v>
          </cell>
          <cell r="B2874" t="str">
            <v>1251</v>
          </cell>
          <cell r="C2874" t="str">
            <v>12</v>
          </cell>
          <cell r="D2874" t="str">
            <v>37</v>
          </cell>
          <cell r="E2874">
            <v>0</v>
          </cell>
          <cell r="G2874">
            <v>80216601</v>
          </cell>
          <cell r="H2874">
            <v>364</v>
          </cell>
          <cell r="I2874">
            <v>364</v>
          </cell>
          <cell r="J2874">
            <v>121</v>
          </cell>
          <cell r="K2874">
            <v>0</v>
          </cell>
          <cell r="L2874">
            <v>0</v>
          </cell>
          <cell r="M2874">
            <v>0</v>
          </cell>
          <cell r="N2874">
            <v>0</v>
          </cell>
          <cell r="O2874">
            <v>0</v>
          </cell>
          <cell r="P2874">
            <v>0</v>
          </cell>
          <cell r="Q2874">
            <v>0</v>
          </cell>
          <cell r="R2874">
            <v>0</v>
          </cell>
          <cell r="S2874">
            <v>0</v>
          </cell>
          <cell r="T2874">
            <v>0</v>
          </cell>
          <cell r="U2874">
            <v>0</v>
          </cell>
          <cell r="V2874">
            <v>0</v>
          </cell>
          <cell r="W2874">
            <v>0</v>
          </cell>
        </row>
        <row r="2875">
          <cell r="A2875" t="str">
            <v>454272</v>
          </cell>
          <cell r="B2875" t="str">
            <v>1251</v>
          </cell>
          <cell r="C2875" t="str">
            <v>12</v>
          </cell>
          <cell r="D2875" t="str">
            <v>37</v>
          </cell>
          <cell r="E2875">
            <v>0</v>
          </cell>
          <cell r="G2875">
            <v>80216602</v>
          </cell>
          <cell r="H2875">
            <v>0</v>
          </cell>
          <cell r="I2875">
            <v>0</v>
          </cell>
          <cell r="J2875">
            <v>7</v>
          </cell>
          <cell r="K2875">
            <v>0</v>
          </cell>
          <cell r="L2875">
            <v>0</v>
          </cell>
          <cell r="M2875">
            <v>0</v>
          </cell>
          <cell r="N2875">
            <v>0</v>
          </cell>
          <cell r="O2875">
            <v>0</v>
          </cell>
          <cell r="P2875">
            <v>0</v>
          </cell>
          <cell r="Q2875">
            <v>0</v>
          </cell>
          <cell r="R2875">
            <v>0</v>
          </cell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</row>
        <row r="2876">
          <cell r="A2876" t="str">
            <v>454272</v>
          </cell>
          <cell r="B2876" t="str">
            <v>1251</v>
          </cell>
          <cell r="C2876" t="str">
            <v>12</v>
          </cell>
          <cell r="D2876" t="str">
            <v>37</v>
          </cell>
          <cell r="E2876">
            <v>0</v>
          </cell>
          <cell r="G2876">
            <v>80217701</v>
          </cell>
          <cell r="H2876">
            <v>399</v>
          </cell>
          <cell r="I2876">
            <v>399</v>
          </cell>
          <cell r="J2876">
            <v>133</v>
          </cell>
          <cell r="K2876">
            <v>0</v>
          </cell>
          <cell r="L2876">
            <v>0</v>
          </cell>
          <cell r="M2876">
            <v>0</v>
          </cell>
          <cell r="N2876">
            <v>0</v>
          </cell>
          <cell r="O2876">
            <v>0</v>
          </cell>
          <cell r="P2876">
            <v>0</v>
          </cell>
          <cell r="Q2876">
            <v>0</v>
          </cell>
          <cell r="R2876">
            <v>0</v>
          </cell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</row>
        <row r="2877">
          <cell r="A2877" t="str">
            <v>454272</v>
          </cell>
          <cell r="B2877" t="str">
            <v>1251</v>
          </cell>
          <cell r="C2877" t="str">
            <v>12</v>
          </cell>
          <cell r="D2877" t="str">
            <v>37</v>
          </cell>
          <cell r="E2877">
            <v>0</v>
          </cell>
          <cell r="G2877">
            <v>80217702</v>
          </cell>
          <cell r="H2877">
            <v>0</v>
          </cell>
          <cell r="I2877">
            <v>0</v>
          </cell>
          <cell r="J2877">
            <v>5</v>
          </cell>
          <cell r="K2877">
            <v>0</v>
          </cell>
          <cell r="L2877">
            <v>0</v>
          </cell>
          <cell r="M2877">
            <v>0</v>
          </cell>
          <cell r="N2877">
            <v>0</v>
          </cell>
          <cell r="O2877">
            <v>0</v>
          </cell>
          <cell r="P2877">
            <v>0</v>
          </cell>
          <cell r="Q2877">
            <v>0</v>
          </cell>
          <cell r="R2877">
            <v>0</v>
          </cell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</row>
        <row r="2878">
          <cell r="A2878" t="str">
            <v>454272</v>
          </cell>
          <cell r="B2878" t="str">
            <v>1251</v>
          </cell>
          <cell r="C2878" t="str">
            <v>12</v>
          </cell>
          <cell r="D2878" t="str">
            <v>37</v>
          </cell>
          <cell r="E2878">
            <v>0</v>
          </cell>
          <cell r="G2878">
            <v>80221401</v>
          </cell>
          <cell r="H2878">
            <v>159</v>
          </cell>
          <cell r="I2878">
            <v>159</v>
          </cell>
          <cell r="J2878">
            <v>53</v>
          </cell>
          <cell r="K2878">
            <v>0</v>
          </cell>
          <cell r="L2878">
            <v>0</v>
          </cell>
          <cell r="M2878">
            <v>0</v>
          </cell>
          <cell r="N2878">
            <v>0</v>
          </cell>
          <cell r="O2878">
            <v>0</v>
          </cell>
          <cell r="P2878">
            <v>0</v>
          </cell>
          <cell r="Q2878">
            <v>0</v>
          </cell>
          <cell r="R2878">
            <v>0</v>
          </cell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</row>
        <row r="2879">
          <cell r="A2879" t="str">
            <v>454272</v>
          </cell>
          <cell r="B2879" t="str">
            <v>1251</v>
          </cell>
          <cell r="C2879" t="str">
            <v>12</v>
          </cell>
          <cell r="D2879" t="str">
            <v>37</v>
          </cell>
          <cell r="E2879">
            <v>0</v>
          </cell>
          <cell r="G2879">
            <v>80221402</v>
          </cell>
          <cell r="H2879">
            <v>0</v>
          </cell>
          <cell r="I2879">
            <v>0</v>
          </cell>
          <cell r="J2879">
            <v>2</v>
          </cell>
          <cell r="K2879">
            <v>0</v>
          </cell>
          <cell r="L2879">
            <v>0</v>
          </cell>
          <cell r="M2879">
            <v>0</v>
          </cell>
          <cell r="N2879">
            <v>0</v>
          </cell>
          <cell r="O2879">
            <v>0</v>
          </cell>
          <cell r="P2879">
            <v>0</v>
          </cell>
          <cell r="Q2879">
            <v>0</v>
          </cell>
          <cell r="R2879">
            <v>0</v>
          </cell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</row>
        <row r="2880">
          <cell r="A2880" t="str">
            <v>454272</v>
          </cell>
          <cell r="B2880" t="str">
            <v>1251</v>
          </cell>
          <cell r="C2880" t="str">
            <v>12</v>
          </cell>
          <cell r="D2880" t="str">
            <v>37</v>
          </cell>
          <cell r="E2880">
            <v>0</v>
          </cell>
          <cell r="G2880">
            <v>80224101</v>
          </cell>
          <cell r="H2880">
            <v>296</v>
          </cell>
          <cell r="I2880">
            <v>296</v>
          </cell>
          <cell r="J2880">
            <v>99</v>
          </cell>
          <cell r="K2880">
            <v>0</v>
          </cell>
          <cell r="L2880">
            <v>0</v>
          </cell>
          <cell r="M2880">
            <v>0</v>
          </cell>
          <cell r="N2880">
            <v>0</v>
          </cell>
          <cell r="O2880">
            <v>0</v>
          </cell>
          <cell r="P2880">
            <v>0</v>
          </cell>
          <cell r="Q2880">
            <v>0</v>
          </cell>
          <cell r="R2880">
            <v>0</v>
          </cell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</row>
        <row r="2881">
          <cell r="A2881" t="str">
            <v>454272</v>
          </cell>
          <cell r="B2881" t="str">
            <v>1251</v>
          </cell>
          <cell r="C2881" t="str">
            <v>12</v>
          </cell>
          <cell r="D2881" t="str">
            <v>37</v>
          </cell>
          <cell r="E2881">
            <v>0</v>
          </cell>
          <cell r="G2881">
            <v>80224102</v>
          </cell>
          <cell r="H2881">
            <v>0</v>
          </cell>
          <cell r="I2881">
            <v>0</v>
          </cell>
          <cell r="J2881">
            <v>6</v>
          </cell>
          <cell r="K2881">
            <v>0</v>
          </cell>
          <cell r="L2881">
            <v>0</v>
          </cell>
          <cell r="M2881">
            <v>0</v>
          </cell>
          <cell r="N2881">
            <v>0</v>
          </cell>
          <cell r="O2881">
            <v>0</v>
          </cell>
          <cell r="P2881">
            <v>0</v>
          </cell>
          <cell r="Q2881">
            <v>0</v>
          </cell>
          <cell r="R2881">
            <v>0</v>
          </cell>
          <cell r="S2881">
            <v>0</v>
          </cell>
          <cell r="T2881">
            <v>0</v>
          </cell>
          <cell r="U2881">
            <v>0</v>
          </cell>
          <cell r="V2881">
            <v>0</v>
          </cell>
          <cell r="W2881">
            <v>0</v>
          </cell>
        </row>
        <row r="2882">
          <cell r="A2882" t="str">
            <v>454272</v>
          </cell>
          <cell r="B2882" t="str">
            <v>1251</v>
          </cell>
          <cell r="C2882" t="str">
            <v>12</v>
          </cell>
          <cell r="D2882" t="str">
            <v>37</v>
          </cell>
          <cell r="E2882">
            <v>0</v>
          </cell>
          <cell r="G2882">
            <v>80226301</v>
          </cell>
          <cell r="H2882">
            <v>110</v>
          </cell>
          <cell r="I2882">
            <v>110</v>
          </cell>
          <cell r="J2882">
            <v>37</v>
          </cell>
          <cell r="K2882">
            <v>0</v>
          </cell>
          <cell r="L2882">
            <v>0</v>
          </cell>
          <cell r="M2882">
            <v>0</v>
          </cell>
          <cell r="N2882">
            <v>0</v>
          </cell>
          <cell r="O2882">
            <v>0</v>
          </cell>
          <cell r="P2882">
            <v>0</v>
          </cell>
          <cell r="Q2882">
            <v>0</v>
          </cell>
          <cell r="R2882">
            <v>0</v>
          </cell>
          <cell r="S2882">
            <v>0</v>
          </cell>
          <cell r="T2882">
            <v>0</v>
          </cell>
          <cell r="U2882">
            <v>0</v>
          </cell>
          <cell r="V2882">
            <v>0</v>
          </cell>
          <cell r="W2882">
            <v>0</v>
          </cell>
        </row>
        <row r="2883">
          <cell r="A2883" t="str">
            <v>454272</v>
          </cell>
          <cell r="B2883" t="str">
            <v>1251</v>
          </cell>
          <cell r="C2883" t="str">
            <v>12</v>
          </cell>
          <cell r="D2883" t="str">
            <v>37</v>
          </cell>
          <cell r="E2883">
            <v>0</v>
          </cell>
          <cell r="G2883">
            <v>80226302</v>
          </cell>
          <cell r="H2883">
            <v>0</v>
          </cell>
          <cell r="I2883">
            <v>0</v>
          </cell>
          <cell r="J2883">
            <v>3</v>
          </cell>
          <cell r="K2883">
            <v>0</v>
          </cell>
          <cell r="L2883">
            <v>0</v>
          </cell>
          <cell r="M2883">
            <v>0</v>
          </cell>
          <cell r="N2883">
            <v>0</v>
          </cell>
          <cell r="O2883">
            <v>0</v>
          </cell>
          <cell r="P2883">
            <v>0</v>
          </cell>
          <cell r="Q2883">
            <v>0</v>
          </cell>
          <cell r="R2883">
            <v>0</v>
          </cell>
          <cell r="S2883">
            <v>0</v>
          </cell>
          <cell r="T2883">
            <v>0</v>
          </cell>
          <cell r="U2883">
            <v>0</v>
          </cell>
          <cell r="V2883">
            <v>0</v>
          </cell>
          <cell r="W2883">
            <v>0</v>
          </cell>
        </row>
        <row r="2884">
          <cell r="A2884" t="str">
            <v>454272</v>
          </cell>
          <cell r="B2884" t="str">
            <v>1251</v>
          </cell>
          <cell r="C2884" t="str">
            <v>12</v>
          </cell>
          <cell r="D2884" t="str">
            <v>37</v>
          </cell>
          <cell r="E2884">
            <v>0</v>
          </cell>
          <cell r="G2884">
            <v>99999901</v>
          </cell>
          <cell r="H2884">
            <v>3639</v>
          </cell>
          <cell r="I2884">
            <v>3639</v>
          </cell>
          <cell r="J2884">
            <v>1213</v>
          </cell>
          <cell r="K2884">
            <v>0</v>
          </cell>
          <cell r="L2884">
            <v>0</v>
          </cell>
          <cell r="M2884">
            <v>0</v>
          </cell>
          <cell r="N2884">
            <v>0</v>
          </cell>
          <cell r="O2884">
            <v>0</v>
          </cell>
          <cell r="P2884">
            <v>0</v>
          </cell>
          <cell r="Q2884">
            <v>0</v>
          </cell>
          <cell r="R2884">
            <v>0</v>
          </cell>
          <cell r="S2884">
            <v>0</v>
          </cell>
          <cell r="T2884">
            <v>0</v>
          </cell>
          <cell r="U2884">
            <v>0</v>
          </cell>
          <cell r="V2884">
            <v>0</v>
          </cell>
          <cell r="W2884">
            <v>0</v>
          </cell>
        </row>
        <row r="2885">
          <cell r="A2885" t="str">
            <v>454272</v>
          </cell>
          <cell r="B2885" t="str">
            <v>1251</v>
          </cell>
          <cell r="C2885" t="str">
            <v>12</v>
          </cell>
          <cell r="D2885" t="str">
            <v>37</v>
          </cell>
          <cell r="E2885">
            <v>0</v>
          </cell>
          <cell r="G2885">
            <v>99999902</v>
          </cell>
          <cell r="H2885">
            <v>0</v>
          </cell>
          <cell r="I2885">
            <v>0</v>
          </cell>
          <cell r="J2885">
            <v>23956</v>
          </cell>
          <cell r="K2885">
            <v>0</v>
          </cell>
          <cell r="L2885">
            <v>0</v>
          </cell>
          <cell r="M2885">
            <v>0</v>
          </cell>
          <cell r="N2885">
            <v>0</v>
          </cell>
          <cell r="O2885">
            <v>0</v>
          </cell>
          <cell r="P2885">
            <v>0</v>
          </cell>
          <cell r="Q2885">
            <v>0</v>
          </cell>
          <cell r="R2885">
            <v>0</v>
          </cell>
          <cell r="S2885">
            <v>0</v>
          </cell>
          <cell r="T2885">
            <v>0</v>
          </cell>
          <cell r="U2885">
            <v>0</v>
          </cell>
          <cell r="V2885">
            <v>0</v>
          </cell>
          <cell r="W2885">
            <v>0</v>
          </cell>
        </row>
        <row r="2886">
          <cell r="A2886" t="str">
            <v>454272</v>
          </cell>
          <cell r="B2886" t="str">
            <v>1251</v>
          </cell>
          <cell r="C2886" t="str">
            <v>12</v>
          </cell>
          <cell r="D2886" t="str">
            <v>38</v>
          </cell>
          <cell r="E2886">
            <v>1</v>
          </cell>
          <cell r="G2886">
            <v>0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  <cell r="L2886">
            <v>0</v>
          </cell>
          <cell r="M2886">
            <v>0</v>
          </cell>
          <cell r="N2886">
            <v>0</v>
          </cell>
          <cell r="O2886">
            <v>0</v>
          </cell>
          <cell r="P2886">
            <v>0</v>
          </cell>
          <cell r="Q2886">
            <v>0</v>
          </cell>
          <cell r="R2886">
            <v>0</v>
          </cell>
          <cell r="S2886">
            <v>0</v>
          </cell>
          <cell r="T2886">
            <v>0</v>
          </cell>
          <cell r="U2886">
            <v>0</v>
          </cell>
          <cell r="V2886">
            <v>0</v>
          </cell>
          <cell r="W2886">
            <v>0</v>
          </cell>
        </row>
        <row r="2887">
          <cell r="A2887" t="str">
            <v>454272</v>
          </cell>
          <cell r="B2887" t="str">
            <v>1251</v>
          </cell>
          <cell r="C2887" t="str">
            <v>12</v>
          </cell>
          <cell r="D2887" t="str">
            <v>38</v>
          </cell>
          <cell r="E2887">
            <v>2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L2887">
            <v>0</v>
          </cell>
          <cell r="M2887">
            <v>0</v>
          </cell>
          <cell r="N2887">
            <v>0</v>
          </cell>
          <cell r="O2887">
            <v>0</v>
          </cell>
          <cell r="P2887">
            <v>0</v>
          </cell>
          <cell r="Q2887">
            <v>0</v>
          </cell>
          <cell r="R2887">
            <v>0</v>
          </cell>
          <cell r="S2887">
            <v>0</v>
          </cell>
          <cell r="T2887">
            <v>0</v>
          </cell>
          <cell r="U2887">
            <v>0</v>
          </cell>
          <cell r="V2887">
            <v>0</v>
          </cell>
          <cell r="W2887">
            <v>0</v>
          </cell>
        </row>
        <row r="2888">
          <cell r="A2888" t="str">
            <v>454272</v>
          </cell>
          <cell r="B2888" t="str">
            <v>1251</v>
          </cell>
          <cell r="C2888" t="str">
            <v>12</v>
          </cell>
          <cell r="D2888" t="str">
            <v>38</v>
          </cell>
          <cell r="E2888">
            <v>3</v>
          </cell>
          <cell r="G2888">
            <v>0</v>
          </cell>
          <cell r="H2888">
            <v>0</v>
          </cell>
          <cell r="I2888">
            <v>0</v>
          </cell>
          <cell r="J2888">
            <v>0</v>
          </cell>
          <cell r="K2888">
            <v>0</v>
          </cell>
          <cell r="L2888">
            <v>0</v>
          </cell>
          <cell r="M2888">
            <v>0</v>
          </cell>
          <cell r="N2888">
            <v>0</v>
          </cell>
          <cell r="O2888">
            <v>0</v>
          </cell>
          <cell r="P2888">
            <v>0</v>
          </cell>
          <cell r="Q2888">
            <v>0</v>
          </cell>
          <cell r="R2888">
            <v>0</v>
          </cell>
          <cell r="S2888">
            <v>0</v>
          </cell>
          <cell r="T2888">
            <v>0</v>
          </cell>
          <cell r="U2888">
            <v>0</v>
          </cell>
          <cell r="V2888">
            <v>0</v>
          </cell>
          <cell r="W2888">
            <v>0</v>
          </cell>
        </row>
        <row r="2889">
          <cell r="A2889" t="str">
            <v>454272</v>
          </cell>
          <cell r="B2889" t="str">
            <v>1251</v>
          </cell>
          <cell r="C2889" t="str">
            <v>12</v>
          </cell>
          <cell r="D2889" t="str">
            <v>38</v>
          </cell>
          <cell r="E2889">
            <v>4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L2889">
            <v>0</v>
          </cell>
          <cell r="M2889">
            <v>0</v>
          </cell>
          <cell r="N2889">
            <v>0</v>
          </cell>
          <cell r="O2889">
            <v>0</v>
          </cell>
          <cell r="P2889">
            <v>0</v>
          </cell>
          <cell r="Q2889">
            <v>0</v>
          </cell>
          <cell r="R2889">
            <v>0</v>
          </cell>
          <cell r="S2889">
            <v>0</v>
          </cell>
          <cell r="T2889">
            <v>0</v>
          </cell>
          <cell r="U2889">
            <v>0</v>
          </cell>
          <cell r="V2889">
            <v>0</v>
          </cell>
          <cell r="W2889">
            <v>0</v>
          </cell>
        </row>
        <row r="2890">
          <cell r="A2890" t="str">
            <v>454272</v>
          </cell>
          <cell r="B2890" t="str">
            <v>1251</v>
          </cell>
          <cell r="C2890" t="str">
            <v>12</v>
          </cell>
          <cell r="D2890" t="str">
            <v>38</v>
          </cell>
          <cell r="E2890">
            <v>5</v>
          </cell>
          <cell r="G2890">
            <v>0</v>
          </cell>
          <cell r="H2890">
            <v>0</v>
          </cell>
          <cell r="I2890">
            <v>0</v>
          </cell>
          <cell r="J2890">
            <v>0</v>
          </cell>
          <cell r="K2890">
            <v>0</v>
          </cell>
          <cell r="L2890">
            <v>0</v>
          </cell>
          <cell r="M2890">
            <v>0</v>
          </cell>
          <cell r="N2890">
            <v>0</v>
          </cell>
          <cell r="O2890">
            <v>0</v>
          </cell>
          <cell r="P2890">
            <v>0</v>
          </cell>
          <cell r="Q2890">
            <v>0</v>
          </cell>
          <cell r="R2890">
            <v>0</v>
          </cell>
          <cell r="S2890">
            <v>0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</row>
        <row r="2891">
          <cell r="A2891" t="str">
            <v>454272</v>
          </cell>
          <cell r="B2891" t="str">
            <v>1251</v>
          </cell>
          <cell r="C2891" t="str">
            <v>12</v>
          </cell>
          <cell r="D2891" t="str">
            <v>38</v>
          </cell>
          <cell r="E2891">
            <v>6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L2891">
            <v>0</v>
          </cell>
          <cell r="M2891">
            <v>0</v>
          </cell>
          <cell r="N2891">
            <v>0</v>
          </cell>
          <cell r="O2891">
            <v>0</v>
          </cell>
          <cell r="P2891">
            <v>0</v>
          </cell>
          <cell r="Q2891">
            <v>0</v>
          </cell>
          <cell r="R2891">
            <v>0</v>
          </cell>
          <cell r="S2891">
            <v>0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</row>
        <row r="2892">
          <cell r="A2892" t="str">
            <v>454272</v>
          </cell>
          <cell r="B2892" t="str">
            <v>1251</v>
          </cell>
          <cell r="C2892" t="str">
            <v>12</v>
          </cell>
          <cell r="D2892" t="str">
            <v>38</v>
          </cell>
          <cell r="E2892">
            <v>7</v>
          </cell>
          <cell r="G2892">
            <v>0</v>
          </cell>
          <cell r="H2892">
            <v>0</v>
          </cell>
          <cell r="I2892">
            <v>0</v>
          </cell>
          <cell r="J2892">
            <v>0</v>
          </cell>
          <cell r="K2892">
            <v>0</v>
          </cell>
          <cell r="L2892">
            <v>0</v>
          </cell>
          <cell r="M2892">
            <v>0</v>
          </cell>
          <cell r="N2892">
            <v>0</v>
          </cell>
          <cell r="O2892">
            <v>0</v>
          </cell>
          <cell r="P2892">
            <v>0</v>
          </cell>
          <cell r="Q2892">
            <v>0</v>
          </cell>
          <cell r="R2892">
            <v>0</v>
          </cell>
          <cell r="S2892">
            <v>0</v>
          </cell>
          <cell r="T2892">
            <v>0</v>
          </cell>
          <cell r="U2892">
            <v>0</v>
          </cell>
          <cell r="V2892">
            <v>0</v>
          </cell>
          <cell r="W2892">
            <v>0</v>
          </cell>
        </row>
        <row r="2893">
          <cell r="A2893" t="str">
            <v>454272</v>
          </cell>
          <cell r="B2893" t="str">
            <v>1251</v>
          </cell>
          <cell r="C2893" t="str">
            <v>12</v>
          </cell>
          <cell r="D2893" t="str">
            <v>38</v>
          </cell>
          <cell r="E2893">
            <v>8</v>
          </cell>
          <cell r="G2893">
            <v>10657</v>
          </cell>
          <cell r="H2893">
            <v>156391</v>
          </cell>
          <cell r="I2893">
            <v>176181</v>
          </cell>
          <cell r="J2893">
            <v>5264</v>
          </cell>
          <cell r="K2893">
            <v>0</v>
          </cell>
          <cell r="L2893">
            <v>0</v>
          </cell>
          <cell r="M2893">
            <v>0</v>
          </cell>
          <cell r="N2893">
            <v>348493</v>
          </cell>
          <cell r="O2893">
            <v>0</v>
          </cell>
          <cell r="P2893">
            <v>0</v>
          </cell>
          <cell r="Q2893">
            <v>0</v>
          </cell>
          <cell r="R2893">
            <v>0</v>
          </cell>
          <cell r="S2893">
            <v>0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</row>
        <row r="2894">
          <cell r="A2894" t="str">
            <v>454272</v>
          </cell>
          <cell r="B2894" t="str">
            <v>1251</v>
          </cell>
          <cell r="C2894" t="str">
            <v>12</v>
          </cell>
          <cell r="D2894" t="str">
            <v>38</v>
          </cell>
          <cell r="E2894">
            <v>9</v>
          </cell>
          <cell r="G2894">
            <v>1032</v>
          </cell>
          <cell r="H2894">
            <v>0</v>
          </cell>
          <cell r="I2894">
            <v>52</v>
          </cell>
          <cell r="J2894">
            <v>0</v>
          </cell>
          <cell r="K2894">
            <v>0</v>
          </cell>
          <cell r="L2894">
            <v>0</v>
          </cell>
          <cell r="M2894">
            <v>0</v>
          </cell>
          <cell r="N2894">
            <v>1084</v>
          </cell>
          <cell r="O2894">
            <v>0</v>
          </cell>
          <cell r="P2894">
            <v>0</v>
          </cell>
          <cell r="Q2894">
            <v>0</v>
          </cell>
          <cell r="R2894">
            <v>0</v>
          </cell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</row>
        <row r="2895">
          <cell r="A2895" t="str">
            <v>454272</v>
          </cell>
          <cell r="B2895" t="str">
            <v>1251</v>
          </cell>
          <cell r="C2895" t="str">
            <v>12</v>
          </cell>
          <cell r="D2895" t="str">
            <v>38</v>
          </cell>
          <cell r="E2895">
            <v>10</v>
          </cell>
          <cell r="G2895">
            <v>11689</v>
          </cell>
          <cell r="H2895">
            <v>156391</v>
          </cell>
          <cell r="I2895">
            <v>176233</v>
          </cell>
          <cell r="J2895">
            <v>5264</v>
          </cell>
          <cell r="K2895">
            <v>0</v>
          </cell>
          <cell r="L2895">
            <v>0</v>
          </cell>
          <cell r="M2895">
            <v>0</v>
          </cell>
          <cell r="N2895">
            <v>349577</v>
          </cell>
          <cell r="O2895">
            <v>0</v>
          </cell>
          <cell r="P2895">
            <v>0</v>
          </cell>
          <cell r="Q2895">
            <v>0</v>
          </cell>
          <cell r="R2895">
            <v>0</v>
          </cell>
          <cell r="S2895">
            <v>0</v>
          </cell>
          <cell r="T2895">
            <v>0</v>
          </cell>
          <cell r="U2895">
            <v>0</v>
          </cell>
          <cell r="V2895">
            <v>0</v>
          </cell>
          <cell r="W2895">
            <v>0</v>
          </cell>
        </row>
        <row r="2896">
          <cell r="A2896" t="str">
            <v>454272</v>
          </cell>
          <cell r="B2896" t="str">
            <v>1251</v>
          </cell>
          <cell r="C2896" t="str">
            <v>12</v>
          </cell>
          <cell r="D2896" t="str">
            <v>38</v>
          </cell>
          <cell r="E2896">
            <v>11</v>
          </cell>
          <cell r="G2896">
            <v>11689</v>
          </cell>
          <cell r="H2896">
            <v>156391</v>
          </cell>
          <cell r="I2896">
            <v>176233</v>
          </cell>
          <cell r="J2896">
            <v>5264</v>
          </cell>
          <cell r="K2896">
            <v>0</v>
          </cell>
          <cell r="L2896">
            <v>0</v>
          </cell>
          <cell r="M2896">
            <v>0</v>
          </cell>
          <cell r="N2896">
            <v>349577</v>
          </cell>
          <cell r="O2896">
            <v>0</v>
          </cell>
          <cell r="P2896">
            <v>0</v>
          </cell>
          <cell r="Q2896">
            <v>0</v>
          </cell>
          <cell r="R2896">
            <v>0</v>
          </cell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</row>
        <row r="2897">
          <cell r="A2897" t="str">
            <v>454272</v>
          </cell>
          <cell r="B2897" t="str">
            <v>1251</v>
          </cell>
          <cell r="C2897" t="str">
            <v>12</v>
          </cell>
          <cell r="D2897" t="str">
            <v>38</v>
          </cell>
          <cell r="E2897">
            <v>12</v>
          </cell>
          <cell r="G2897">
            <v>0</v>
          </cell>
          <cell r="H2897">
            <v>0</v>
          </cell>
          <cell r="I2897">
            <v>295</v>
          </cell>
          <cell r="J2897">
            <v>0</v>
          </cell>
          <cell r="K2897">
            <v>0</v>
          </cell>
          <cell r="L2897">
            <v>0</v>
          </cell>
          <cell r="M2897">
            <v>0</v>
          </cell>
          <cell r="N2897">
            <v>295</v>
          </cell>
          <cell r="O2897">
            <v>0</v>
          </cell>
          <cell r="P2897">
            <v>0</v>
          </cell>
          <cell r="Q2897">
            <v>0</v>
          </cell>
          <cell r="R2897">
            <v>0</v>
          </cell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</row>
        <row r="2898">
          <cell r="A2898" t="str">
            <v>454272</v>
          </cell>
          <cell r="B2898" t="str">
            <v>1251</v>
          </cell>
          <cell r="C2898" t="str">
            <v>12</v>
          </cell>
          <cell r="D2898" t="str">
            <v>38</v>
          </cell>
          <cell r="E2898">
            <v>13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L2898">
            <v>0</v>
          </cell>
          <cell r="M2898">
            <v>0</v>
          </cell>
          <cell r="N2898">
            <v>0</v>
          </cell>
          <cell r="O2898">
            <v>0</v>
          </cell>
          <cell r="P2898">
            <v>0</v>
          </cell>
          <cell r="Q2898">
            <v>0</v>
          </cell>
          <cell r="R2898">
            <v>0</v>
          </cell>
          <cell r="S2898">
            <v>0</v>
          </cell>
          <cell r="T2898">
            <v>0</v>
          </cell>
          <cell r="U2898">
            <v>0</v>
          </cell>
          <cell r="V2898">
            <v>0</v>
          </cell>
          <cell r="W2898">
            <v>0</v>
          </cell>
        </row>
        <row r="2899">
          <cell r="A2899" t="str">
            <v>454272</v>
          </cell>
          <cell r="B2899" t="str">
            <v>1251</v>
          </cell>
          <cell r="C2899" t="str">
            <v>12</v>
          </cell>
          <cell r="D2899" t="str">
            <v>38</v>
          </cell>
          <cell r="E2899">
            <v>14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L2899">
            <v>0</v>
          </cell>
          <cell r="M2899">
            <v>0</v>
          </cell>
          <cell r="N2899">
            <v>0</v>
          </cell>
          <cell r="O2899">
            <v>0</v>
          </cell>
          <cell r="P2899">
            <v>0</v>
          </cell>
          <cell r="Q2899">
            <v>0</v>
          </cell>
          <cell r="R2899">
            <v>0</v>
          </cell>
          <cell r="S2899">
            <v>0</v>
          </cell>
          <cell r="T2899">
            <v>0</v>
          </cell>
          <cell r="U2899">
            <v>0</v>
          </cell>
          <cell r="V2899">
            <v>0</v>
          </cell>
          <cell r="W2899">
            <v>0</v>
          </cell>
        </row>
        <row r="2900">
          <cell r="A2900" t="str">
            <v>454272</v>
          </cell>
          <cell r="B2900" t="str">
            <v>1251</v>
          </cell>
          <cell r="C2900" t="str">
            <v>12</v>
          </cell>
          <cell r="D2900" t="str">
            <v>38</v>
          </cell>
          <cell r="E2900">
            <v>15</v>
          </cell>
          <cell r="G2900">
            <v>0</v>
          </cell>
          <cell r="H2900">
            <v>0</v>
          </cell>
          <cell r="I2900">
            <v>0</v>
          </cell>
          <cell r="J2900">
            <v>0</v>
          </cell>
          <cell r="K2900">
            <v>0</v>
          </cell>
          <cell r="L2900">
            <v>0</v>
          </cell>
          <cell r="M2900">
            <v>0</v>
          </cell>
          <cell r="N2900">
            <v>0</v>
          </cell>
          <cell r="O2900">
            <v>0</v>
          </cell>
          <cell r="P2900">
            <v>0</v>
          </cell>
          <cell r="Q2900">
            <v>0</v>
          </cell>
          <cell r="R2900">
            <v>0</v>
          </cell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</row>
        <row r="2901">
          <cell r="A2901" t="str">
            <v>454272</v>
          </cell>
          <cell r="B2901" t="str">
            <v>1251</v>
          </cell>
          <cell r="C2901" t="str">
            <v>12</v>
          </cell>
          <cell r="D2901" t="str">
            <v>38</v>
          </cell>
          <cell r="E2901">
            <v>16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L2901">
            <v>0</v>
          </cell>
          <cell r="M2901">
            <v>0</v>
          </cell>
          <cell r="N2901">
            <v>0</v>
          </cell>
          <cell r="O2901">
            <v>0</v>
          </cell>
          <cell r="P2901">
            <v>0</v>
          </cell>
          <cell r="Q2901">
            <v>0</v>
          </cell>
          <cell r="R2901">
            <v>0</v>
          </cell>
          <cell r="S2901">
            <v>0</v>
          </cell>
          <cell r="T2901">
            <v>0</v>
          </cell>
          <cell r="U2901">
            <v>0</v>
          </cell>
          <cell r="V2901">
            <v>0</v>
          </cell>
          <cell r="W2901">
            <v>0</v>
          </cell>
        </row>
        <row r="2902">
          <cell r="A2902" t="str">
            <v>454272</v>
          </cell>
          <cell r="B2902" t="str">
            <v>1251</v>
          </cell>
          <cell r="C2902" t="str">
            <v>12</v>
          </cell>
          <cell r="D2902" t="str">
            <v>38</v>
          </cell>
          <cell r="E2902">
            <v>17</v>
          </cell>
          <cell r="G2902">
            <v>1032</v>
          </cell>
          <cell r="H2902">
            <v>0</v>
          </cell>
          <cell r="I2902">
            <v>52</v>
          </cell>
          <cell r="J2902">
            <v>0</v>
          </cell>
          <cell r="K2902">
            <v>0</v>
          </cell>
          <cell r="L2902">
            <v>0</v>
          </cell>
          <cell r="M2902">
            <v>0</v>
          </cell>
          <cell r="N2902">
            <v>1084</v>
          </cell>
          <cell r="O2902">
            <v>0</v>
          </cell>
          <cell r="P2902">
            <v>0</v>
          </cell>
          <cell r="Q2902">
            <v>0</v>
          </cell>
          <cell r="R2902">
            <v>0</v>
          </cell>
          <cell r="S2902">
            <v>0</v>
          </cell>
          <cell r="T2902">
            <v>0</v>
          </cell>
          <cell r="U2902">
            <v>0</v>
          </cell>
          <cell r="V2902">
            <v>0</v>
          </cell>
          <cell r="W2902">
            <v>0</v>
          </cell>
        </row>
        <row r="2903">
          <cell r="A2903" t="str">
            <v>454272</v>
          </cell>
          <cell r="B2903" t="str">
            <v>1251</v>
          </cell>
          <cell r="C2903" t="str">
            <v>12</v>
          </cell>
          <cell r="D2903" t="str">
            <v>38</v>
          </cell>
          <cell r="E2903">
            <v>18</v>
          </cell>
          <cell r="G2903">
            <v>1032</v>
          </cell>
          <cell r="H2903">
            <v>0</v>
          </cell>
          <cell r="I2903">
            <v>347</v>
          </cell>
          <cell r="J2903">
            <v>0</v>
          </cell>
          <cell r="K2903">
            <v>0</v>
          </cell>
          <cell r="L2903">
            <v>0</v>
          </cell>
          <cell r="M2903">
            <v>0</v>
          </cell>
          <cell r="N2903">
            <v>1379</v>
          </cell>
          <cell r="O2903">
            <v>0</v>
          </cell>
          <cell r="P2903">
            <v>0</v>
          </cell>
          <cell r="Q2903">
            <v>0</v>
          </cell>
          <cell r="R2903">
            <v>0</v>
          </cell>
          <cell r="S2903">
            <v>0</v>
          </cell>
          <cell r="T2903">
            <v>0</v>
          </cell>
          <cell r="U2903">
            <v>0</v>
          </cell>
          <cell r="V2903">
            <v>0</v>
          </cell>
          <cell r="W2903">
            <v>0</v>
          </cell>
        </row>
        <row r="2904">
          <cell r="A2904" t="str">
            <v>454272</v>
          </cell>
          <cell r="B2904" t="str">
            <v>1251</v>
          </cell>
          <cell r="C2904" t="str">
            <v>12</v>
          </cell>
          <cell r="D2904" t="str">
            <v>38</v>
          </cell>
          <cell r="E2904">
            <v>19</v>
          </cell>
          <cell r="G2904">
            <v>10657</v>
          </cell>
          <cell r="H2904">
            <v>156391</v>
          </cell>
          <cell r="I2904">
            <v>175886</v>
          </cell>
          <cell r="J2904">
            <v>5264</v>
          </cell>
          <cell r="K2904">
            <v>0</v>
          </cell>
          <cell r="L2904">
            <v>0</v>
          </cell>
          <cell r="M2904">
            <v>0</v>
          </cell>
          <cell r="N2904">
            <v>348198</v>
          </cell>
          <cell r="O2904">
            <v>0</v>
          </cell>
          <cell r="P2904">
            <v>0</v>
          </cell>
          <cell r="Q2904">
            <v>0</v>
          </cell>
          <cell r="R2904">
            <v>0</v>
          </cell>
          <cell r="S2904">
            <v>0</v>
          </cell>
          <cell r="T2904">
            <v>0</v>
          </cell>
          <cell r="U2904">
            <v>0</v>
          </cell>
          <cell r="V2904">
            <v>0</v>
          </cell>
          <cell r="W2904">
            <v>0</v>
          </cell>
        </row>
        <row r="2905">
          <cell r="A2905" t="str">
            <v>454272</v>
          </cell>
          <cell r="B2905" t="str">
            <v>1251</v>
          </cell>
          <cell r="C2905" t="str">
            <v>12</v>
          </cell>
          <cell r="D2905" t="str">
            <v>38</v>
          </cell>
          <cell r="E2905">
            <v>20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  <cell r="L2905">
            <v>0</v>
          </cell>
          <cell r="M2905">
            <v>0</v>
          </cell>
          <cell r="N2905">
            <v>0</v>
          </cell>
          <cell r="O2905">
            <v>0</v>
          </cell>
          <cell r="P2905">
            <v>0</v>
          </cell>
          <cell r="Q2905">
            <v>0</v>
          </cell>
          <cell r="R2905">
            <v>0</v>
          </cell>
          <cell r="S2905">
            <v>0</v>
          </cell>
          <cell r="T2905">
            <v>0</v>
          </cell>
          <cell r="U2905">
            <v>0</v>
          </cell>
          <cell r="V2905">
            <v>0</v>
          </cell>
          <cell r="W2905">
            <v>0</v>
          </cell>
        </row>
        <row r="2906">
          <cell r="A2906" t="str">
            <v>454272</v>
          </cell>
          <cell r="B2906" t="str">
            <v>1251</v>
          </cell>
          <cell r="C2906" t="str">
            <v>12</v>
          </cell>
          <cell r="D2906" t="str">
            <v>38</v>
          </cell>
          <cell r="E2906">
            <v>21</v>
          </cell>
          <cell r="G2906">
            <v>9826</v>
          </cell>
          <cell r="H2906">
            <v>37172</v>
          </cell>
          <cell r="I2906">
            <v>120364</v>
          </cell>
          <cell r="J2906">
            <v>522</v>
          </cell>
          <cell r="K2906">
            <v>0</v>
          </cell>
          <cell r="L2906">
            <v>0</v>
          </cell>
          <cell r="M2906">
            <v>0</v>
          </cell>
          <cell r="N2906">
            <v>167884</v>
          </cell>
          <cell r="O2906">
            <v>0</v>
          </cell>
          <cell r="P2906">
            <v>0</v>
          </cell>
          <cell r="Q2906">
            <v>0</v>
          </cell>
          <cell r="R2906">
            <v>0</v>
          </cell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</row>
        <row r="2907">
          <cell r="A2907" t="str">
            <v>454272</v>
          </cell>
          <cell r="B2907" t="str">
            <v>1251</v>
          </cell>
          <cell r="C2907" t="str">
            <v>12</v>
          </cell>
          <cell r="D2907" t="str">
            <v>38</v>
          </cell>
          <cell r="E2907">
            <v>22</v>
          </cell>
          <cell r="G2907">
            <v>0</v>
          </cell>
          <cell r="H2907">
            <v>0</v>
          </cell>
          <cell r="I2907">
            <v>295</v>
          </cell>
          <cell r="J2907">
            <v>0</v>
          </cell>
          <cell r="K2907">
            <v>0</v>
          </cell>
          <cell r="L2907">
            <v>0</v>
          </cell>
          <cell r="M2907">
            <v>0</v>
          </cell>
          <cell r="N2907">
            <v>295</v>
          </cell>
          <cell r="O2907">
            <v>0</v>
          </cell>
          <cell r="P2907">
            <v>0</v>
          </cell>
          <cell r="Q2907">
            <v>0</v>
          </cell>
          <cell r="R2907">
            <v>0</v>
          </cell>
          <cell r="S2907">
            <v>0</v>
          </cell>
          <cell r="T2907">
            <v>0</v>
          </cell>
          <cell r="U2907">
            <v>0</v>
          </cell>
          <cell r="V2907">
            <v>0</v>
          </cell>
          <cell r="W2907">
            <v>0</v>
          </cell>
        </row>
        <row r="2908">
          <cell r="A2908" t="str">
            <v>454272</v>
          </cell>
          <cell r="B2908" t="str">
            <v>1251</v>
          </cell>
          <cell r="C2908" t="str">
            <v>12</v>
          </cell>
          <cell r="D2908" t="str">
            <v>38</v>
          </cell>
          <cell r="E2908">
            <v>23</v>
          </cell>
          <cell r="G2908">
            <v>9826</v>
          </cell>
          <cell r="H2908">
            <v>37172</v>
          </cell>
          <cell r="I2908">
            <v>120069</v>
          </cell>
          <cell r="J2908">
            <v>522</v>
          </cell>
          <cell r="K2908">
            <v>0</v>
          </cell>
          <cell r="L2908">
            <v>0</v>
          </cell>
          <cell r="M2908">
            <v>0</v>
          </cell>
          <cell r="N2908">
            <v>167589</v>
          </cell>
          <cell r="O2908">
            <v>0</v>
          </cell>
          <cell r="P2908">
            <v>0</v>
          </cell>
          <cell r="Q2908">
            <v>0</v>
          </cell>
          <cell r="R2908">
            <v>0</v>
          </cell>
          <cell r="S2908">
            <v>0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</row>
        <row r="2909">
          <cell r="A2909" t="str">
            <v>454272</v>
          </cell>
          <cell r="B2909" t="str">
            <v>1251</v>
          </cell>
          <cell r="C2909" t="str">
            <v>12</v>
          </cell>
          <cell r="D2909" t="str">
            <v>38</v>
          </cell>
          <cell r="E2909">
            <v>24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L2909">
            <v>0</v>
          </cell>
          <cell r="M2909">
            <v>0</v>
          </cell>
          <cell r="N2909">
            <v>0</v>
          </cell>
          <cell r="O2909">
            <v>0</v>
          </cell>
          <cell r="P2909">
            <v>0</v>
          </cell>
          <cell r="Q2909">
            <v>0</v>
          </cell>
          <cell r="R2909">
            <v>0</v>
          </cell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</row>
        <row r="2910">
          <cell r="A2910" t="str">
            <v>454272</v>
          </cell>
          <cell r="B2910" t="str">
            <v>1251</v>
          </cell>
          <cell r="C2910" t="str">
            <v>12</v>
          </cell>
          <cell r="D2910" t="str">
            <v>38</v>
          </cell>
          <cell r="E2910">
            <v>25</v>
          </cell>
          <cell r="G2910">
            <v>0</v>
          </cell>
          <cell r="H2910">
            <v>0</v>
          </cell>
          <cell r="I2910">
            <v>0</v>
          </cell>
          <cell r="J2910">
            <v>0</v>
          </cell>
          <cell r="K2910">
            <v>0</v>
          </cell>
          <cell r="L2910">
            <v>0</v>
          </cell>
          <cell r="M2910">
            <v>0</v>
          </cell>
          <cell r="N2910">
            <v>0</v>
          </cell>
          <cell r="O2910">
            <v>0</v>
          </cell>
          <cell r="P2910">
            <v>0</v>
          </cell>
          <cell r="Q2910">
            <v>0</v>
          </cell>
          <cell r="R2910">
            <v>0</v>
          </cell>
          <cell r="S2910">
            <v>0</v>
          </cell>
          <cell r="T2910">
            <v>0</v>
          </cell>
          <cell r="U2910">
            <v>0</v>
          </cell>
          <cell r="V2910">
            <v>0</v>
          </cell>
          <cell r="W2910">
            <v>0</v>
          </cell>
        </row>
        <row r="2911">
          <cell r="A2911" t="str">
            <v>454272</v>
          </cell>
          <cell r="B2911" t="str">
            <v>1251</v>
          </cell>
          <cell r="C2911" t="str">
            <v>12</v>
          </cell>
          <cell r="D2911" t="str">
            <v>38</v>
          </cell>
          <cell r="E2911">
            <v>26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L2911">
            <v>0</v>
          </cell>
          <cell r="M2911">
            <v>0</v>
          </cell>
          <cell r="N2911">
            <v>0</v>
          </cell>
          <cell r="O2911">
            <v>0</v>
          </cell>
          <cell r="P2911">
            <v>0</v>
          </cell>
          <cell r="Q2911">
            <v>0</v>
          </cell>
          <cell r="R2911">
            <v>0</v>
          </cell>
          <cell r="S2911">
            <v>0</v>
          </cell>
          <cell r="T2911">
            <v>0</v>
          </cell>
          <cell r="U2911">
            <v>0</v>
          </cell>
          <cell r="V2911">
            <v>0</v>
          </cell>
          <cell r="W2911">
            <v>0</v>
          </cell>
        </row>
        <row r="2912">
          <cell r="A2912" t="str">
            <v>454272</v>
          </cell>
          <cell r="B2912" t="str">
            <v>1251</v>
          </cell>
          <cell r="C2912" t="str">
            <v>12</v>
          </cell>
          <cell r="D2912" t="str">
            <v>38</v>
          </cell>
          <cell r="E2912">
            <v>27</v>
          </cell>
          <cell r="G2912">
            <v>0</v>
          </cell>
          <cell r="H2912">
            <v>0</v>
          </cell>
          <cell r="I2912">
            <v>0</v>
          </cell>
          <cell r="J2912">
            <v>0</v>
          </cell>
          <cell r="K2912">
            <v>0</v>
          </cell>
          <cell r="L2912">
            <v>0</v>
          </cell>
          <cell r="M2912">
            <v>0</v>
          </cell>
          <cell r="N2912">
            <v>0</v>
          </cell>
          <cell r="O2912">
            <v>0</v>
          </cell>
          <cell r="P2912">
            <v>0</v>
          </cell>
          <cell r="Q2912">
            <v>0</v>
          </cell>
          <cell r="R2912">
            <v>0</v>
          </cell>
          <cell r="S2912">
            <v>0</v>
          </cell>
          <cell r="T2912">
            <v>0</v>
          </cell>
          <cell r="U2912">
            <v>0</v>
          </cell>
          <cell r="V2912">
            <v>0</v>
          </cell>
          <cell r="W2912">
            <v>0</v>
          </cell>
        </row>
        <row r="2913">
          <cell r="A2913" t="str">
            <v>454272</v>
          </cell>
          <cell r="B2913" t="str">
            <v>1251</v>
          </cell>
          <cell r="C2913" t="str">
            <v>12</v>
          </cell>
          <cell r="D2913" t="str">
            <v>38</v>
          </cell>
          <cell r="E2913">
            <v>28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L2913">
            <v>0</v>
          </cell>
          <cell r="M2913">
            <v>0</v>
          </cell>
          <cell r="N2913">
            <v>0</v>
          </cell>
          <cell r="O2913">
            <v>0</v>
          </cell>
          <cell r="P2913">
            <v>0</v>
          </cell>
          <cell r="Q2913">
            <v>0</v>
          </cell>
          <cell r="R2913">
            <v>0</v>
          </cell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</row>
        <row r="2914">
          <cell r="A2914" t="str">
            <v>454272</v>
          </cell>
          <cell r="B2914" t="str">
            <v>1251</v>
          </cell>
          <cell r="C2914" t="str">
            <v>12</v>
          </cell>
          <cell r="D2914" t="str">
            <v>38</v>
          </cell>
          <cell r="E2914">
            <v>29</v>
          </cell>
          <cell r="G2914">
            <v>9826</v>
          </cell>
          <cell r="H2914">
            <v>37172</v>
          </cell>
          <cell r="I2914">
            <v>120069</v>
          </cell>
          <cell r="J2914">
            <v>522</v>
          </cell>
          <cell r="K2914">
            <v>0</v>
          </cell>
          <cell r="L2914">
            <v>0</v>
          </cell>
          <cell r="M2914">
            <v>0</v>
          </cell>
          <cell r="N2914">
            <v>167589</v>
          </cell>
          <cell r="O2914">
            <v>0</v>
          </cell>
          <cell r="P2914">
            <v>0</v>
          </cell>
          <cell r="Q2914">
            <v>0</v>
          </cell>
          <cell r="R2914">
            <v>0</v>
          </cell>
          <cell r="S2914">
            <v>0</v>
          </cell>
          <cell r="T2914">
            <v>0</v>
          </cell>
          <cell r="U2914">
            <v>0</v>
          </cell>
          <cell r="V2914">
            <v>0</v>
          </cell>
          <cell r="W2914">
            <v>0</v>
          </cell>
        </row>
        <row r="2915">
          <cell r="A2915" t="str">
            <v>454272</v>
          </cell>
          <cell r="B2915" t="str">
            <v>1251</v>
          </cell>
          <cell r="C2915" t="str">
            <v>12</v>
          </cell>
          <cell r="D2915" t="str">
            <v>38</v>
          </cell>
          <cell r="E2915">
            <v>30</v>
          </cell>
          <cell r="G2915">
            <v>831</v>
          </cell>
          <cell r="H2915">
            <v>119219</v>
          </cell>
          <cell r="I2915">
            <v>55817</v>
          </cell>
          <cell r="J2915">
            <v>4742</v>
          </cell>
          <cell r="K2915">
            <v>0</v>
          </cell>
          <cell r="L2915">
            <v>0</v>
          </cell>
          <cell r="M2915">
            <v>0</v>
          </cell>
          <cell r="N2915">
            <v>180609</v>
          </cell>
          <cell r="O2915">
            <v>0</v>
          </cell>
          <cell r="P2915">
            <v>0</v>
          </cell>
          <cell r="Q2915">
            <v>0</v>
          </cell>
          <cell r="R2915">
            <v>0</v>
          </cell>
          <cell r="S2915">
            <v>0</v>
          </cell>
          <cell r="T2915">
            <v>0</v>
          </cell>
          <cell r="U2915">
            <v>0</v>
          </cell>
          <cell r="V2915">
            <v>0</v>
          </cell>
          <cell r="W2915">
            <v>0</v>
          </cell>
        </row>
        <row r="2916">
          <cell r="A2916" t="str">
            <v>454272</v>
          </cell>
          <cell r="B2916" t="str">
            <v>1251</v>
          </cell>
          <cell r="C2916" t="str">
            <v>12</v>
          </cell>
          <cell r="D2916" t="str">
            <v>38</v>
          </cell>
          <cell r="E2916">
            <v>31</v>
          </cell>
          <cell r="G2916">
            <v>7906</v>
          </cell>
          <cell r="H2916">
            <v>43</v>
          </cell>
          <cell r="I2916">
            <v>68916</v>
          </cell>
          <cell r="J2916">
            <v>0</v>
          </cell>
          <cell r="K2916">
            <v>0</v>
          </cell>
          <cell r="L2916">
            <v>0</v>
          </cell>
          <cell r="M2916">
            <v>0</v>
          </cell>
          <cell r="N2916">
            <v>76865</v>
          </cell>
          <cell r="O2916">
            <v>0</v>
          </cell>
          <cell r="P2916">
            <v>0</v>
          </cell>
          <cell r="Q2916">
            <v>0</v>
          </cell>
          <cell r="R2916">
            <v>0</v>
          </cell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</row>
        <row r="2917">
          <cell r="A2917" t="str">
            <v>454272</v>
          </cell>
          <cell r="B2917" t="str">
            <v>1251</v>
          </cell>
          <cell r="C2917" t="str">
            <v>12</v>
          </cell>
          <cell r="D2917" t="str">
            <v>53</v>
          </cell>
          <cell r="E2917">
            <v>1</v>
          </cell>
          <cell r="G2917">
            <v>660</v>
          </cell>
          <cell r="H2917">
            <v>22</v>
          </cell>
          <cell r="I2917">
            <v>0</v>
          </cell>
          <cell r="J2917">
            <v>0</v>
          </cell>
          <cell r="K2917">
            <v>0</v>
          </cell>
          <cell r="L2917">
            <v>0</v>
          </cell>
          <cell r="M2917">
            <v>0</v>
          </cell>
          <cell r="N2917">
            <v>0</v>
          </cell>
          <cell r="O2917">
            <v>0</v>
          </cell>
          <cell r="P2917">
            <v>0</v>
          </cell>
          <cell r="Q2917">
            <v>0</v>
          </cell>
          <cell r="R2917">
            <v>0</v>
          </cell>
          <cell r="S2917">
            <v>0</v>
          </cell>
          <cell r="T2917">
            <v>82</v>
          </cell>
          <cell r="U2917">
            <v>0</v>
          </cell>
          <cell r="V2917">
            <v>0</v>
          </cell>
          <cell r="W2917">
            <v>0</v>
          </cell>
        </row>
        <row r="2918">
          <cell r="A2918" t="str">
            <v>454272</v>
          </cell>
          <cell r="B2918" t="str">
            <v>1251</v>
          </cell>
          <cell r="C2918" t="str">
            <v>12</v>
          </cell>
          <cell r="D2918" t="str">
            <v>53</v>
          </cell>
          <cell r="E2918">
            <v>15</v>
          </cell>
          <cell r="G2918">
            <v>288</v>
          </cell>
          <cell r="H2918">
            <v>0</v>
          </cell>
          <cell r="I2918">
            <v>0</v>
          </cell>
          <cell r="J2918">
            <v>0</v>
          </cell>
          <cell r="K2918">
            <v>20153</v>
          </cell>
          <cell r="L2918">
            <v>16699</v>
          </cell>
          <cell r="M2918">
            <v>0</v>
          </cell>
          <cell r="N2918">
            <v>0</v>
          </cell>
          <cell r="O2918">
            <v>5454</v>
          </cell>
          <cell r="P2918">
            <v>4843</v>
          </cell>
          <cell r="Q2918">
            <v>0</v>
          </cell>
          <cell r="R2918">
            <v>0</v>
          </cell>
          <cell r="S2918">
            <v>543</v>
          </cell>
          <cell r="T2918">
            <v>501</v>
          </cell>
          <cell r="U2918">
            <v>0</v>
          </cell>
          <cell r="V2918">
            <v>0</v>
          </cell>
          <cell r="W2918">
            <v>0</v>
          </cell>
        </row>
        <row r="2919">
          <cell r="A2919" t="str">
            <v>454272</v>
          </cell>
          <cell r="B2919" t="str">
            <v>1251</v>
          </cell>
          <cell r="C2919" t="str">
            <v>12</v>
          </cell>
          <cell r="D2919" t="str">
            <v>53</v>
          </cell>
          <cell r="E2919">
            <v>29</v>
          </cell>
          <cell r="G2919">
            <v>0</v>
          </cell>
          <cell r="H2919">
            <v>292</v>
          </cell>
          <cell r="I2919">
            <v>0</v>
          </cell>
          <cell r="J2919">
            <v>0</v>
          </cell>
          <cell r="K2919">
            <v>0</v>
          </cell>
          <cell r="L2919">
            <v>0</v>
          </cell>
          <cell r="M2919">
            <v>0</v>
          </cell>
          <cell r="N2919">
            <v>0</v>
          </cell>
          <cell r="O2919">
            <v>0</v>
          </cell>
          <cell r="P2919">
            <v>0</v>
          </cell>
          <cell r="Q2919">
            <v>0</v>
          </cell>
          <cell r="R2919">
            <v>40955</v>
          </cell>
          <cell r="S2919">
            <v>6865</v>
          </cell>
          <cell r="T2919">
            <v>1346</v>
          </cell>
          <cell r="U2919">
            <v>0</v>
          </cell>
          <cell r="V2919">
            <v>0</v>
          </cell>
          <cell r="W2919">
            <v>0</v>
          </cell>
        </row>
        <row r="2920">
          <cell r="A2920" t="str">
            <v>454272</v>
          </cell>
          <cell r="B2920" t="str">
            <v>1251</v>
          </cell>
          <cell r="C2920" t="str">
            <v>12</v>
          </cell>
          <cell r="D2920" t="str">
            <v>53</v>
          </cell>
          <cell r="E2920">
            <v>43</v>
          </cell>
          <cell r="G2920">
            <v>32744</v>
          </cell>
          <cell r="H2920">
            <v>0</v>
          </cell>
          <cell r="I2920">
            <v>0</v>
          </cell>
          <cell r="J2920">
            <v>0</v>
          </cell>
          <cell r="K2920">
            <v>0</v>
          </cell>
          <cell r="L2920">
            <v>0</v>
          </cell>
          <cell r="M2920">
            <v>0</v>
          </cell>
          <cell r="N2920">
            <v>0</v>
          </cell>
          <cell r="O2920">
            <v>0</v>
          </cell>
          <cell r="P2920">
            <v>0</v>
          </cell>
          <cell r="Q2920">
            <v>0</v>
          </cell>
          <cell r="R2920">
            <v>0</v>
          </cell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</row>
        <row r="2921">
          <cell r="A2921" t="str">
            <v>454272</v>
          </cell>
          <cell r="B2921" t="str">
            <v>1251</v>
          </cell>
          <cell r="C2921" t="str">
            <v>12</v>
          </cell>
          <cell r="D2921" t="str">
            <v>53</v>
          </cell>
          <cell r="E2921">
            <v>57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L2921">
            <v>0</v>
          </cell>
          <cell r="M2921">
            <v>0</v>
          </cell>
          <cell r="N2921">
            <v>0</v>
          </cell>
          <cell r="O2921">
            <v>0</v>
          </cell>
          <cell r="P2921">
            <v>0</v>
          </cell>
          <cell r="Q2921">
            <v>0</v>
          </cell>
          <cell r="R2921">
            <v>0</v>
          </cell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</row>
        <row r="2922">
          <cell r="A2922" t="str">
            <v>454272</v>
          </cell>
          <cell r="B2922" t="str">
            <v>1251</v>
          </cell>
          <cell r="C2922" t="str">
            <v>12</v>
          </cell>
          <cell r="D2922" t="str">
            <v>53</v>
          </cell>
          <cell r="E2922">
            <v>71</v>
          </cell>
          <cell r="G2922">
            <v>347418</v>
          </cell>
          <cell r="H2922">
            <v>153886</v>
          </cell>
          <cell r="I2922">
            <v>0</v>
          </cell>
          <cell r="J2922">
            <v>0</v>
          </cell>
          <cell r="K2922">
            <v>0</v>
          </cell>
          <cell r="L2922">
            <v>0</v>
          </cell>
          <cell r="M2922">
            <v>0</v>
          </cell>
          <cell r="N2922">
            <v>0</v>
          </cell>
          <cell r="O2922">
            <v>0</v>
          </cell>
          <cell r="P2922">
            <v>0</v>
          </cell>
          <cell r="Q2922">
            <v>0</v>
          </cell>
          <cell r="R2922">
            <v>0</v>
          </cell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</row>
        <row r="2923">
          <cell r="A2923" t="str">
            <v>454272</v>
          </cell>
          <cell r="B2923" t="str">
            <v>1251</v>
          </cell>
          <cell r="C2923" t="str">
            <v>12</v>
          </cell>
          <cell r="D2923" t="str">
            <v>57</v>
          </cell>
          <cell r="E2923">
            <v>1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L2923">
            <v>0</v>
          </cell>
          <cell r="M2923">
            <v>0</v>
          </cell>
          <cell r="N2923">
            <v>0</v>
          </cell>
          <cell r="O2923">
            <v>0</v>
          </cell>
          <cell r="P2923">
            <v>0</v>
          </cell>
          <cell r="Q2923">
            <v>0</v>
          </cell>
          <cell r="R2923">
            <v>0</v>
          </cell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</row>
        <row r="2924">
          <cell r="A2924" t="str">
            <v>454272</v>
          </cell>
          <cell r="B2924" t="str">
            <v>1251</v>
          </cell>
          <cell r="C2924" t="str">
            <v>12</v>
          </cell>
          <cell r="D2924" t="str">
            <v>57</v>
          </cell>
          <cell r="E2924">
            <v>3</v>
          </cell>
          <cell r="G2924">
            <v>0</v>
          </cell>
          <cell r="H2924">
            <v>0</v>
          </cell>
          <cell r="I2924">
            <v>0</v>
          </cell>
          <cell r="J2924">
            <v>0</v>
          </cell>
          <cell r="K2924">
            <v>0</v>
          </cell>
          <cell r="L2924">
            <v>0</v>
          </cell>
          <cell r="M2924">
            <v>0</v>
          </cell>
          <cell r="N2924">
            <v>0</v>
          </cell>
          <cell r="O2924">
            <v>0</v>
          </cell>
          <cell r="P2924">
            <v>0</v>
          </cell>
          <cell r="Q2924">
            <v>0</v>
          </cell>
          <cell r="R2924">
            <v>0</v>
          </cell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</row>
        <row r="2925">
          <cell r="A2925" t="str">
            <v>454272</v>
          </cell>
          <cell r="B2925" t="str">
            <v>1251</v>
          </cell>
          <cell r="C2925" t="str">
            <v>12</v>
          </cell>
          <cell r="D2925" t="str">
            <v>57</v>
          </cell>
          <cell r="E2925">
            <v>5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L2925">
            <v>0</v>
          </cell>
          <cell r="M2925">
            <v>0</v>
          </cell>
          <cell r="N2925">
            <v>0</v>
          </cell>
          <cell r="O2925">
            <v>0</v>
          </cell>
          <cell r="P2925">
            <v>0</v>
          </cell>
          <cell r="Q2925">
            <v>0</v>
          </cell>
          <cell r="R2925">
            <v>0</v>
          </cell>
          <cell r="S2925">
            <v>0</v>
          </cell>
          <cell r="T2925">
            <v>0</v>
          </cell>
          <cell r="U2925">
            <v>0</v>
          </cell>
          <cell r="V2925">
            <v>0</v>
          </cell>
          <cell r="W2925">
            <v>0</v>
          </cell>
        </row>
        <row r="2926">
          <cell r="A2926" t="str">
            <v>454272</v>
          </cell>
          <cell r="B2926" t="str">
            <v>1251</v>
          </cell>
          <cell r="C2926" t="str">
            <v>12</v>
          </cell>
          <cell r="D2926" t="str">
            <v>57</v>
          </cell>
          <cell r="E2926">
            <v>7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L2926">
            <v>0</v>
          </cell>
          <cell r="M2926">
            <v>0</v>
          </cell>
          <cell r="N2926">
            <v>0</v>
          </cell>
          <cell r="O2926">
            <v>0</v>
          </cell>
          <cell r="P2926">
            <v>0</v>
          </cell>
          <cell r="Q2926">
            <v>4387</v>
          </cell>
          <cell r="R2926">
            <v>0</v>
          </cell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</row>
        <row r="2927">
          <cell r="A2927" t="str">
            <v>454272</v>
          </cell>
          <cell r="B2927" t="str">
            <v>1251</v>
          </cell>
          <cell r="C2927" t="str">
            <v>12</v>
          </cell>
          <cell r="D2927" t="str">
            <v>57</v>
          </cell>
          <cell r="E2927">
            <v>9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1189</v>
          </cell>
          <cell r="L2927">
            <v>0</v>
          </cell>
          <cell r="M2927">
            <v>0</v>
          </cell>
          <cell r="N2927">
            <v>0</v>
          </cell>
          <cell r="O2927">
            <v>0</v>
          </cell>
          <cell r="P2927">
            <v>0</v>
          </cell>
          <cell r="Q2927">
            <v>0</v>
          </cell>
          <cell r="R2927">
            <v>0</v>
          </cell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</row>
        <row r="2928">
          <cell r="A2928" t="str">
            <v>454272</v>
          </cell>
          <cell r="B2928" t="str">
            <v>1251</v>
          </cell>
          <cell r="C2928" t="str">
            <v>12</v>
          </cell>
          <cell r="D2928" t="str">
            <v>57</v>
          </cell>
          <cell r="E2928">
            <v>11</v>
          </cell>
          <cell r="G2928">
            <v>0</v>
          </cell>
          <cell r="H2928">
            <v>0</v>
          </cell>
          <cell r="I2928">
            <v>0</v>
          </cell>
          <cell r="J2928">
            <v>0</v>
          </cell>
          <cell r="K2928">
            <v>0</v>
          </cell>
          <cell r="L2928">
            <v>0</v>
          </cell>
          <cell r="M2928">
            <v>0</v>
          </cell>
          <cell r="N2928">
            <v>0</v>
          </cell>
          <cell r="O2928">
            <v>0</v>
          </cell>
          <cell r="P2928">
            <v>0</v>
          </cell>
          <cell r="Q2928">
            <v>0</v>
          </cell>
          <cell r="R2928">
            <v>0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</row>
        <row r="2929">
          <cell r="A2929" t="str">
            <v>454272</v>
          </cell>
          <cell r="B2929" t="str">
            <v>1251</v>
          </cell>
          <cell r="C2929" t="str">
            <v>12</v>
          </cell>
          <cell r="D2929" t="str">
            <v>57</v>
          </cell>
          <cell r="E2929">
            <v>13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0</v>
          </cell>
          <cell r="Q2929">
            <v>0</v>
          </cell>
          <cell r="R2929">
            <v>0</v>
          </cell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</row>
        <row r="2930">
          <cell r="A2930" t="str">
            <v>454272</v>
          </cell>
          <cell r="B2930" t="str">
            <v>1251</v>
          </cell>
          <cell r="C2930" t="str">
            <v>12</v>
          </cell>
          <cell r="D2930" t="str">
            <v>57</v>
          </cell>
          <cell r="E2930">
            <v>15</v>
          </cell>
          <cell r="G2930">
            <v>0</v>
          </cell>
          <cell r="H2930">
            <v>0</v>
          </cell>
          <cell r="I2930">
            <v>0</v>
          </cell>
          <cell r="J2930">
            <v>0</v>
          </cell>
          <cell r="K2930">
            <v>0</v>
          </cell>
          <cell r="L2930">
            <v>0</v>
          </cell>
          <cell r="M2930">
            <v>0</v>
          </cell>
          <cell r="N2930">
            <v>0</v>
          </cell>
          <cell r="O2930">
            <v>0</v>
          </cell>
          <cell r="P2930">
            <v>0</v>
          </cell>
          <cell r="Q2930">
            <v>5576</v>
          </cell>
          <cell r="R2930">
            <v>0</v>
          </cell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</row>
        <row r="2931">
          <cell r="A2931" t="str">
            <v>454272</v>
          </cell>
          <cell r="B2931" t="str">
            <v>1251</v>
          </cell>
          <cell r="C2931" t="str">
            <v>12</v>
          </cell>
          <cell r="D2931" t="str">
            <v>57</v>
          </cell>
          <cell r="E2931">
            <v>17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5576</v>
          </cell>
          <cell r="L2931">
            <v>0</v>
          </cell>
          <cell r="M2931">
            <v>0</v>
          </cell>
          <cell r="N2931">
            <v>0</v>
          </cell>
          <cell r="O2931">
            <v>0</v>
          </cell>
          <cell r="P2931">
            <v>0</v>
          </cell>
          <cell r="Q2931">
            <v>0</v>
          </cell>
          <cell r="R2931">
            <v>0</v>
          </cell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</row>
        <row r="2932">
          <cell r="A2932" t="str">
            <v>454272</v>
          </cell>
          <cell r="B2932" t="str">
            <v>1251</v>
          </cell>
          <cell r="C2932" t="str">
            <v>12</v>
          </cell>
          <cell r="D2932" t="str">
            <v>58</v>
          </cell>
          <cell r="E2932">
            <v>1</v>
          </cell>
          <cell r="G2932">
            <v>0</v>
          </cell>
          <cell r="H2932">
            <v>0</v>
          </cell>
          <cell r="I2932">
            <v>0</v>
          </cell>
          <cell r="J2932">
            <v>0</v>
          </cell>
          <cell r="K2932">
            <v>0</v>
          </cell>
          <cell r="L2932">
            <v>0</v>
          </cell>
          <cell r="M2932">
            <v>0</v>
          </cell>
          <cell r="N2932">
            <v>0</v>
          </cell>
          <cell r="O2932">
            <v>0</v>
          </cell>
          <cell r="P2932">
            <v>0</v>
          </cell>
          <cell r="Q2932">
            <v>0</v>
          </cell>
          <cell r="R2932">
            <v>0</v>
          </cell>
          <cell r="S2932">
            <v>0</v>
          </cell>
          <cell r="T2932">
            <v>0</v>
          </cell>
          <cell r="U2932">
            <v>0</v>
          </cell>
          <cell r="V2932">
            <v>0</v>
          </cell>
          <cell r="W2932">
            <v>0</v>
          </cell>
        </row>
        <row r="2933">
          <cell r="A2933" t="str">
            <v>454272</v>
          </cell>
          <cell r="B2933" t="str">
            <v>1251</v>
          </cell>
          <cell r="C2933" t="str">
            <v>12</v>
          </cell>
          <cell r="D2933" t="str">
            <v>58</v>
          </cell>
          <cell r="E2933">
            <v>2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L2933">
            <v>0</v>
          </cell>
          <cell r="M2933">
            <v>0</v>
          </cell>
          <cell r="N2933">
            <v>0</v>
          </cell>
          <cell r="O2933">
            <v>0</v>
          </cell>
          <cell r="P2933">
            <v>0</v>
          </cell>
          <cell r="Q2933">
            <v>0</v>
          </cell>
          <cell r="R2933">
            <v>0</v>
          </cell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</row>
        <row r="2934">
          <cell r="A2934" t="str">
            <v>454272</v>
          </cell>
          <cell r="B2934" t="str">
            <v>1251</v>
          </cell>
          <cell r="C2934" t="str">
            <v>12</v>
          </cell>
          <cell r="D2934" t="str">
            <v>58</v>
          </cell>
          <cell r="E2934">
            <v>3</v>
          </cell>
          <cell r="G2934">
            <v>0</v>
          </cell>
          <cell r="H2934">
            <v>0</v>
          </cell>
          <cell r="I2934">
            <v>21618</v>
          </cell>
          <cell r="J2934">
            <v>0</v>
          </cell>
          <cell r="K2934">
            <v>21618</v>
          </cell>
          <cell r="L2934">
            <v>0</v>
          </cell>
          <cell r="M2934">
            <v>0</v>
          </cell>
          <cell r="N2934">
            <v>20429</v>
          </cell>
          <cell r="O2934">
            <v>0</v>
          </cell>
          <cell r="P2934">
            <v>1189</v>
          </cell>
          <cell r="Q2934">
            <v>1189</v>
          </cell>
          <cell r="R2934">
            <v>0</v>
          </cell>
          <cell r="S2934">
            <v>0</v>
          </cell>
          <cell r="T2934">
            <v>0</v>
          </cell>
          <cell r="U2934">
            <v>0</v>
          </cell>
          <cell r="V2934">
            <v>0</v>
          </cell>
          <cell r="W2934">
            <v>0</v>
          </cell>
        </row>
        <row r="2935">
          <cell r="A2935" t="str">
            <v>454272</v>
          </cell>
          <cell r="B2935" t="str">
            <v>1251</v>
          </cell>
          <cell r="C2935" t="str">
            <v>12</v>
          </cell>
          <cell r="D2935" t="str">
            <v>58</v>
          </cell>
          <cell r="E2935">
            <v>4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0</v>
          </cell>
          <cell r="Q2935">
            <v>0</v>
          </cell>
          <cell r="R2935">
            <v>0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</row>
        <row r="2936">
          <cell r="A2936" t="str">
            <v>454272</v>
          </cell>
          <cell r="B2936" t="str">
            <v>1251</v>
          </cell>
          <cell r="C2936" t="str">
            <v>12</v>
          </cell>
          <cell r="D2936" t="str">
            <v>58</v>
          </cell>
          <cell r="E2936">
            <v>5</v>
          </cell>
          <cell r="G2936">
            <v>0</v>
          </cell>
          <cell r="H2936">
            <v>0</v>
          </cell>
          <cell r="I2936">
            <v>0</v>
          </cell>
          <cell r="J2936">
            <v>0</v>
          </cell>
          <cell r="K2936">
            <v>0</v>
          </cell>
          <cell r="L2936">
            <v>0</v>
          </cell>
          <cell r="M2936">
            <v>0</v>
          </cell>
          <cell r="N2936">
            <v>0</v>
          </cell>
          <cell r="O2936">
            <v>0</v>
          </cell>
          <cell r="P2936">
            <v>0</v>
          </cell>
          <cell r="Q2936">
            <v>0</v>
          </cell>
          <cell r="R2936">
            <v>0</v>
          </cell>
          <cell r="S2936">
            <v>0</v>
          </cell>
          <cell r="T2936">
            <v>0</v>
          </cell>
          <cell r="U2936">
            <v>0</v>
          </cell>
          <cell r="V2936">
            <v>0</v>
          </cell>
          <cell r="W2936">
            <v>0</v>
          </cell>
        </row>
        <row r="2937">
          <cell r="A2937" t="str">
            <v>454272</v>
          </cell>
          <cell r="B2937" t="str">
            <v>1251</v>
          </cell>
          <cell r="C2937" t="str">
            <v>12</v>
          </cell>
          <cell r="D2937" t="str">
            <v>58</v>
          </cell>
          <cell r="E2937">
            <v>6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L2937">
            <v>0</v>
          </cell>
          <cell r="M2937">
            <v>0</v>
          </cell>
          <cell r="N2937">
            <v>0</v>
          </cell>
          <cell r="O2937">
            <v>0</v>
          </cell>
          <cell r="P2937">
            <v>0</v>
          </cell>
          <cell r="Q2937">
            <v>0</v>
          </cell>
          <cell r="R2937">
            <v>0</v>
          </cell>
          <cell r="S2937">
            <v>0</v>
          </cell>
          <cell r="T2937">
            <v>0</v>
          </cell>
          <cell r="U2937">
            <v>0</v>
          </cell>
          <cell r="V2937">
            <v>0</v>
          </cell>
          <cell r="W2937">
            <v>0</v>
          </cell>
        </row>
        <row r="2938">
          <cell r="A2938" t="str">
            <v>454272</v>
          </cell>
          <cell r="B2938" t="str">
            <v>1251</v>
          </cell>
          <cell r="C2938" t="str">
            <v>12</v>
          </cell>
          <cell r="D2938" t="str">
            <v>58</v>
          </cell>
          <cell r="E2938">
            <v>7</v>
          </cell>
          <cell r="G2938">
            <v>0</v>
          </cell>
          <cell r="H2938">
            <v>0</v>
          </cell>
          <cell r="I2938">
            <v>0</v>
          </cell>
          <cell r="J2938">
            <v>0</v>
          </cell>
          <cell r="K2938">
            <v>0</v>
          </cell>
          <cell r="L2938">
            <v>0</v>
          </cell>
          <cell r="M2938">
            <v>0</v>
          </cell>
          <cell r="N2938">
            <v>0</v>
          </cell>
          <cell r="O2938">
            <v>0</v>
          </cell>
          <cell r="P2938">
            <v>0</v>
          </cell>
          <cell r="Q2938">
            <v>0</v>
          </cell>
          <cell r="R2938">
            <v>0</v>
          </cell>
          <cell r="S2938">
            <v>0</v>
          </cell>
          <cell r="T2938">
            <v>0</v>
          </cell>
          <cell r="U2938">
            <v>0</v>
          </cell>
          <cell r="V2938">
            <v>0</v>
          </cell>
          <cell r="W2938">
            <v>0</v>
          </cell>
        </row>
        <row r="2939">
          <cell r="A2939" t="str">
            <v>454272</v>
          </cell>
          <cell r="B2939" t="str">
            <v>1251</v>
          </cell>
          <cell r="C2939" t="str">
            <v>12</v>
          </cell>
          <cell r="D2939" t="str">
            <v>58</v>
          </cell>
          <cell r="E2939">
            <v>8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L2939">
            <v>0</v>
          </cell>
          <cell r="M2939">
            <v>0</v>
          </cell>
          <cell r="N2939">
            <v>0</v>
          </cell>
          <cell r="O2939">
            <v>0</v>
          </cell>
          <cell r="P2939">
            <v>0</v>
          </cell>
          <cell r="Q2939">
            <v>0</v>
          </cell>
          <cell r="R2939">
            <v>0</v>
          </cell>
          <cell r="S2939">
            <v>0</v>
          </cell>
          <cell r="T2939">
            <v>0</v>
          </cell>
          <cell r="U2939">
            <v>0</v>
          </cell>
          <cell r="V2939">
            <v>0</v>
          </cell>
          <cell r="W2939">
            <v>0</v>
          </cell>
        </row>
        <row r="2940">
          <cell r="A2940" t="str">
            <v>454272</v>
          </cell>
          <cell r="B2940" t="str">
            <v>1251</v>
          </cell>
          <cell r="C2940" t="str">
            <v>12</v>
          </cell>
          <cell r="D2940" t="str">
            <v>58</v>
          </cell>
          <cell r="E2940">
            <v>9</v>
          </cell>
          <cell r="G2940">
            <v>0</v>
          </cell>
          <cell r="H2940">
            <v>0</v>
          </cell>
          <cell r="I2940">
            <v>0</v>
          </cell>
          <cell r="J2940">
            <v>0</v>
          </cell>
          <cell r="K2940">
            <v>0</v>
          </cell>
          <cell r="L2940">
            <v>0</v>
          </cell>
          <cell r="M2940">
            <v>0</v>
          </cell>
          <cell r="N2940">
            <v>0</v>
          </cell>
          <cell r="O2940">
            <v>0</v>
          </cell>
          <cell r="P2940">
            <v>0</v>
          </cell>
          <cell r="Q2940">
            <v>0</v>
          </cell>
          <cell r="R2940">
            <v>0</v>
          </cell>
          <cell r="S2940">
            <v>0</v>
          </cell>
          <cell r="T2940">
            <v>0</v>
          </cell>
          <cell r="U2940">
            <v>0</v>
          </cell>
          <cell r="V2940">
            <v>0</v>
          </cell>
          <cell r="W2940">
            <v>0</v>
          </cell>
        </row>
        <row r="2941">
          <cell r="A2941" t="str">
            <v>454272</v>
          </cell>
          <cell r="B2941" t="str">
            <v>1251</v>
          </cell>
          <cell r="C2941" t="str">
            <v>12</v>
          </cell>
          <cell r="D2941" t="str">
            <v>58</v>
          </cell>
          <cell r="E2941">
            <v>10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L2941">
            <v>0</v>
          </cell>
          <cell r="M2941">
            <v>0</v>
          </cell>
          <cell r="N2941">
            <v>0</v>
          </cell>
          <cell r="O2941">
            <v>0</v>
          </cell>
          <cell r="P2941">
            <v>0</v>
          </cell>
          <cell r="Q2941">
            <v>0</v>
          </cell>
          <cell r="R2941">
            <v>0</v>
          </cell>
          <cell r="S2941">
            <v>0</v>
          </cell>
          <cell r="T2941">
            <v>0</v>
          </cell>
          <cell r="U2941">
            <v>0</v>
          </cell>
          <cell r="V2941">
            <v>0</v>
          </cell>
          <cell r="W2941">
            <v>0</v>
          </cell>
        </row>
        <row r="2942">
          <cell r="A2942" t="str">
            <v>454272</v>
          </cell>
          <cell r="B2942" t="str">
            <v>1251</v>
          </cell>
          <cell r="C2942" t="str">
            <v>12</v>
          </cell>
          <cell r="D2942" t="str">
            <v>58</v>
          </cell>
          <cell r="E2942">
            <v>11</v>
          </cell>
          <cell r="G2942">
            <v>0</v>
          </cell>
          <cell r="H2942">
            <v>0</v>
          </cell>
          <cell r="I2942">
            <v>21618</v>
          </cell>
          <cell r="J2942">
            <v>0</v>
          </cell>
          <cell r="K2942">
            <v>21618</v>
          </cell>
          <cell r="L2942">
            <v>0</v>
          </cell>
          <cell r="M2942">
            <v>0</v>
          </cell>
          <cell r="N2942">
            <v>20429</v>
          </cell>
          <cell r="O2942">
            <v>0</v>
          </cell>
          <cell r="P2942">
            <v>1189</v>
          </cell>
          <cell r="Q2942">
            <v>1189</v>
          </cell>
          <cell r="R2942">
            <v>0</v>
          </cell>
          <cell r="S2942">
            <v>0</v>
          </cell>
          <cell r="T2942">
            <v>0</v>
          </cell>
          <cell r="U2942">
            <v>0</v>
          </cell>
          <cell r="V2942">
            <v>0</v>
          </cell>
          <cell r="W2942">
            <v>0</v>
          </cell>
        </row>
        <row r="2943">
          <cell r="A2943" t="str">
            <v>454272</v>
          </cell>
          <cell r="B2943" t="str">
            <v>1251</v>
          </cell>
          <cell r="C2943" t="str">
            <v>12</v>
          </cell>
          <cell r="D2943" t="str">
            <v>59</v>
          </cell>
          <cell r="E2943">
            <v>1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L2943">
            <v>0</v>
          </cell>
          <cell r="M2943">
            <v>0</v>
          </cell>
          <cell r="N2943">
            <v>0</v>
          </cell>
          <cell r="O2943">
            <v>0</v>
          </cell>
          <cell r="P2943">
            <v>0</v>
          </cell>
          <cell r="Q2943">
            <v>0</v>
          </cell>
          <cell r="R2943">
            <v>0</v>
          </cell>
          <cell r="S2943">
            <v>0</v>
          </cell>
          <cell r="T2943">
            <v>0</v>
          </cell>
          <cell r="U2943">
            <v>0</v>
          </cell>
          <cell r="V2943">
            <v>0</v>
          </cell>
          <cell r="W2943">
            <v>0</v>
          </cell>
        </row>
        <row r="2944">
          <cell r="A2944" t="str">
            <v>454272</v>
          </cell>
          <cell r="B2944" t="str">
            <v>1251</v>
          </cell>
          <cell r="C2944" t="str">
            <v>12</v>
          </cell>
          <cell r="D2944" t="str">
            <v>59</v>
          </cell>
          <cell r="E2944">
            <v>2</v>
          </cell>
          <cell r="G2944">
            <v>0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  <cell r="L2944">
            <v>0</v>
          </cell>
          <cell r="M2944">
            <v>0</v>
          </cell>
          <cell r="N2944">
            <v>0</v>
          </cell>
          <cell r="O2944">
            <v>0</v>
          </cell>
          <cell r="P2944">
            <v>0</v>
          </cell>
          <cell r="Q2944">
            <v>0</v>
          </cell>
          <cell r="R2944">
            <v>0</v>
          </cell>
          <cell r="S2944">
            <v>0</v>
          </cell>
          <cell r="T2944">
            <v>0</v>
          </cell>
          <cell r="U2944">
            <v>0</v>
          </cell>
          <cell r="V2944">
            <v>0</v>
          </cell>
          <cell r="W2944">
            <v>0</v>
          </cell>
        </row>
        <row r="2945">
          <cell r="A2945" t="str">
            <v>454272</v>
          </cell>
          <cell r="B2945" t="str">
            <v>1251</v>
          </cell>
          <cell r="C2945" t="str">
            <v>12</v>
          </cell>
          <cell r="D2945" t="str">
            <v>59</v>
          </cell>
          <cell r="E2945">
            <v>3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L2945">
            <v>0</v>
          </cell>
          <cell r="M2945">
            <v>0</v>
          </cell>
          <cell r="N2945">
            <v>0</v>
          </cell>
          <cell r="O2945">
            <v>0</v>
          </cell>
          <cell r="P2945">
            <v>0</v>
          </cell>
          <cell r="Q2945">
            <v>0</v>
          </cell>
          <cell r="R2945">
            <v>0</v>
          </cell>
          <cell r="S2945">
            <v>0</v>
          </cell>
          <cell r="T2945">
            <v>0</v>
          </cell>
          <cell r="U2945">
            <v>0</v>
          </cell>
          <cell r="V2945">
            <v>0</v>
          </cell>
          <cell r="W2945">
            <v>0</v>
          </cell>
        </row>
        <row r="2946">
          <cell r="A2946" t="str">
            <v>454272</v>
          </cell>
          <cell r="B2946" t="str">
            <v>1251</v>
          </cell>
          <cell r="C2946" t="str">
            <v>12</v>
          </cell>
          <cell r="D2946" t="str">
            <v>59</v>
          </cell>
          <cell r="E2946">
            <v>4</v>
          </cell>
          <cell r="G2946">
            <v>0</v>
          </cell>
          <cell r="H2946">
            <v>0</v>
          </cell>
          <cell r="I2946">
            <v>0</v>
          </cell>
          <cell r="J2946">
            <v>0</v>
          </cell>
          <cell r="K2946">
            <v>0</v>
          </cell>
          <cell r="L2946">
            <v>0</v>
          </cell>
          <cell r="M2946">
            <v>0</v>
          </cell>
          <cell r="N2946">
            <v>0</v>
          </cell>
          <cell r="O2946">
            <v>0</v>
          </cell>
          <cell r="P2946">
            <v>0</v>
          </cell>
          <cell r="Q2946">
            <v>0</v>
          </cell>
          <cell r="R2946">
            <v>0</v>
          </cell>
          <cell r="S2946">
            <v>0</v>
          </cell>
          <cell r="T2946">
            <v>0</v>
          </cell>
          <cell r="U2946">
            <v>0</v>
          </cell>
          <cell r="V2946">
            <v>0</v>
          </cell>
          <cell r="W2946">
            <v>0</v>
          </cell>
        </row>
        <row r="2947">
          <cell r="A2947" t="str">
            <v>454272</v>
          </cell>
          <cell r="B2947" t="str">
            <v>1251</v>
          </cell>
          <cell r="C2947" t="str">
            <v>12</v>
          </cell>
          <cell r="D2947" t="str">
            <v>59</v>
          </cell>
          <cell r="E2947">
            <v>5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L2947">
            <v>0</v>
          </cell>
          <cell r="M2947">
            <v>0</v>
          </cell>
          <cell r="N2947">
            <v>0</v>
          </cell>
          <cell r="O2947">
            <v>0</v>
          </cell>
          <cell r="P2947">
            <v>0</v>
          </cell>
          <cell r="Q2947">
            <v>0</v>
          </cell>
          <cell r="R2947">
            <v>0</v>
          </cell>
          <cell r="S2947">
            <v>0</v>
          </cell>
          <cell r="T2947">
            <v>0</v>
          </cell>
          <cell r="U2947">
            <v>0</v>
          </cell>
          <cell r="V2947">
            <v>0</v>
          </cell>
          <cell r="W2947">
            <v>0</v>
          </cell>
        </row>
        <row r="2948">
          <cell r="A2948" t="str">
            <v>454272</v>
          </cell>
          <cell r="B2948" t="str">
            <v>1251</v>
          </cell>
          <cell r="C2948" t="str">
            <v>12</v>
          </cell>
          <cell r="D2948" t="str">
            <v>59</v>
          </cell>
          <cell r="E2948">
            <v>6</v>
          </cell>
          <cell r="G2948">
            <v>0</v>
          </cell>
          <cell r="H2948">
            <v>0</v>
          </cell>
          <cell r="I2948">
            <v>0</v>
          </cell>
          <cell r="J2948">
            <v>0</v>
          </cell>
          <cell r="K2948">
            <v>0</v>
          </cell>
          <cell r="L2948">
            <v>0</v>
          </cell>
          <cell r="M2948">
            <v>0</v>
          </cell>
          <cell r="N2948">
            <v>0</v>
          </cell>
          <cell r="O2948">
            <v>0</v>
          </cell>
          <cell r="P2948">
            <v>0</v>
          </cell>
          <cell r="Q2948">
            <v>0</v>
          </cell>
          <cell r="R2948">
            <v>0</v>
          </cell>
          <cell r="S2948">
            <v>0</v>
          </cell>
          <cell r="T2948">
            <v>0</v>
          </cell>
          <cell r="U2948">
            <v>0</v>
          </cell>
          <cell r="V2948">
            <v>0</v>
          </cell>
          <cell r="W2948">
            <v>0</v>
          </cell>
        </row>
        <row r="2949">
          <cell r="A2949" t="str">
            <v>454272</v>
          </cell>
          <cell r="B2949" t="str">
            <v>1251</v>
          </cell>
          <cell r="C2949" t="str">
            <v>12</v>
          </cell>
          <cell r="D2949" t="str">
            <v>59</v>
          </cell>
          <cell r="E2949">
            <v>7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L2949">
            <v>0</v>
          </cell>
          <cell r="M2949">
            <v>0</v>
          </cell>
          <cell r="N2949">
            <v>0</v>
          </cell>
          <cell r="O2949">
            <v>0</v>
          </cell>
          <cell r="P2949">
            <v>0</v>
          </cell>
          <cell r="Q2949">
            <v>0</v>
          </cell>
          <cell r="R2949">
            <v>0</v>
          </cell>
          <cell r="S2949">
            <v>0</v>
          </cell>
          <cell r="T2949">
            <v>0</v>
          </cell>
          <cell r="U2949">
            <v>0</v>
          </cell>
          <cell r="V2949">
            <v>0</v>
          </cell>
          <cell r="W2949">
            <v>0</v>
          </cell>
        </row>
        <row r="2950">
          <cell r="A2950" t="str">
            <v>454272</v>
          </cell>
          <cell r="B2950" t="str">
            <v>1251</v>
          </cell>
          <cell r="C2950" t="str">
            <v>12</v>
          </cell>
          <cell r="D2950" t="str">
            <v>59</v>
          </cell>
          <cell r="E2950">
            <v>8</v>
          </cell>
          <cell r="G2950">
            <v>0</v>
          </cell>
          <cell r="H2950">
            <v>0</v>
          </cell>
          <cell r="I2950">
            <v>70109</v>
          </cell>
          <cell r="J2950">
            <v>0</v>
          </cell>
          <cell r="K2950">
            <v>70109</v>
          </cell>
          <cell r="L2950">
            <v>0</v>
          </cell>
          <cell r="M2950">
            <v>0</v>
          </cell>
          <cell r="N2950">
            <v>58886</v>
          </cell>
          <cell r="O2950">
            <v>0</v>
          </cell>
          <cell r="P2950">
            <v>11223</v>
          </cell>
          <cell r="Q2950">
            <v>11223</v>
          </cell>
          <cell r="R2950">
            <v>0</v>
          </cell>
          <cell r="S2950">
            <v>0</v>
          </cell>
          <cell r="T2950">
            <v>0</v>
          </cell>
          <cell r="U2950">
            <v>0</v>
          </cell>
          <cell r="V2950">
            <v>0</v>
          </cell>
          <cell r="W2950">
            <v>0</v>
          </cell>
        </row>
        <row r="2951">
          <cell r="A2951" t="str">
            <v>454272</v>
          </cell>
          <cell r="B2951" t="str">
            <v>1251</v>
          </cell>
          <cell r="C2951" t="str">
            <v>12</v>
          </cell>
          <cell r="D2951" t="str">
            <v>59</v>
          </cell>
          <cell r="E2951">
            <v>9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L2951">
            <v>0</v>
          </cell>
          <cell r="M2951">
            <v>0</v>
          </cell>
          <cell r="N2951">
            <v>0</v>
          </cell>
          <cell r="O2951">
            <v>0</v>
          </cell>
          <cell r="P2951">
            <v>0</v>
          </cell>
          <cell r="Q2951">
            <v>0</v>
          </cell>
          <cell r="R2951">
            <v>0</v>
          </cell>
          <cell r="S2951">
            <v>0</v>
          </cell>
          <cell r="T2951">
            <v>0</v>
          </cell>
          <cell r="U2951">
            <v>0</v>
          </cell>
          <cell r="V2951">
            <v>0</v>
          </cell>
          <cell r="W2951">
            <v>0</v>
          </cell>
        </row>
        <row r="2952">
          <cell r="A2952" t="str">
            <v>454272</v>
          </cell>
          <cell r="B2952" t="str">
            <v>1251</v>
          </cell>
          <cell r="C2952" t="str">
            <v>12</v>
          </cell>
          <cell r="D2952" t="str">
            <v>59</v>
          </cell>
          <cell r="E2952">
            <v>10</v>
          </cell>
          <cell r="G2952">
            <v>0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  <cell r="L2952">
            <v>0</v>
          </cell>
          <cell r="M2952">
            <v>0</v>
          </cell>
          <cell r="N2952">
            <v>0</v>
          </cell>
          <cell r="O2952">
            <v>0</v>
          </cell>
          <cell r="P2952">
            <v>0</v>
          </cell>
          <cell r="Q2952">
            <v>0</v>
          </cell>
          <cell r="R2952">
            <v>0</v>
          </cell>
          <cell r="S2952">
            <v>0</v>
          </cell>
          <cell r="T2952">
            <v>0</v>
          </cell>
          <cell r="U2952">
            <v>0</v>
          </cell>
          <cell r="V2952">
            <v>0</v>
          </cell>
          <cell r="W2952">
            <v>0</v>
          </cell>
        </row>
        <row r="2953">
          <cell r="A2953" t="str">
            <v>454272</v>
          </cell>
          <cell r="B2953" t="str">
            <v>1251</v>
          </cell>
          <cell r="C2953" t="str">
            <v>12</v>
          </cell>
          <cell r="D2953" t="str">
            <v>59</v>
          </cell>
          <cell r="E2953">
            <v>11</v>
          </cell>
          <cell r="G2953">
            <v>0</v>
          </cell>
          <cell r="H2953">
            <v>0</v>
          </cell>
          <cell r="I2953">
            <v>70109</v>
          </cell>
          <cell r="J2953">
            <v>0</v>
          </cell>
          <cell r="K2953">
            <v>70109</v>
          </cell>
          <cell r="L2953">
            <v>0</v>
          </cell>
          <cell r="M2953">
            <v>0</v>
          </cell>
          <cell r="N2953">
            <v>58886</v>
          </cell>
          <cell r="O2953">
            <v>0</v>
          </cell>
          <cell r="P2953">
            <v>11223</v>
          </cell>
          <cell r="Q2953">
            <v>11223</v>
          </cell>
          <cell r="R2953">
            <v>0</v>
          </cell>
          <cell r="S2953">
            <v>0</v>
          </cell>
          <cell r="T2953">
            <v>0</v>
          </cell>
          <cell r="U2953">
            <v>0</v>
          </cell>
          <cell r="V2953">
            <v>0</v>
          </cell>
          <cell r="W2953">
            <v>0</v>
          </cell>
        </row>
        <row r="2954">
          <cell r="A2954" t="str">
            <v>454272</v>
          </cell>
          <cell r="B2954" t="str">
            <v>1251</v>
          </cell>
          <cell r="C2954" t="str">
            <v>12</v>
          </cell>
          <cell r="D2954" t="str">
            <v>59</v>
          </cell>
          <cell r="E2954">
            <v>12</v>
          </cell>
          <cell r="G2954">
            <v>0</v>
          </cell>
          <cell r="H2954">
            <v>0</v>
          </cell>
          <cell r="I2954">
            <v>0</v>
          </cell>
          <cell r="J2954">
            <v>0</v>
          </cell>
          <cell r="K2954">
            <v>0</v>
          </cell>
          <cell r="L2954">
            <v>0</v>
          </cell>
          <cell r="M2954">
            <v>0</v>
          </cell>
          <cell r="N2954">
            <v>0</v>
          </cell>
          <cell r="O2954">
            <v>0</v>
          </cell>
          <cell r="P2954">
            <v>0</v>
          </cell>
          <cell r="Q2954">
            <v>0</v>
          </cell>
          <cell r="R2954">
            <v>0</v>
          </cell>
          <cell r="S2954">
            <v>0</v>
          </cell>
          <cell r="T2954">
            <v>0</v>
          </cell>
          <cell r="U2954">
            <v>0</v>
          </cell>
          <cell r="V2954">
            <v>0</v>
          </cell>
          <cell r="W2954">
            <v>0</v>
          </cell>
        </row>
        <row r="2955">
          <cell r="A2955" t="str">
            <v>454272</v>
          </cell>
          <cell r="B2955" t="str">
            <v>1251</v>
          </cell>
          <cell r="C2955" t="str">
            <v>12</v>
          </cell>
          <cell r="D2955" t="str">
            <v>59</v>
          </cell>
          <cell r="E2955">
            <v>13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0</v>
          </cell>
          <cell r="R2955">
            <v>0</v>
          </cell>
          <cell r="S2955">
            <v>0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</row>
        <row r="2956">
          <cell r="A2956" t="str">
            <v>454272</v>
          </cell>
          <cell r="B2956" t="str">
            <v>1251</v>
          </cell>
          <cell r="C2956" t="str">
            <v>12</v>
          </cell>
          <cell r="D2956" t="str">
            <v>59</v>
          </cell>
          <cell r="E2956">
            <v>14</v>
          </cell>
          <cell r="G2956">
            <v>0</v>
          </cell>
          <cell r="H2956">
            <v>0</v>
          </cell>
          <cell r="I2956">
            <v>40507</v>
          </cell>
          <cell r="J2956">
            <v>0</v>
          </cell>
          <cell r="K2956">
            <v>40507</v>
          </cell>
          <cell r="L2956">
            <v>0</v>
          </cell>
          <cell r="M2956">
            <v>0</v>
          </cell>
          <cell r="N2956">
            <v>33542</v>
          </cell>
          <cell r="O2956">
            <v>0</v>
          </cell>
          <cell r="P2956">
            <v>6965</v>
          </cell>
          <cell r="Q2956">
            <v>6965</v>
          </cell>
          <cell r="R2956">
            <v>0</v>
          </cell>
          <cell r="S2956">
            <v>0</v>
          </cell>
          <cell r="T2956">
            <v>0</v>
          </cell>
          <cell r="U2956">
            <v>0</v>
          </cell>
          <cell r="V2956">
            <v>0</v>
          </cell>
          <cell r="W2956">
            <v>0</v>
          </cell>
        </row>
        <row r="2957">
          <cell r="A2957" t="str">
            <v>454272</v>
          </cell>
          <cell r="B2957" t="str">
            <v>1251</v>
          </cell>
          <cell r="C2957" t="str">
            <v>12</v>
          </cell>
          <cell r="D2957" t="str">
            <v>59</v>
          </cell>
          <cell r="E2957">
            <v>15</v>
          </cell>
          <cell r="G2957">
            <v>0</v>
          </cell>
          <cell r="H2957">
            <v>0</v>
          </cell>
          <cell r="I2957">
            <v>29602</v>
          </cell>
          <cell r="J2957">
            <v>0</v>
          </cell>
          <cell r="K2957">
            <v>29602</v>
          </cell>
          <cell r="L2957">
            <v>0</v>
          </cell>
          <cell r="M2957">
            <v>0</v>
          </cell>
          <cell r="N2957">
            <v>25344</v>
          </cell>
          <cell r="O2957">
            <v>0</v>
          </cell>
          <cell r="P2957">
            <v>4258</v>
          </cell>
          <cell r="Q2957">
            <v>4258</v>
          </cell>
          <cell r="R2957">
            <v>0</v>
          </cell>
          <cell r="S2957">
            <v>0</v>
          </cell>
          <cell r="T2957">
            <v>0</v>
          </cell>
          <cell r="U2957">
            <v>0</v>
          </cell>
          <cell r="V2957">
            <v>0</v>
          </cell>
          <cell r="W2957">
            <v>0</v>
          </cell>
        </row>
        <row r="2958">
          <cell r="A2958" t="str">
            <v>454272</v>
          </cell>
          <cell r="B2958" t="str">
            <v>1251</v>
          </cell>
          <cell r="C2958" t="str">
            <v>12</v>
          </cell>
          <cell r="D2958" t="str">
            <v>59</v>
          </cell>
          <cell r="E2958">
            <v>16</v>
          </cell>
          <cell r="G2958">
            <v>0</v>
          </cell>
          <cell r="H2958">
            <v>0</v>
          </cell>
          <cell r="I2958">
            <v>0</v>
          </cell>
          <cell r="J2958">
            <v>0</v>
          </cell>
          <cell r="K2958">
            <v>0</v>
          </cell>
          <cell r="L2958">
            <v>0</v>
          </cell>
          <cell r="M2958">
            <v>0</v>
          </cell>
          <cell r="N2958">
            <v>0</v>
          </cell>
          <cell r="O2958">
            <v>0</v>
          </cell>
          <cell r="P2958">
            <v>0</v>
          </cell>
          <cell r="Q2958">
            <v>0</v>
          </cell>
          <cell r="R2958">
            <v>0</v>
          </cell>
          <cell r="S2958">
            <v>0</v>
          </cell>
          <cell r="T2958">
            <v>0</v>
          </cell>
          <cell r="U2958">
            <v>0</v>
          </cell>
          <cell r="V2958">
            <v>0</v>
          </cell>
          <cell r="W2958">
            <v>0</v>
          </cell>
        </row>
        <row r="2959">
          <cell r="A2959" t="str">
            <v>454272</v>
          </cell>
          <cell r="B2959" t="str">
            <v>1251</v>
          </cell>
          <cell r="C2959" t="str">
            <v>12</v>
          </cell>
          <cell r="D2959" t="str">
            <v>59</v>
          </cell>
          <cell r="E2959">
            <v>17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L2959">
            <v>0</v>
          </cell>
          <cell r="M2959">
            <v>0</v>
          </cell>
          <cell r="N2959">
            <v>0</v>
          </cell>
          <cell r="O2959">
            <v>0</v>
          </cell>
          <cell r="P2959">
            <v>0</v>
          </cell>
          <cell r="Q2959">
            <v>0</v>
          </cell>
          <cell r="R2959">
            <v>0</v>
          </cell>
          <cell r="S2959">
            <v>0</v>
          </cell>
          <cell r="T2959">
            <v>0</v>
          </cell>
          <cell r="U2959">
            <v>0</v>
          </cell>
          <cell r="V2959">
            <v>0</v>
          </cell>
          <cell r="W2959">
            <v>0</v>
          </cell>
        </row>
        <row r="2960">
          <cell r="A2960" t="str">
            <v>454272</v>
          </cell>
          <cell r="B2960" t="str">
            <v>1251</v>
          </cell>
          <cell r="C2960" t="str">
            <v>12</v>
          </cell>
          <cell r="D2960" t="str">
            <v>59</v>
          </cell>
          <cell r="E2960">
            <v>18</v>
          </cell>
          <cell r="G2960">
            <v>0</v>
          </cell>
          <cell r="H2960">
            <v>0</v>
          </cell>
          <cell r="I2960">
            <v>0</v>
          </cell>
          <cell r="J2960">
            <v>0</v>
          </cell>
          <cell r="K2960">
            <v>0</v>
          </cell>
          <cell r="L2960">
            <v>0</v>
          </cell>
          <cell r="M2960">
            <v>0</v>
          </cell>
          <cell r="N2960">
            <v>0</v>
          </cell>
          <cell r="O2960">
            <v>0</v>
          </cell>
          <cell r="P2960">
            <v>0</v>
          </cell>
          <cell r="Q2960">
            <v>0</v>
          </cell>
          <cell r="R2960">
            <v>0</v>
          </cell>
          <cell r="S2960">
            <v>0</v>
          </cell>
          <cell r="T2960">
            <v>0</v>
          </cell>
          <cell r="U2960">
            <v>0</v>
          </cell>
          <cell r="V2960">
            <v>0</v>
          </cell>
          <cell r="W2960">
            <v>0</v>
          </cell>
        </row>
        <row r="2961">
          <cell r="A2961" t="str">
            <v>454272</v>
          </cell>
          <cell r="B2961" t="str">
            <v>1251</v>
          </cell>
          <cell r="C2961" t="str">
            <v>12</v>
          </cell>
          <cell r="D2961" t="str">
            <v>59</v>
          </cell>
          <cell r="E2961">
            <v>19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</row>
        <row r="2962">
          <cell r="A2962" t="str">
            <v>454272</v>
          </cell>
          <cell r="B2962" t="str">
            <v>1251</v>
          </cell>
          <cell r="C2962" t="str">
            <v>12</v>
          </cell>
          <cell r="D2962" t="str">
            <v>59</v>
          </cell>
          <cell r="E2962">
            <v>20</v>
          </cell>
          <cell r="G2962">
            <v>0</v>
          </cell>
          <cell r="H2962">
            <v>0</v>
          </cell>
          <cell r="I2962">
            <v>0</v>
          </cell>
          <cell r="J2962">
            <v>0</v>
          </cell>
          <cell r="K2962">
            <v>0</v>
          </cell>
          <cell r="L2962">
            <v>0</v>
          </cell>
          <cell r="M2962">
            <v>0</v>
          </cell>
          <cell r="N2962">
            <v>0</v>
          </cell>
          <cell r="O2962">
            <v>0</v>
          </cell>
          <cell r="P2962">
            <v>0</v>
          </cell>
          <cell r="Q2962">
            <v>0</v>
          </cell>
          <cell r="R2962">
            <v>0</v>
          </cell>
          <cell r="S2962">
            <v>0</v>
          </cell>
          <cell r="T2962">
            <v>0</v>
          </cell>
          <cell r="U2962">
            <v>0</v>
          </cell>
          <cell r="V2962">
            <v>0</v>
          </cell>
          <cell r="W2962">
            <v>0</v>
          </cell>
        </row>
        <row r="2963">
          <cell r="A2963" t="str">
            <v>454272</v>
          </cell>
          <cell r="B2963" t="str">
            <v>1251</v>
          </cell>
          <cell r="C2963" t="str">
            <v>12</v>
          </cell>
          <cell r="D2963" t="str">
            <v>59</v>
          </cell>
          <cell r="E2963">
            <v>21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0</v>
          </cell>
          <cell r="L2963">
            <v>0</v>
          </cell>
          <cell r="M2963">
            <v>0</v>
          </cell>
          <cell r="N2963">
            <v>0</v>
          </cell>
          <cell r="O2963">
            <v>0</v>
          </cell>
          <cell r="P2963">
            <v>0</v>
          </cell>
          <cell r="Q2963">
            <v>0</v>
          </cell>
          <cell r="R2963">
            <v>0</v>
          </cell>
          <cell r="S2963">
            <v>0</v>
          </cell>
          <cell r="T2963">
            <v>0</v>
          </cell>
          <cell r="U2963">
            <v>0</v>
          </cell>
          <cell r="V2963">
            <v>0</v>
          </cell>
          <cell r="W2963">
            <v>0</v>
          </cell>
        </row>
        <row r="2964">
          <cell r="A2964" t="str">
            <v>454272</v>
          </cell>
          <cell r="B2964" t="str">
            <v>1251</v>
          </cell>
          <cell r="C2964" t="str">
            <v>12</v>
          </cell>
          <cell r="D2964" t="str">
            <v>59</v>
          </cell>
          <cell r="E2964">
            <v>22</v>
          </cell>
          <cell r="G2964">
            <v>0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0</v>
          </cell>
          <cell r="Q2964">
            <v>0</v>
          </cell>
          <cell r="R2964">
            <v>0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</row>
        <row r="2965">
          <cell r="A2965" t="str">
            <v>454272</v>
          </cell>
          <cell r="B2965" t="str">
            <v>1251</v>
          </cell>
          <cell r="C2965" t="str">
            <v>12</v>
          </cell>
          <cell r="D2965" t="str">
            <v>59</v>
          </cell>
          <cell r="E2965">
            <v>23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L2965">
            <v>0</v>
          </cell>
          <cell r="M2965">
            <v>0</v>
          </cell>
          <cell r="N2965">
            <v>0</v>
          </cell>
          <cell r="O2965">
            <v>0</v>
          </cell>
          <cell r="P2965">
            <v>0</v>
          </cell>
          <cell r="Q2965">
            <v>0</v>
          </cell>
          <cell r="R2965">
            <v>0</v>
          </cell>
          <cell r="S2965">
            <v>0</v>
          </cell>
          <cell r="T2965">
            <v>0</v>
          </cell>
          <cell r="U2965">
            <v>0</v>
          </cell>
          <cell r="V2965">
            <v>0</v>
          </cell>
          <cell r="W2965">
            <v>0</v>
          </cell>
        </row>
        <row r="2966">
          <cell r="A2966" t="str">
            <v>454272</v>
          </cell>
          <cell r="B2966" t="str">
            <v>1251</v>
          </cell>
          <cell r="C2966" t="str">
            <v>12</v>
          </cell>
          <cell r="D2966" t="str">
            <v>59</v>
          </cell>
          <cell r="E2966">
            <v>24</v>
          </cell>
          <cell r="G2966">
            <v>0</v>
          </cell>
          <cell r="H2966">
            <v>0</v>
          </cell>
          <cell r="I2966">
            <v>0</v>
          </cell>
          <cell r="J2966">
            <v>0</v>
          </cell>
          <cell r="K2966">
            <v>0</v>
          </cell>
          <cell r="L2966">
            <v>0</v>
          </cell>
          <cell r="M2966">
            <v>0</v>
          </cell>
          <cell r="N2966">
            <v>0</v>
          </cell>
          <cell r="O2966">
            <v>0</v>
          </cell>
          <cell r="P2966">
            <v>0</v>
          </cell>
          <cell r="Q2966">
            <v>0</v>
          </cell>
          <cell r="R2966">
            <v>0</v>
          </cell>
          <cell r="S2966">
            <v>0</v>
          </cell>
          <cell r="T2966">
            <v>0</v>
          </cell>
          <cell r="U2966">
            <v>0</v>
          </cell>
          <cell r="V2966">
            <v>0</v>
          </cell>
          <cell r="W2966">
            <v>0</v>
          </cell>
        </row>
        <row r="2967">
          <cell r="A2967" t="str">
            <v>454272</v>
          </cell>
          <cell r="B2967" t="str">
            <v>1251</v>
          </cell>
          <cell r="C2967" t="str">
            <v>12</v>
          </cell>
          <cell r="D2967" t="str">
            <v>59</v>
          </cell>
          <cell r="E2967">
            <v>25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M2967">
            <v>0</v>
          </cell>
          <cell r="N2967">
            <v>0</v>
          </cell>
          <cell r="O2967">
            <v>0</v>
          </cell>
          <cell r="P2967">
            <v>0</v>
          </cell>
          <cell r="Q2967">
            <v>0</v>
          </cell>
          <cell r="R2967">
            <v>0</v>
          </cell>
          <cell r="S2967">
            <v>0</v>
          </cell>
          <cell r="T2967">
            <v>0</v>
          </cell>
          <cell r="U2967">
            <v>0</v>
          </cell>
          <cell r="V2967">
            <v>0</v>
          </cell>
          <cell r="W2967">
            <v>0</v>
          </cell>
        </row>
        <row r="2968">
          <cell r="A2968" t="str">
            <v>454272</v>
          </cell>
          <cell r="B2968" t="str">
            <v>1251</v>
          </cell>
          <cell r="C2968" t="str">
            <v>12</v>
          </cell>
          <cell r="D2968" t="str">
            <v>59</v>
          </cell>
          <cell r="E2968">
            <v>26</v>
          </cell>
          <cell r="G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L2968">
            <v>0</v>
          </cell>
          <cell r="M2968">
            <v>0</v>
          </cell>
          <cell r="N2968">
            <v>0</v>
          </cell>
          <cell r="O2968">
            <v>0</v>
          </cell>
          <cell r="P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</row>
        <row r="2969">
          <cell r="A2969" t="str">
            <v>454272</v>
          </cell>
          <cell r="B2969" t="str">
            <v>1251</v>
          </cell>
          <cell r="C2969" t="str">
            <v>12</v>
          </cell>
          <cell r="D2969" t="str">
            <v>59</v>
          </cell>
          <cell r="E2969">
            <v>27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L2969">
            <v>0</v>
          </cell>
          <cell r="M2969">
            <v>0</v>
          </cell>
          <cell r="N2969">
            <v>0</v>
          </cell>
          <cell r="O2969">
            <v>0</v>
          </cell>
          <cell r="P2969">
            <v>0</v>
          </cell>
          <cell r="Q2969">
            <v>0</v>
          </cell>
          <cell r="R2969">
            <v>0</v>
          </cell>
          <cell r="S2969">
            <v>0</v>
          </cell>
          <cell r="T2969">
            <v>0</v>
          </cell>
          <cell r="U2969">
            <v>0</v>
          </cell>
          <cell r="V2969">
            <v>0</v>
          </cell>
          <cell r="W2969">
            <v>0</v>
          </cell>
        </row>
        <row r="2970">
          <cell r="A2970" t="str">
            <v>454272</v>
          </cell>
          <cell r="B2970" t="str">
            <v>1251</v>
          </cell>
          <cell r="C2970" t="str">
            <v>12</v>
          </cell>
          <cell r="D2970" t="str">
            <v>59</v>
          </cell>
          <cell r="E2970">
            <v>28</v>
          </cell>
          <cell r="G2970">
            <v>0</v>
          </cell>
          <cell r="H2970">
            <v>0</v>
          </cell>
          <cell r="I2970">
            <v>0</v>
          </cell>
          <cell r="J2970">
            <v>0</v>
          </cell>
          <cell r="K2970">
            <v>0</v>
          </cell>
          <cell r="L2970">
            <v>0</v>
          </cell>
          <cell r="M2970">
            <v>0</v>
          </cell>
          <cell r="N2970">
            <v>0</v>
          </cell>
          <cell r="O2970">
            <v>0</v>
          </cell>
          <cell r="P2970">
            <v>0</v>
          </cell>
          <cell r="Q2970">
            <v>0</v>
          </cell>
          <cell r="R2970">
            <v>0</v>
          </cell>
          <cell r="S2970">
            <v>0</v>
          </cell>
          <cell r="T2970">
            <v>0</v>
          </cell>
          <cell r="U2970">
            <v>0</v>
          </cell>
          <cell r="V2970">
            <v>0</v>
          </cell>
          <cell r="W2970">
            <v>0</v>
          </cell>
        </row>
        <row r="2971">
          <cell r="A2971" t="str">
            <v>454272</v>
          </cell>
          <cell r="B2971" t="str">
            <v>1251</v>
          </cell>
          <cell r="C2971" t="str">
            <v>12</v>
          </cell>
          <cell r="D2971" t="str">
            <v>59</v>
          </cell>
          <cell r="E2971">
            <v>29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L2971">
            <v>0</v>
          </cell>
          <cell r="M2971">
            <v>0</v>
          </cell>
          <cell r="N2971">
            <v>0</v>
          </cell>
          <cell r="O2971">
            <v>0</v>
          </cell>
          <cell r="P2971">
            <v>0</v>
          </cell>
          <cell r="Q2971">
            <v>0</v>
          </cell>
          <cell r="R2971">
            <v>0</v>
          </cell>
          <cell r="S2971">
            <v>0</v>
          </cell>
          <cell r="T2971">
            <v>0</v>
          </cell>
          <cell r="U2971">
            <v>0</v>
          </cell>
          <cell r="V2971">
            <v>0</v>
          </cell>
          <cell r="W2971">
            <v>0</v>
          </cell>
        </row>
        <row r="2972">
          <cell r="A2972" t="str">
            <v>454272</v>
          </cell>
          <cell r="B2972" t="str">
            <v>1251</v>
          </cell>
          <cell r="C2972" t="str">
            <v>12</v>
          </cell>
          <cell r="D2972" t="str">
            <v>59</v>
          </cell>
          <cell r="E2972">
            <v>30</v>
          </cell>
          <cell r="G2972">
            <v>0</v>
          </cell>
          <cell r="H2972">
            <v>0</v>
          </cell>
          <cell r="I2972">
            <v>0</v>
          </cell>
          <cell r="J2972">
            <v>0</v>
          </cell>
          <cell r="K2972">
            <v>0</v>
          </cell>
          <cell r="L2972">
            <v>0</v>
          </cell>
          <cell r="M2972">
            <v>0</v>
          </cell>
          <cell r="N2972">
            <v>0</v>
          </cell>
          <cell r="O2972">
            <v>0</v>
          </cell>
          <cell r="P2972">
            <v>0</v>
          </cell>
          <cell r="Q2972">
            <v>0</v>
          </cell>
          <cell r="R2972">
            <v>0</v>
          </cell>
          <cell r="S2972">
            <v>0</v>
          </cell>
          <cell r="T2972">
            <v>0</v>
          </cell>
          <cell r="U2972">
            <v>0</v>
          </cell>
          <cell r="V2972">
            <v>0</v>
          </cell>
          <cell r="W2972">
            <v>0</v>
          </cell>
        </row>
        <row r="2973">
          <cell r="A2973" t="str">
            <v>454272</v>
          </cell>
          <cell r="B2973" t="str">
            <v>1251</v>
          </cell>
          <cell r="C2973" t="str">
            <v>12</v>
          </cell>
          <cell r="D2973" t="str">
            <v>59</v>
          </cell>
          <cell r="E2973">
            <v>31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L2973">
            <v>0</v>
          </cell>
          <cell r="M2973">
            <v>0</v>
          </cell>
          <cell r="N2973">
            <v>0</v>
          </cell>
          <cell r="O2973">
            <v>0</v>
          </cell>
          <cell r="P2973">
            <v>0</v>
          </cell>
          <cell r="Q2973">
            <v>0</v>
          </cell>
          <cell r="R2973">
            <v>0</v>
          </cell>
          <cell r="S2973">
            <v>0</v>
          </cell>
          <cell r="T2973">
            <v>0</v>
          </cell>
          <cell r="U2973">
            <v>0</v>
          </cell>
          <cell r="V2973">
            <v>0</v>
          </cell>
          <cell r="W2973">
            <v>0</v>
          </cell>
        </row>
        <row r="2974">
          <cell r="A2974" t="str">
            <v>454272</v>
          </cell>
          <cell r="B2974" t="str">
            <v>1251</v>
          </cell>
          <cell r="C2974" t="str">
            <v>12</v>
          </cell>
          <cell r="D2974" t="str">
            <v>59</v>
          </cell>
          <cell r="E2974">
            <v>32</v>
          </cell>
          <cell r="G2974">
            <v>0</v>
          </cell>
          <cell r="H2974">
            <v>0</v>
          </cell>
          <cell r="I2974">
            <v>0</v>
          </cell>
          <cell r="J2974">
            <v>0</v>
          </cell>
          <cell r="K2974">
            <v>0</v>
          </cell>
          <cell r="L2974">
            <v>0</v>
          </cell>
          <cell r="M2974">
            <v>0</v>
          </cell>
          <cell r="N2974">
            <v>0</v>
          </cell>
          <cell r="O2974">
            <v>0</v>
          </cell>
          <cell r="P2974">
            <v>0</v>
          </cell>
          <cell r="Q2974">
            <v>0</v>
          </cell>
          <cell r="R2974">
            <v>0</v>
          </cell>
          <cell r="S2974">
            <v>0</v>
          </cell>
          <cell r="T2974">
            <v>0</v>
          </cell>
          <cell r="U2974">
            <v>0</v>
          </cell>
          <cell r="V2974">
            <v>0</v>
          </cell>
          <cell r="W2974">
            <v>0</v>
          </cell>
        </row>
        <row r="2975">
          <cell r="A2975" t="str">
            <v>454272</v>
          </cell>
          <cell r="B2975" t="str">
            <v>1251</v>
          </cell>
          <cell r="C2975" t="str">
            <v>12</v>
          </cell>
          <cell r="D2975" t="str">
            <v>59</v>
          </cell>
          <cell r="E2975">
            <v>33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L2975">
            <v>0</v>
          </cell>
          <cell r="M2975">
            <v>0</v>
          </cell>
          <cell r="N2975">
            <v>0</v>
          </cell>
          <cell r="O2975">
            <v>0</v>
          </cell>
          <cell r="P2975">
            <v>0</v>
          </cell>
          <cell r="Q2975">
            <v>0</v>
          </cell>
          <cell r="R2975">
            <v>0</v>
          </cell>
          <cell r="S2975">
            <v>0</v>
          </cell>
          <cell r="T2975">
            <v>0</v>
          </cell>
          <cell r="U2975">
            <v>0</v>
          </cell>
          <cell r="V2975">
            <v>0</v>
          </cell>
          <cell r="W2975">
            <v>0</v>
          </cell>
        </row>
        <row r="2976">
          <cell r="A2976" t="str">
            <v>454272</v>
          </cell>
          <cell r="B2976" t="str">
            <v>1251</v>
          </cell>
          <cell r="C2976" t="str">
            <v>12</v>
          </cell>
          <cell r="D2976" t="str">
            <v>59</v>
          </cell>
          <cell r="E2976">
            <v>34</v>
          </cell>
          <cell r="G2976">
            <v>0</v>
          </cell>
          <cell r="H2976">
            <v>0</v>
          </cell>
          <cell r="I2976">
            <v>70109</v>
          </cell>
          <cell r="J2976">
            <v>0</v>
          </cell>
          <cell r="K2976">
            <v>70109</v>
          </cell>
          <cell r="L2976">
            <v>0</v>
          </cell>
          <cell r="M2976">
            <v>0</v>
          </cell>
          <cell r="N2976">
            <v>58886</v>
          </cell>
          <cell r="O2976">
            <v>0</v>
          </cell>
          <cell r="P2976">
            <v>11223</v>
          </cell>
          <cell r="Q2976">
            <v>11223</v>
          </cell>
          <cell r="R2976">
            <v>0</v>
          </cell>
          <cell r="S2976">
            <v>0</v>
          </cell>
          <cell r="T2976">
            <v>0</v>
          </cell>
          <cell r="U2976">
            <v>0</v>
          </cell>
          <cell r="V2976">
            <v>0</v>
          </cell>
          <cell r="W2976">
            <v>0</v>
          </cell>
        </row>
        <row r="2977">
          <cell r="A2977" t="str">
            <v>454272</v>
          </cell>
          <cell r="B2977" t="str">
            <v>1251</v>
          </cell>
          <cell r="C2977" t="str">
            <v>12</v>
          </cell>
          <cell r="D2977" t="str">
            <v>75</v>
          </cell>
          <cell r="E2977">
            <v>1</v>
          </cell>
          <cell r="G2977">
            <v>8315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L2977">
            <v>2000</v>
          </cell>
          <cell r="M2977">
            <v>0</v>
          </cell>
          <cell r="N2977">
            <v>0</v>
          </cell>
          <cell r="O2977">
            <v>0</v>
          </cell>
          <cell r="P2977">
            <v>0</v>
          </cell>
          <cell r="Q2977">
            <v>0</v>
          </cell>
          <cell r="R2977">
            <v>0</v>
          </cell>
          <cell r="S2977">
            <v>0</v>
          </cell>
          <cell r="T2977">
            <v>2000</v>
          </cell>
          <cell r="U2977">
            <v>0</v>
          </cell>
          <cell r="V2977">
            <v>6315</v>
          </cell>
          <cell r="W2977">
            <v>0</v>
          </cell>
        </row>
        <row r="2978">
          <cell r="A2978" t="str">
            <v>454272</v>
          </cell>
          <cell r="B2978" t="str">
            <v>1251</v>
          </cell>
          <cell r="C2978" t="str">
            <v>12</v>
          </cell>
          <cell r="D2978" t="str">
            <v>75</v>
          </cell>
          <cell r="E2978">
            <v>2</v>
          </cell>
          <cell r="G2978">
            <v>0</v>
          </cell>
          <cell r="H2978">
            <v>0</v>
          </cell>
          <cell r="I2978">
            <v>0</v>
          </cell>
          <cell r="J2978">
            <v>0</v>
          </cell>
          <cell r="K2978">
            <v>0</v>
          </cell>
          <cell r="L2978">
            <v>0</v>
          </cell>
          <cell r="M2978">
            <v>0</v>
          </cell>
          <cell r="N2978">
            <v>0</v>
          </cell>
          <cell r="O2978">
            <v>0</v>
          </cell>
          <cell r="P2978">
            <v>0</v>
          </cell>
          <cell r="Q2978">
            <v>0</v>
          </cell>
          <cell r="R2978">
            <v>0</v>
          </cell>
          <cell r="S2978">
            <v>0</v>
          </cell>
          <cell r="T2978">
            <v>0</v>
          </cell>
          <cell r="U2978">
            <v>0</v>
          </cell>
          <cell r="V2978">
            <v>0</v>
          </cell>
          <cell r="W2978">
            <v>0</v>
          </cell>
        </row>
        <row r="2979">
          <cell r="A2979" t="str">
            <v>454272</v>
          </cell>
          <cell r="B2979" t="str">
            <v>1251</v>
          </cell>
          <cell r="C2979" t="str">
            <v>12</v>
          </cell>
          <cell r="D2979" t="str">
            <v>75</v>
          </cell>
          <cell r="E2979">
            <v>3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L2979">
            <v>0</v>
          </cell>
          <cell r="M2979">
            <v>0</v>
          </cell>
          <cell r="N2979">
            <v>0</v>
          </cell>
          <cell r="O2979">
            <v>0</v>
          </cell>
          <cell r="P2979">
            <v>0</v>
          </cell>
          <cell r="Q2979">
            <v>0</v>
          </cell>
          <cell r="R2979">
            <v>0</v>
          </cell>
          <cell r="S2979">
            <v>0</v>
          </cell>
          <cell r="T2979">
            <v>0</v>
          </cell>
          <cell r="U2979">
            <v>0</v>
          </cell>
          <cell r="V2979">
            <v>0</v>
          </cell>
          <cell r="W2979">
            <v>0</v>
          </cell>
        </row>
        <row r="2980">
          <cell r="A2980" t="str">
            <v>454272</v>
          </cell>
          <cell r="B2980" t="str">
            <v>1251</v>
          </cell>
          <cell r="C2980" t="str">
            <v>12</v>
          </cell>
          <cell r="D2980" t="str">
            <v>75</v>
          </cell>
          <cell r="E2980">
            <v>4</v>
          </cell>
          <cell r="G2980">
            <v>0</v>
          </cell>
          <cell r="H2980">
            <v>0</v>
          </cell>
          <cell r="I2980">
            <v>0</v>
          </cell>
          <cell r="J2980">
            <v>0</v>
          </cell>
          <cell r="K2980">
            <v>0</v>
          </cell>
          <cell r="L2980">
            <v>0</v>
          </cell>
          <cell r="M2980">
            <v>0</v>
          </cell>
          <cell r="N2980">
            <v>0</v>
          </cell>
          <cell r="O2980">
            <v>0</v>
          </cell>
          <cell r="P2980">
            <v>0</v>
          </cell>
          <cell r="Q2980">
            <v>0</v>
          </cell>
          <cell r="R2980">
            <v>0</v>
          </cell>
          <cell r="S2980">
            <v>0</v>
          </cell>
          <cell r="T2980">
            <v>0</v>
          </cell>
          <cell r="U2980">
            <v>0</v>
          </cell>
          <cell r="V2980">
            <v>0</v>
          </cell>
          <cell r="W2980">
            <v>0</v>
          </cell>
        </row>
        <row r="2981">
          <cell r="A2981" t="str">
            <v>454272</v>
          </cell>
          <cell r="B2981" t="str">
            <v>1251</v>
          </cell>
          <cell r="C2981" t="str">
            <v>12</v>
          </cell>
          <cell r="D2981" t="str">
            <v>75</v>
          </cell>
          <cell r="E2981">
            <v>5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L2981">
            <v>0</v>
          </cell>
          <cell r="M2981">
            <v>0</v>
          </cell>
          <cell r="N2981">
            <v>0</v>
          </cell>
          <cell r="O2981">
            <v>0</v>
          </cell>
          <cell r="P2981">
            <v>0</v>
          </cell>
          <cell r="Q2981">
            <v>0</v>
          </cell>
          <cell r="R2981">
            <v>0</v>
          </cell>
          <cell r="S2981">
            <v>0</v>
          </cell>
          <cell r="T2981">
            <v>0</v>
          </cell>
          <cell r="U2981">
            <v>0</v>
          </cell>
          <cell r="V2981">
            <v>0</v>
          </cell>
          <cell r="W2981">
            <v>0</v>
          </cell>
        </row>
        <row r="2982">
          <cell r="A2982" t="str">
            <v>454272</v>
          </cell>
          <cell r="B2982" t="str">
            <v>1251</v>
          </cell>
          <cell r="C2982" t="str">
            <v>12</v>
          </cell>
          <cell r="D2982" t="str">
            <v>75</v>
          </cell>
          <cell r="E2982">
            <v>6</v>
          </cell>
          <cell r="G2982">
            <v>0</v>
          </cell>
          <cell r="H2982">
            <v>0</v>
          </cell>
          <cell r="I2982">
            <v>0</v>
          </cell>
          <cell r="J2982">
            <v>0</v>
          </cell>
          <cell r="K2982">
            <v>0</v>
          </cell>
          <cell r="L2982">
            <v>0</v>
          </cell>
          <cell r="M2982">
            <v>0</v>
          </cell>
          <cell r="N2982">
            <v>0</v>
          </cell>
          <cell r="O2982">
            <v>0</v>
          </cell>
          <cell r="P2982">
            <v>0</v>
          </cell>
          <cell r="Q2982">
            <v>0</v>
          </cell>
          <cell r="R2982">
            <v>0</v>
          </cell>
          <cell r="S2982">
            <v>0</v>
          </cell>
          <cell r="T2982">
            <v>0</v>
          </cell>
          <cell r="U2982">
            <v>0</v>
          </cell>
          <cell r="V2982">
            <v>0</v>
          </cell>
          <cell r="W2982">
            <v>0</v>
          </cell>
        </row>
        <row r="2983">
          <cell r="A2983" t="str">
            <v>454272</v>
          </cell>
          <cell r="B2983" t="str">
            <v>1251</v>
          </cell>
          <cell r="C2983" t="str">
            <v>12</v>
          </cell>
          <cell r="D2983" t="str">
            <v>75</v>
          </cell>
          <cell r="E2983">
            <v>7</v>
          </cell>
          <cell r="G2983">
            <v>1651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L2983">
            <v>400</v>
          </cell>
          <cell r="M2983">
            <v>0</v>
          </cell>
          <cell r="N2983">
            <v>0</v>
          </cell>
          <cell r="O2983">
            <v>0</v>
          </cell>
          <cell r="P2983">
            <v>0</v>
          </cell>
          <cell r="Q2983">
            <v>0</v>
          </cell>
          <cell r="R2983">
            <v>0</v>
          </cell>
          <cell r="S2983">
            <v>0</v>
          </cell>
          <cell r="T2983">
            <v>400</v>
          </cell>
          <cell r="U2983">
            <v>0</v>
          </cell>
          <cell r="V2983">
            <v>1251</v>
          </cell>
          <cell r="W2983">
            <v>0</v>
          </cell>
        </row>
        <row r="2984">
          <cell r="A2984" t="str">
            <v>454272</v>
          </cell>
          <cell r="B2984" t="str">
            <v>1251</v>
          </cell>
          <cell r="C2984" t="str">
            <v>12</v>
          </cell>
          <cell r="D2984" t="str">
            <v>75</v>
          </cell>
          <cell r="E2984">
            <v>8</v>
          </cell>
          <cell r="G2984">
            <v>9966</v>
          </cell>
          <cell r="H2984">
            <v>0</v>
          </cell>
          <cell r="I2984">
            <v>0</v>
          </cell>
          <cell r="J2984">
            <v>0</v>
          </cell>
          <cell r="K2984">
            <v>0</v>
          </cell>
          <cell r="L2984">
            <v>2400</v>
          </cell>
          <cell r="M2984">
            <v>0</v>
          </cell>
          <cell r="N2984">
            <v>0</v>
          </cell>
          <cell r="O2984">
            <v>0</v>
          </cell>
          <cell r="P2984">
            <v>0</v>
          </cell>
          <cell r="Q2984">
            <v>0</v>
          </cell>
          <cell r="R2984">
            <v>0</v>
          </cell>
          <cell r="S2984">
            <v>0</v>
          </cell>
          <cell r="T2984">
            <v>2400</v>
          </cell>
          <cell r="U2984">
            <v>0</v>
          </cell>
          <cell r="V2984">
            <v>7566</v>
          </cell>
          <cell r="W2984">
            <v>0</v>
          </cell>
        </row>
        <row r="2985">
          <cell r="A2985" t="str">
            <v>454272</v>
          </cell>
          <cell r="B2985" t="str">
            <v>1251</v>
          </cell>
          <cell r="C2985" t="str">
            <v>12</v>
          </cell>
          <cell r="D2985" t="str">
            <v>75</v>
          </cell>
          <cell r="E2985">
            <v>9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L2985">
            <v>0</v>
          </cell>
          <cell r="M2985">
            <v>0</v>
          </cell>
          <cell r="N2985">
            <v>0</v>
          </cell>
          <cell r="O2985">
            <v>0</v>
          </cell>
          <cell r="P2985">
            <v>0</v>
          </cell>
          <cell r="Q2985">
            <v>0</v>
          </cell>
          <cell r="R2985">
            <v>0</v>
          </cell>
          <cell r="S2985">
            <v>0</v>
          </cell>
          <cell r="T2985">
            <v>0</v>
          </cell>
          <cell r="U2985">
            <v>0</v>
          </cell>
          <cell r="V2985">
            <v>0</v>
          </cell>
          <cell r="W2985">
            <v>0</v>
          </cell>
        </row>
        <row r="2986">
          <cell r="A2986" t="str">
            <v>454272</v>
          </cell>
          <cell r="B2986" t="str">
            <v>1251</v>
          </cell>
          <cell r="C2986" t="str">
            <v>12</v>
          </cell>
          <cell r="D2986" t="str">
            <v>75</v>
          </cell>
          <cell r="E2986">
            <v>10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L2986">
            <v>0</v>
          </cell>
          <cell r="M2986">
            <v>0</v>
          </cell>
          <cell r="N2986">
            <v>0</v>
          </cell>
          <cell r="O2986">
            <v>0</v>
          </cell>
          <cell r="P2986">
            <v>0</v>
          </cell>
          <cell r="Q2986">
            <v>0</v>
          </cell>
          <cell r="R2986">
            <v>0</v>
          </cell>
          <cell r="S2986">
            <v>0</v>
          </cell>
          <cell r="T2986">
            <v>0</v>
          </cell>
          <cell r="U2986">
            <v>0</v>
          </cell>
          <cell r="V2986">
            <v>0</v>
          </cell>
          <cell r="W2986">
            <v>0</v>
          </cell>
        </row>
        <row r="2987">
          <cell r="A2987" t="str">
            <v>454272</v>
          </cell>
          <cell r="B2987" t="str">
            <v>1251</v>
          </cell>
          <cell r="C2987" t="str">
            <v>12</v>
          </cell>
          <cell r="D2987" t="str">
            <v>75</v>
          </cell>
          <cell r="E2987">
            <v>11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  <cell r="L2987">
            <v>0</v>
          </cell>
          <cell r="M2987">
            <v>0</v>
          </cell>
          <cell r="N2987">
            <v>0</v>
          </cell>
          <cell r="O2987">
            <v>0</v>
          </cell>
          <cell r="P2987">
            <v>0</v>
          </cell>
          <cell r="Q2987">
            <v>0</v>
          </cell>
          <cell r="R2987">
            <v>0</v>
          </cell>
          <cell r="S2987">
            <v>0</v>
          </cell>
          <cell r="T2987">
            <v>0</v>
          </cell>
          <cell r="U2987">
            <v>0</v>
          </cell>
          <cell r="V2987">
            <v>0</v>
          </cell>
          <cell r="W2987">
            <v>0</v>
          </cell>
        </row>
        <row r="2988">
          <cell r="A2988" t="str">
            <v>454272</v>
          </cell>
          <cell r="B2988" t="str">
            <v>1251</v>
          </cell>
          <cell r="C2988" t="str">
            <v>12</v>
          </cell>
          <cell r="D2988" t="str">
            <v>75</v>
          </cell>
          <cell r="E2988">
            <v>12</v>
          </cell>
          <cell r="G2988">
            <v>0</v>
          </cell>
          <cell r="H2988">
            <v>0</v>
          </cell>
          <cell r="I2988">
            <v>0</v>
          </cell>
          <cell r="J2988">
            <v>0</v>
          </cell>
          <cell r="K2988">
            <v>0</v>
          </cell>
          <cell r="L2988">
            <v>0</v>
          </cell>
          <cell r="M2988">
            <v>0</v>
          </cell>
          <cell r="N2988">
            <v>0</v>
          </cell>
          <cell r="O2988">
            <v>0</v>
          </cell>
          <cell r="P2988">
            <v>0</v>
          </cell>
          <cell r="Q2988">
            <v>0</v>
          </cell>
          <cell r="R2988">
            <v>0</v>
          </cell>
          <cell r="S2988">
            <v>0</v>
          </cell>
          <cell r="T2988">
            <v>0</v>
          </cell>
          <cell r="U2988">
            <v>0</v>
          </cell>
          <cell r="V2988">
            <v>0</v>
          </cell>
          <cell r="W2988">
            <v>0</v>
          </cell>
        </row>
        <row r="2989">
          <cell r="A2989" t="str">
            <v>454272</v>
          </cell>
          <cell r="B2989" t="str">
            <v>1251</v>
          </cell>
          <cell r="C2989" t="str">
            <v>12</v>
          </cell>
          <cell r="D2989" t="str">
            <v>75</v>
          </cell>
          <cell r="E2989">
            <v>13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L2989">
            <v>0</v>
          </cell>
          <cell r="M2989">
            <v>0</v>
          </cell>
          <cell r="N2989">
            <v>0</v>
          </cell>
          <cell r="O2989">
            <v>0</v>
          </cell>
          <cell r="P2989">
            <v>0</v>
          </cell>
          <cell r="Q2989">
            <v>0</v>
          </cell>
          <cell r="R2989">
            <v>0</v>
          </cell>
          <cell r="S2989">
            <v>0</v>
          </cell>
          <cell r="T2989">
            <v>0</v>
          </cell>
          <cell r="U2989">
            <v>0</v>
          </cell>
          <cell r="V2989">
            <v>0</v>
          </cell>
          <cell r="W2989">
            <v>0</v>
          </cell>
        </row>
        <row r="2990">
          <cell r="A2990" t="str">
            <v>454272</v>
          </cell>
          <cell r="B2990" t="str">
            <v>1251</v>
          </cell>
          <cell r="C2990" t="str">
            <v>12</v>
          </cell>
          <cell r="D2990" t="str">
            <v>75</v>
          </cell>
          <cell r="E2990">
            <v>14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</row>
        <row r="2991">
          <cell r="A2991" t="str">
            <v>454272</v>
          </cell>
          <cell r="B2991" t="str">
            <v>1251</v>
          </cell>
          <cell r="C2991" t="str">
            <v>12</v>
          </cell>
          <cell r="D2991" t="str">
            <v>75</v>
          </cell>
          <cell r="E2991">
            <v>15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L2991">
            <v>0</v>
          </cell>
          <cell r="M2991">
            <v>0</v>
          </cell>
          <cell r="N2991">
            <v>0</v>
          </cell>
          <cell r="O2991">
            <v>0</v>
          </cell>
          <cell r="P2991">
            <v>0</v>
          </cell>
          <cell r="Q2991">
            <v>0</v>
          </cell>
          <cell r="R2991">
            <v>0</v>
          </cell>
          <cell r="S2991">
            <v>0</v>
          </cell>
          <cell r="T2991">
            <v>0</v>
          </cell>
          <cell r="U2991">
            <v>0</v>
          </cell>
          <cell r="V2991">
            <v>0</v>
          </cell>
          <cell r="W2991">
            <v>0</v>
          </cell>
        </row>
        <row r="2992">
          <cell r="A2992" t="str">
            <v>454272</v>
          </cell>
          <cell r="B2992" t="str">
            <v>1251</v>
          </cell>
          <cell r="C2992" t="str">
            <v>12</v>
          </cell>
          <cell r="D2992" t="str">
            <v>75</v>
          </cell>
          <cell r="E2992">
            <v>16</v>
          </cell>
          <cell r="G2992">
            <v>0</v>
          </cell>
          <cell r="H2992">
            <v>0</v>
          </cell>
          <cell r="I2992">
            <v>0</v>
          </cell>
          <cell r="J2992">
            <v>0</v>
          </cell>
          <cell r="K2992">
            <v>0</v>
          </cell>
          <cell r="L2992">
            <v>0</v>
          </cell>
          <cell r="M2992">
            <v>0</v>
          </cell>
          <cell r="N2992">
            <v>0</v>
          </cell>
          <cell r="O2992">
            <v>0</v>
          </cell>
          <cell r="P2992">
            <v>0</v>
          </cell>
          <cell r="Q2992">
            <v>0</v>
          </cell>
          <cell r="R2992">
            <v>0</v>
          </cell>
          <cell r="S2992">
            <v>0</v>
          </cell>
          <cell r="T2992">
            <v>0</v>
          </cell>
          <cell r="U2992">
            <v>0</v>
          </cell>
          <cell r="V2992">
            <v>0</v>
          </cell>
          <cell r="W2992">
            <v>0</v>
          </cell>
        </row>
        <row r="2993">
          <cell r="A2993" t="str">
            <v>454272</v>
          </cell>
          <cell r="B2993" t="str">
            <v>1251</v>
          </cell>
          <cell r="C2993" t="str">
            <v>12</v>
          </cell>
          <cell r="D2993" t="str">
            <v>75</v>
          </cell>
          <cell r="E2993">
            <v>17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L2993">
            <v>0</v>
          </cell>
          <cell r="M2993">
            <v>0</v>
          </cell>
          <cell r="N2993">
            <v>0</v>
          </cell>
          <cell r="O2993">
            <v>0</v>
          </cell>
          <cell r="P2993">
            <v>0</v>
          </cell>
          <cell r="Q2993">
            <v>0</v>
          </cell>
          <cell r="R2993">
            <v>0</v>
          </cell>
          <cell r="S2993">
            <v>0</v>
          </cell>
          <cell r="T2993">
            <v>0</v>
          </cell>
          <cell r="U2993">
            <v>0</v>
          </cell>
          <cell r="V2993">
            <v>0</v>
          </cell>
          <cell r="W2993">
            <v>0</v>
          </cell>
        </row>
        <row r="2994">
          <cell r="A2994" t="str">
            <v>454272</v>
          </cell>
          <cell r="B2994" t="str">
            <v>1251</v>
          </cell>
          <cell r="C2994" t="str">
            <v>12</v>
          </cell>
          <cell r="D2994" t="str">
            <v>75</v>
          </cell>
          <cell r="E2994">
            <v>18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L2994">
            <v>0</v>
          </cell>
          <cell r="M2994">
            <v>0</v>
          </cell>
          <cell r="N2994">
            <v>0</v>
          </cell>
          <cell r="O2994">
            <v>0</v>
          </cell>
          <cell r="P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</row>
        <row r="2995">
          <cell r="A2995" t="str">
            <v>454272</v>
          </cell>
          <cell r="B2995" t="str">
            <v>1251</v>
          </cell>
          <cell r="C2995" t="str">
            <v>12</v>
          </cell>
          <cell r="D2995" t="str">
            <v>75</v>
          </cell>
          <cell r="E2995">
            <v>19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L2995">
            <v>0</v>
          </cell>
          <cell r="M2995">
            <v>0</v>
          </cell>
          <cell r="N2995">
            <v>0</v>
          </cell>
          <cell r="O2995">
            <v>0</v>
          </cell>
          <cell r="P2995">
            <v>0</v>
          </cell>
          <cell r="Q2995">
            <v>0</v>
          </cell>
          <cell r="R2995">
            <v>0</v>
          </cell>
          <cell r="S2995">
            <v>0</v>
          </cell>
          <cell r="T2995">
            <v>0</v>
          </cell>
          <cell r="U2995">
            <v>0</v>
          </cell>
          <cell r="V2995">
            <v>0</v>
          </cell>
          <cell r="W2995">
            <v>0</v>
          </cell>
        </row>
        <row r="2996">
          <cell r="A2996" t="str">
            <v>454272</v>
          </cell>
          <cell r="B2996" t="str">
            <v>1251</v>
          </cell>
          <cell r="C2996" t="str">
            <v>12</v>
          </cell>
          <cell r="D2996" t="str">
            <v>75</v>
          </cell>
          <cell r="E2996">
            <v>20</v>
          </cell>
          <cell r="G2996">
            <v>0</v>
          </cell>
          <cell r="H2996">
            <v>0</v>
          </cell>
          <cell r="I2996">
            <v>0</v>
          </cell>
          <cell r="J2996">
            <v>0</v>
          </cell>
          <cell r="K2996">
            <v>0</v>
          </cell>
          <cell r="L2996">
            <v>0</v>
          </cell>
          <cell r="M2996">
            <v>0</v>
          </cell>
          <cell r="N2996">
            <v>0</v>
          </cell>
          <cell r="O2996">
            <v>0</v>
          </cell>
          <cell r="P2996">
            <v>0</v>
          </cell>
          <cell r="Q2996">
            <v>0</v>
          </cell>
          <cell r="R2996">
            <v>0</v>
          </cell>
          <cell r="S2996">
            <v>0</v>
          </cell>
          <cell r="T2996">
            <v>0</v>
          </cell>
          <cell r="U2996">
            <v>0</v>
          </cell>
          <cell r="V2996">
            <v>0</v>
          </cell>
          <cell r="W2996">
            <v>0</v>
          </cell>
        </row>
        <row r="2997">
          <cell r="A2997" t="str">
            <v>454272</v>
          </cell>
          <cell r="B2997" t="str">
            <v>1251</v>
          </cell>
          <cell r="C2997" t="str">
            <v>12</v>
          </cell>
          <cell r="D2997" t="str">
            <v>75</v>
          </cell>
          <cell r="E2997">
            <v>21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L2997">
            <v>0</v>
          </cell>
          <cell r="M2997">
            <v>0</v>
          </cell>
          <cell r="N2997">
            <v>0</v>
          </cell>
          <cell r="O2997">
            <v>0</v>
          </cell>
          <cell r="P2997">
            <v>0</v>
          </cell>
          <cell r="Q2997">
            <v>0</v>
          </cell>
          <cell r="R2997">
            <v>0</v>
          </cell>
          <cell r="S2997">
            <v>0</v>
          </cell>
          <cell r="T2997">
            <v>0</v>
          </cell>
          <cell r="U2997">
            <v>0</v>
          </cell>
          <cell r="V2997">
            <v>0</v>
          </cell>
          <cell r="W2997">
            <v>0</v>
          </cell>
        </row>
        <row r="2998">
          <cell r="A2998" t="str">
            <v>454272</v>
          </cell>
          <cell r="B2998" t="str">
            <v>1251</v>
          </cell>
          <cell r="C2998" t="str">
            <v>12</v>
          </cell>
          <cell r="D2998" t="str">
            <v>75</v>
          </cell>
          <cell r="E2998">
            <v>22</v>
          </cell>
          <cell r="G2998">
            <v>0</v>
          </cell>
          <cell r="H2998">
            <v>0</v>
          </cell>
          <cell r="I2998">
            <v>0</v>
          </cell>
          <cell r="J2998">
            <v>0</v>
          </cell>
          <cell r="K2998">
            <v>0</v>
          </cell>
          <cell r="L2998">
            <v>0</v>
          </cell>
          <cell r="M2998">
            <v>0</v>
          </cell>
          <cell r="N2998">
            <v>0</v>
          </cell>
          <cell r="O2998">
            <v>0</v>
          </cell>
          <cell r="P2998">
            <v>0</v>
          </cell>
          <cell r="Q2998">
            <v>0</v>
          </cell>
          <cell r="R2998">
            <v>0</v>
          </cell>
          <cell r="S2998">
            <v>0</v>
          </cell>
          <cell r="T2998">
            <v>0</v>
          </cell>
          <cell r="U2998">
            <v>0</v>
          </cell>
          <cell r="V2998">
            <v>0</v>
          </cell>
          <cell r="W2998">
            <v>0</v>
          </cell>
        </row>
        <row r="2999">
          <cell r="A2999" t="str">
            <v>454272</v>
          </cell>
          <cell r="B2999" t="str">
            <v>1251</v>
          </cell>
          <cell r="C2999" t="str">
            <v>12</v>
          </cell>
          <cell r="D2999" t="str">
            <v>75</v>
          </cell>
          <cell r="E2999">
            <v>23</v>
          </cell>
          <cell r="G2999">
            <v>88131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L2999">
            <v>88131</v>
          </cell>
          <cell r="M2999">
            <v>0</v>
          </cell>
          <cell r="N2999">
            <v>0</v>
          </cell>
          <cell r="O2999">
            <v>0</v>
          </cell>
          <cell r="P2999">
            <v>0</v>
          </cell>
          <cell r="Q2999">
            <v>87754</v>
          </cell>
          <cell r="R2999">
            <v>87754</v>
          </cell>
          <cell r="S2999">
            <v>0</v>
          </cell>
          <cell r="T2999">
            <v>377</v>
          </cell>
          <cell r="U2999">
            <v>0</v>
          </cell>
          <cell r="V2999">
            <v>0</v>
          </cell>
          <cell r="W2999">
            <v>0</v>
          </cell>
        </row>
        <row r="3000">
          <cell r="A3000" t="str">
            <v>454272</v>
          </cell>
          <cell r="B3000" t="str">
            <v>1251</v>
          </cell>
          <cell r="C3000" t="str">
            <v>12</v>
          </cell>
          <cell r="D3000" t="str">
            <v>75</v>
          </cell>
          <cell r="E3000">
            <v>24</v>
          </cell>
          <cell r="G3000">
            <v>28128</v>
          </cell>
          <cell r="H3000">
            <v>0</v>
          </cell>
          <cell r="I3000">
            <v>0</v>
          </cell>
          <cell r="J3000">
            <v>0</v>
          </cell>
          <cell r="K3000">
            <v>0</v>
          </cell>
          <cell r="L3000">
            <v>28128</v>
          </cell>
          <cell r="M3000">
            <v>0</v>
          </cell>
          <cell r="N3000">
            <v>0</v>
          </cell>
          <cell r="O3000">
            <v>0</v>
          </cell>
          <cell r="P3000">
            <v>0</v>
          </cell>
          <cell r="Q3000">
            <v>28113</v>
          </cell>
          <cell r="R3000">
            <v>28113</v>
          </cell>
          <cell r="S3000">
            <v>0</v>
          </cell>
          <cell r="T3000">
            <v>15</v>
          </cell>
          <cell r="U3000">
            <v>0</v>
          </cell>
          <cell r="V3000">
            <v>0</v>
          </cell>
          <cell r="W3000">
            <v>0</v>
          </cell>
        </row>
        <row r="3001">
          <cell r="A3001" t="str">
            <v>454272</v>
          </cell>
          <cell r="B3001" t="str">
            <v>1251</v>
          </cell>
          <cell r="C3001" t="str">
            <v>12</v>
          </cell>
          <cell r="D3001" t="str">
            <v>75</v>
          </cell>
          <cell r="E3001">
            <v>25</v>
          </cell>
          <cell r="G3001">
            <v>58286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L3001">
            <v>58286</v>
          </cell>
          <cell r="M3001">
            <v>0</v>
          </cell>
          <cell r="N3001">
            <v>0</v>
          </cell>
          <cell r="O3001">
            <v>0</v>
          </cell>
          <cell r="P3001">
            <v>0</v>
          </cell>
          <cell r="Q3001">
            <v>56860</v>
          </cell>
          <cell r="R3001">
            <v>56860</v>
          </cell>
          <cell r="S3001">
            <v>0</v>
          </cell>
          <cell r="T3001">
            <v>1426</v>
          </cell>
          <cell r="U3001">
            <v>0</v>
          </cell>
          <cell r="V3001">
            <v>0</v>
          </cell>
          <cell r="W3001">
            <v>0</v>
          </cell>
        </row>
        <row r="3002">
          <cell r="A3002" t="str">
            <v>454272</v>
          </cell>
          <cell r="B3002" t="str">
            <v>1251</v>
          </cell>
          <cell r="C3002" t="str">
            <v>12</v>
          </cell>
          <cell r="D3002" t="str">
            <v>75</v>
          </cell>
          <cell r="E3002">
            <v>26</v>
          </cell>
          <cell r="G3002">
            <v>174545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L3002">
            <v>174545</v>
          </cell>
          <cell r="M3002">
            <v>0</v>
          </cell>
          <cell r="N3002">
            <v>0</v>
          </cell>
          <cell r="O3002">
            <v>0</v>
          </cell>
          <cell r="P3002">
            <v>0</v>
          </cell>
          <cell r="Q3002">
            <v>172727</v>
          </cell>
          <cell r="R3002">
            <v>172727</v>
          </cell>
          <cell r="S3002">
            <v>0</v>
          </cell>
          <cell r="T3002">
            <v>1818</v>
          </cell>
          <cell r="U3002">
            <v>0</v>
          </cell>
          <cell r="V3002">
            <v>0</v>
          </cell>
          <cell r="W3002">
            <v>0</v>
          </cell>
        </row>
        <row r="3003">
          <cell r="A3003" t="str">
            <v>454272</v>
          </cell>
          <cell r="B3003" t="str">
            <v>1251</v>
          </cell>
          <cell r="C3003" t="str">
            <v>12</v>
          </cell>
          <cell r="D3003" t="str">
            <v>75</v>
          </cell>
          <cell r="E3003">
            <v>27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L3003">
            <v>0</v>
          </cell>
          <cell r="M3003">
            <v>0</v>
          </cell>
          <cell r="N3003">
            <v>0</v>
          </cell>
          <cell r="O3003">
            <v>0</v>
          </cell>
          <cell r="P3003">
            <v>0</v>
          </cell>
          <cell r="Q3003">
            <v>0</v>
          </cell>
          <cell r="R3003">
            <v>0</v>
          </cell>
          <cell r="S3003">
            <v>0</v>
          </cell>
          <cell r="T3003">
            <v>0</v>
          </cell>
          <cell r="U3003">
            <v>0</v>
          </cell>
          <cell r="V3003">
            <v>0</v>
          </cell>
          <cell r="W3003">
            <v>0</v>
          </cell>
        </row>
        <row r="3004">
          <cell r="A3004" t="str">
            <v>454272</v>
          </cell>
          <cell r="B3004" t="str">
            <v>1251</v>
          </cell>
          <cell r="C3004" t="str">
            <v>12</v>
          </cell>
          <cell r="D3004" t="str">
            <v>75</v>
          </cell>
          <cell r="E3004">
            <v>28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  <cell r="K3004">
            <v>0</v>
          </cell>
          <cell r="L3004">
            <v>0</v>
          </cell>
          <cell r="M3004">
            <v>0</v>
          </cell>
          <cell r="N3004">
            <v>0</v>
          </cell>
          <cell r="O3004">
            <v>0</v>
          </cell>
          <cell r="P3004">
            <v>0</v>
          </cell>
          <cell r="Q3004">
            <v>0</v>
          </cell>
          <cell r="R3004">
            <v>0</v>
          </cell>
          <cell r="S3004">
            <v>0</v>
          </cell>
          <cell r="T3004">
            <v>0</v>
          </cell>
          <cell r="U3004">
            <v>0</v>
          </cell>
          <cell r="V3004">
            <v>0</v>
          </cell>
          <cell r="W3004">
            <v>0</v>
          </cell>
        </row>
        <row r="3005">
          <cell r="A3005" t="str">
            <v>454272</v>
          </cell>
          <cell r="B3005" t="str">
            <v>1251</v>
          </cell>
          <cell r="C3005" t="str">
            <v>12</v>
          </cell>
          <cell r="D3005" t="str">
            <v>75</v>
          </cell>
          <cell r="E3005">
            <v>29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L3005">
            <v>0</v>
          </cell>
          <cell r="M3005">
            <v>0</v>
          </cell>
          <cell r="N3005">
            <v>0</v>
          </cell>
          <cell r="O3005">
            <v>0</v>
          </cell>
          <cell r="P3005">
            <v>0</v>
          </cell>
          <cell r="Q3005">
            <v>0</v>
          </cell>
          <cell r="R3005">
            <v>0</v>
          </cell>
          <cell r="S3005">
            <v>0</v>
          </cell>
          <cell r="T3005">
            <v>0</v>
          </cell>
          <cell r="U3005">
            <v>0</v>
          </cell>
          <cell r="V3005">
            <v>0</v>
          </cell>
          <cell r="W3005">
            <v>0</v>
          </cell>
        </row>
        <row r="3006">
          <cell r="A3006" t="str">
            <v>454272</v>
          </cell>
          <cell r="B3006" t="str">
            <v>1251</v>
          </cell>
          <cell r="C3006" t="str">
            <v>12</v>
          </cell>
          <cell r="D3006" t="str">
            <v>75</v>
          </cell>
          <cell r="E3006">
            <v>30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L3006">
            <v>0</v>
          </cell>
          <cell r="M3006">
            <v>0</v>
          </cell>
          <cell r="N3006">
            <v>0</v>
          </cell>
          <cell r="O3006">
            <v>0</v>
          </cell>
          <cell r="P3006">
            <v>0</v>
          </cell>
          <cell r="Q3006">
            <v>0</v>
          </cell>
          <cell r="R3006">
            <v>0</v>
          </cell>
          <cell r="S3006">
            <v>0</v>
          </cell>
          <cell r="T3006">
            <v>0</v>
          </cell>
          <cell r="U3006">
            <v>0</v>
          </cell>
          <cell r="V3006">
            <v>0</v>
          </cell>
          <cell r="W3006">
            <v>0</v>
          </cell>
        </row>
        <row r="3007">
          <cell r="A3007" t="str">
            <v>454272</v>
          </cell>
          <cell r="B3007" t="str">
            <v>1251</v>
          </cell>
          <cell r="C3007" t="str">
            <v>12</v>
          </cell>
          <cell r="D3007" t="str">
            <v>75</v>
          </cell>
          <cell r="E3007">
            <v>31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L3007">
            <v>0</v>
          </cell>
          <cell r="M3007">
            <v>0</v>
          </cell>
          <cell r="N3007">
            <v>0</v>
          </cell>
          <cell r="O3007">
            <v>0</v>
          </cell>
          <cell r="P3007">
            <v>0</v>
          </cell>
          <cell r="Q3007">
            <v>0</v>
          </cell>
          <cell r="R3007">
            <v>0</v>
          </cell>
          <cell r="S3007">
            <v>0</v>
          </cell>
          <cell r="T3007">
            <v>0</v>
          </cell>
          <cell r="U3007">
            <v>0</v>
          </cell>
          <cell r="V3007">
            <v>0</v>
          </cell>
          <cell r="W3007">
            <v>0</v>
          </cell>
        </row>
        <row r="3008">
          <cell r="A3008" t="str">
            <v>454272</v>
          </cell>
          <cell r="B3008" t="str">
            <v>1251</v>
          </cell>
          <cell r="C3008" t="str">
            <v>12</v>
          </cell>
          <cell r="D3008" t="str">
            <v>75</v>
          </cell>
          <cell r="E3008">
            <v>32</v>
          </cell>
          <cell r="G3008">
            <v>0</v>
          </cell>
          <cell r="H3008">
            <v>0</v>
          </cell>
          <cell r="I3008">
            <v>0</v>
          </cell>
          <cell r="J3008">
            <v>0</v>
          </cell>
          <cell r="K3008">
            <v>0</v>
          </cell>
          <cell r="L3008">
            <v>0</v>
          </cell>
          <cell r="M3008">
            <v>0</v>
          </cell>
          <cell r="N3008">
            <v>0</v>
          </cell>
          <cell r="O3008">
            <v>0</v>
          </cell>
          <cell r="P3008">
            <v>0</v>
          </cell>
          <cell r="Q3008">
            <v>0</v>
          </cell>
          <cell r="R3008">
            <v>0</v>
          </cell>
          <cell r="S3008">
            <v>0</v>
          </cell>
          <cell r="T3008">
            <v>0</v>
          </cell>
          <cell r="U3008">
            <v>0</v>
          </cell>
          <cell r="V3008">
            <v>0</v>
          </cell>
          <cell r="W3008">
            <v>0</v>
          </cell>
        </row>
        <row r="3009">
          <cell r="A3009" t="str">
            <v>454272</v>
          </cell>
          <cell r="B3009" t="str">
            <v>1251</v>
          </cell>
          <cell r="C3009" t="str">
            <v>12</v>
          </cell>
          <cell r="D3009" t="str">
            <v>75</v>
          </cell>
          <cell r="E3009">
            <v>33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  <cell r="L3009">
            <v>0</v>
          </cell>
          <cell r="M3009">
            <v>0</v>
          </cell>
          <cell r="N3009">
            <v>0</v>
          </cell>
          <cell r="O3009">
            <v>0</v>
          </cell>
          <cell r="P3009">
            <v>0</v>
          </cell>
          <cell r="Q3009">
            <v>0</v>
          </cell>
          <cell r="R3009">
            <v>0</v>
          </cell>
          <cell r="S3009">
            <v>0</v>
          </cell>
          <cell r="T3009">
            <v>0</v>
          </cell>
          <cell r="U3009">
            <v>0</v>
          </cell>
          <cell r="V3009">
            <v>0</v>
          </cell>
          <cell r="W3009">
            <v>0</v>
          </cell>
        </row>
        <row r="3010">
          <cell r="A3010" t="str">
            <v>454272</v>
          </cell>
          <cell r="B3010" t="str">
            <v>1251</v>
          </cell>
          <cell r="C3010" t="str">
            <v>12</v>
          </cell>
          <cell r="D3010" t="str">
            <v>75</v>
          </cell>
          <cell r="E3010">
            <v>34</v>
          </cell>
          <cell r="G3010">
            <v>184511</v>
          </cell>
          <cell r="H3010">
            <v>0</v>
          </cell>
          <cell r="I3010">
            <v>0</v>
          </cell>
          <cell r="J3010">
            <v>0</v>
          </cell>
          <cell r="K3010">
            <v>0</v>
          </cell>
          <cell r="L3010">
            <v>176945</v>
          </cell>
          <cell r="M3010">
            <v>0</v>
          </cell>
          <cell r="N3010">
            <v>0</v>
          </cell>
          <cell r="O3010">
            <v>0</v>
          </cell>
          <cell r="P3010">
            <v>0</v>
          </cell>
          <cell r="Q3010">
            <v>172727</v>
          </cell>
          <cell r="R3010">
            <v>172727</v>
          </cell>
          <cell r="S3010">
            <v>0</v>
          </cell>
          <cell r="T3010">
            <v>4218</v>
          </cell>
          <cell r="U3010">
            <v>0</v>
          </cell>
          <cell r="V3010">
            <v>7566</v>
          </cell>
          <cell r="W3010">
            <v>0</v>
          </cell>
        </row>
        <row r="3011">
          <cell r="A3011" t="str">
            <v>454272</v>
          </cell>
          <cell r="B3011" t="str">
            <v>1251</v>
          </cell>
          <cell r="C3011" t="str">
            <v>12</v>
          </cell>
          <cell r="D3011" t="str">
            <v>80</v>
          </cell>
          <cell r="E3011">
            <v>1</v>
          </cell>
          <cell r="G3011">
            <v>0</v>
          </cell>
          <cell r="H3011">
            <v>70386</v>
          </cell>
          <cell r="I3011">
            <v>70374</v>
          </cell>
          <cell r="J3011">
            <v>0</v>
          </cell>
          <cell r="K3011">
            <v>0</v>
          </cell>
          <cell r="L3011">
            <v>13314</v>
          </cell>
          <cell r="M3011">
            <v>12951</v>
          </cell>
          <cell r="N3011">
            <v>0</v>
          </cell>
          <cell r="O3011">
            <v>0</v>
          </cell>
          <cell r="P3011">
            <v>4431</v>
          </cell>
          <cell r="Q3011">
            <v>4429</v>
          </cell>
          <cell r="R3011">
            <v>0</v>
          </cell>
          <cell r="S3011">
            <v>0</v>
          </cell>
          <cell r="T3011">
            <v>88131</v>
          </cell>
          <cell r="U3011">
            <v>87754</v>
          </cell>
          <cell r="V3011">
            <v>0</v>
          </cell>
          <cell r="W3011">
            <v>0</v>
          </cell>
        </row>
        <row r="3012">
          <cell r="A3012" t="str">
            <v>454272</v>
          </cell>
          <cell r="B3012" t="str">
            <v>1251</v>
          </cell>
          <cell r="C3012" t="str">
            <v>12</v>
          </cell>
          <cell r="D3012" t="str">
            <v>80</v>
          </cell>
          <cell r="E3012">
            <v>5</v>
          </cell>
          <cell r="G3012">
            <v>0</v>
          </cell>
          <cell r="H3012">
            <v>27103</v>
          </cell>
          <cell r="I3012">
            <v>27090</v>
          </cell>
          <cell r="J3012">
            <v>0</v>
          </cell>
          <cell r="K3012">
            <v>0</v>
          </cell>
          <cell r="L3012">
            <v>1025</v>
          </cell>
          <cell r="M3012">
            <v>1023</v>
          </cell>
          <cell r="N3012">
            <v>0</v>
          </cell>
          <cell r="O3012">
            <v>0</v>
          </cell>
          <cell r="P3012">
            <v>50655</v>
          </cell>
          <cell r="Q3012">
            <v>49495</v>
          </cell>
          <cell r="R3012">
            <v>0</v>
          </cell>
          <cell r="S3012">
            <v>0</v>
          </cell>
          <cell r="T3012">
            <v>7200</v>
          </cell>
          <cell r="U3012">
            <v>7107</v>
          </cell>
          <cell r="V3012">
            <v>0</v>
          </cell>
          <cell r="W3012">
            <v>0</v>
          </cell>
        </row>
        <row r="3013">
          <cell r="A3013" t="str">
            <v>454272</v>
          </cell>
          <cell r="B3013" t="str">
            <v>1251</v>
          </cell>
          <cell r="C3013" t="str">
            <v>12</v>
          </cell>
          <cell r="D3013" t="str">
            <v>80</v>
          </cell>
          <cell r="E3013">
            <v>9</v>
          </cell>
          <cell r="G3013">
            <v>0</v>
          </cell>
          <cell r="H3013">
            <v>331</v>
          </cell>
          <cell r="I3013">
            <v>193</v>
          </cell>
          <cell r="J3013">
            <v>0</v>
          </cell>
          <cell r="K3013">
            <v>0</v>
          </cell>
          <cell r="L3013">
            <v>0</v>
          </cell>
          <cell r="M3013">
            <v>0</v>
          </cell>
          <cell r="N3013">
            <v>0</v>
          </cell>
          <cell r="O3013">
            <v>0</v>
          </cell>
          <cell r="P3013">
            <v>0</v>
          </cell>
          <cell r="Q3013">
            <v>0</v>
          </cell>
          <cell r="R3013">
            <v>0</v>
          </cell>
          <cell r="S3013">
            <v>0</v>
          </cell>
          <cell r="T3013">
            <v>0</v>
          </cell>
          <cell r="U3013">
            <v>0</v>
          </cell>
          <cell r="V3013">
            <v>0</v>
          </cell>
          <cell r="W3013">
            <v>0</v>
          </cell>
        </row>
        <row r="3014">
          <cell r="A3014" t="str">
            <v>454272</v>
          </cell>
          <cell r="B3014" t="str">
            <v>1251</v>
          </cell>
          <cell r="C3014" t="str">
            <v>12</v>
          </cell>
          <cell r="D3014" t="str">
            <v>80</v>
          </cell>
          <cell r="E3014">
            <v>13</v>
          </cell>
          <cell r="G3014">
            <v>0</v>
          </cell>
          <cell r="H3014">
            <v>0</v>
          </cell>
          <cell r="I3014">
            <v>0</v>
          </cell>
          <cell r="J3014">
            <v>0</v>
          </cell>
          <cell r="K3014">
            <v>0</v>
          </cell>
          <cell r="L3014">
            <v>0</v>
          </cell>
          <cell r="M3014">
            <v>0</v>
          </cell>
          <cell r="N3014">
            <v>0</v>
          </cell>
          <cell r="O3014">
            <v>0</v>
          </cell>
          <cell r="P3014">
            <v>0</v>
          </cell>
          <cell r="Q3014">
            <v>0</v>
          </cell>
          <cell r="R3014">
            <v>0</v>
          </cell>
          <cell r="S3014">
            <v>0</v>
          </cell>
          <cell r="T3014">
            <v>0</v>
          </cell>
          <cell r="U3014">
            <v>0</v>
          </cell>
          <cell r="V3014">
            <v>0</v>
          </cell>
          <cell r="W3014">
            <v>0</v>
          </cell>
        </row>
        <row r="3015">
          <cell r="A3015" t="str">
            <v>454272</v>
          </cell>
          <cell r="B3015" t="str">
            <v>1251</v>
          </cell>
          <cell r="C3015" t="str">
            <v>12</v>
          </cell>
          <cell r="D3015" t="str">
            <v>80</v>
          </cell>
          <cell r="E3015">
            <v>17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  <cell r="K3015">
            <v>0</v>
          </cell>
          <cell r="L3015">
            <v>0</v>
          </cell>
          <cell r="M3015">
            <v>0</v>
          </cell>
          <cell r="N3015">
            <v>0</v>
          </cell>
          <cell r="O3015">
            <v>0</v>
          </cell>
          <cell r="P3015">
            <v>0</v>
          </cell>
          <cell r="Q3015">
            <v>0</v>
          </cell>
          <cell r="R3015">
            <v>0</v>
          </cell>
          <cell r="S3015">
            <v>0</v>
          </cell>
          <cell r="T3015">
            <v>0</v>
          </cell>
          <cell r="U3015">
            <v>0</v>
          </cell>
          <cell r="V3015">
            <v>0</v>
          </cell>
          <cell r="W3015">
            <v>0</v>
          </cell>
        </row>
        <row r="3016">
          <cell r="A3016" t="str">
            <v>454272</v>
          </cell>
          <cell r="B3016" t="str">
            <v>1251</v>
          </cell>
          <cell r="C3016" t="str">
            <v>12</v>
          </cell>
          <cell r="D3016" t="str">
            <v>80</v>
          </cell>
          <cell r="E3016">
            <v>21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  <cell r="L3016">
            <v>0</v>
          </cell>
          <cell r="M3016">
            <v>0</v>
          </cell>
          <cell r="N3016">
            <v>0</v>
          </cell>
          <cell r="O3016">
            <v>0</v>
          </cell>
          <cell r="P3016">
            <v>0</v>
          </cell>
          <cell r="Q3016">
            <v>0</v>
          </cell>
          <cell r="R3016">
            <v>0</v>
          </cell>
          <cell r="S3016">
            <v>0</v>
          </cell>
          <cell r="T3016">
            <v>0</v>
          </cell>
          <cell r="U3016">
            <v>0</v>
          </cell>
          <cell r="V3016">
            <v>0</v>
          </cell>
          <cell r="W3016">
            <v>0</v>
          </cell>
        </row>
        <row r="3017">
          <cell r="A3017" t="str">
            <v>454272</v>
          </cell>
          <cell r="B3017" t="str">
            <v>1251</v>
          </cell>
          <cell r="C3017" t="str">
            <v>12</v>
          </cell>
          <cell r="D3017" t="str">
            <v>80</v>
          </cell>
          <cell r="E3017">
            <v>25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  <cell r="L3017">
            <v>0</v>
          </cell>
          <cell r="M3017">
            <v>0</v>
          </cell>
          <cell r="N3017">
            <v>0</v>
          </cell>
          <cell r="O3017">
            <v>0</v>
          </cell>
          <cell r="P3017">
            <v>0</v>
          </cell>
          <cell r="Q3017">
            <v>0</v>
          </cell>
          <cell r="R3017">
            <v>0</v>
          </cell>
          <cell r="S3017">
            <v>0</v>
          </cell>
          <cell r="T3017">
            <v>0</v>
          </cell>
          <cell r="U3017">
            <v>0</v>
          </cell>
          <cell r="V3017">
            <v>0</v>
          </cell>
          <cell r="W3017">
            <v>0</v>
          </cell>
        </row>
        <row r="3018">
          <cell r="A3018" t="str">
            <v>454272</v>
          </cell>
          <cell r="B3018" t="str">
            <v>1251</v>
          </cell>
          <cell r="C3018" t="str">
            <v>12</v>
          </cell>
          <cell r="D3018" t="str">
            <v>80</v>
          </cell>
          <cell r="E3018">
            <v>29</v>
          </cell>
          <cell r="G3018">
            <v>0</v>
          </cell>
          <cell r="H3018">
            <v>0</v>
          </cell>
          <cell r="I3018">
            <v>0</v>
          </cell>
          <cell r="J3018">
            <v>0</v>
          </cell>
          <cell r="K3018">
            <v>0</v>
          </cell>
          <cell r="L3018">
            <v>0</v>
          </cell>
          <cell r="M3018">
            <v>0</v>
          </cell>
          <cell r="N3018">
            <v>0</v>
          </cell>
          <cell r="O3018">
            <v>0</v>
          </cell>
          <cell r="P3018">
            <v>0</v>
          </cell>
          <cell r="Q3018">
            <v>0</v>
          </cell>
          <cell r="R3018">
            <v>0</v>
          </cell>
          <cell r="S3018">
            <v>0</v>
          </cell>
          <cell r="T3018">
            <v>0</v>
          </cell>
          <cell r="U3018">
            <v>0</v>
          </cell>
          <cell r="V3018">
            <v>0</v>
          </cell>
          <cell r="W3018">
            <v>0</v>
          </cell>
        </row>
        <row r="3019">
          <cell r="A3019" t="str">
            <v>454272</v>
          </cell>
          <cell r="B3019" t="str">
            <v>1251</v>
          </cell>
          <cell r="C3019" t="str">
            <v>12</v>
          </cell>
          <cell r="D3019" t="str">
            <v>80</v>
          </cell>
          <cell r="E3019">
            <v>33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  <cell r="L3019">
            <v>0</v>
          </cell>
          <cell r="M3019">
            <v>0</v>
          </cell>
          <cell r="N3019">
            <v>0</v>
          </cell>
          <cell r="O3019">
            <v>0</v>
          </cell>
          <cell r="P3019">
            <v>0</v>
          </cell>
          <cell r="Q3019">
            <v>0</v>
          </cell>
          <cell r="R3019">
            <v>0</v>
          </cell>
          <cell r="S3019">
            <v>0</v>
          </cell>
          <cell r="T3019">
            <v>0</v>
          </cell>
          <cell r="U3019">
            <v>0</v>
          </cell>
          <cell r="V3019">
            <v>0</v>
          </cell>
          <cell r="W3019">
            <v>0</v>
          </cell>
        </row>
        <row r="3020">
          <cell r="A3020" t="str">
            <v>454272</v>
          </cell>
          <cell r="B3020" t="str">
            <v>1251</v>
          </cell>
          <cell r="C3020" t="str">
            <v>12</v>
          </cell>
          <cell r="D3020" t="str">
            <v>80</v>
          </cell>
          <cell r="E3020">
            <v>37</v>
          </cell>
          <cell r="G3020">
            <v>0</v>
          </cell>
          <cell r="H3020">
            <v>100</v>
          </cell>
          <cell r="I3020">
            <v>65</v>
          </cell>
          <cell r="J3020">
            <v>0</v>
          </cell>
          <cell r="K3020">
            <v>0</v>
          </cell>
          <cell r="L3020">
            <v>174545</v>
          </cell>
          <cell r="M3020">
            <v>172727</v>
          </cell>
          <cell r="N3020">
            <v>0</v>
          </cell>
          <cell r="O3020">
            <v>0</v>
          </cell>
          <cell r="P3020">
            <v>0</v>
          </cell>
          <cell r="Q3020">
            <v>0</v>
          </cell>
          <cell r="R3020">
            <v>0</v>
          </cell>
          <cell r="S3020">
            <v>0</v>
          </cell>
          <cell r="T3020">
            <v>8315</v>
          </cell>
          <cell r="U3020">
            <v>0</v>
          </cell>
          <cell r="V3020">
            <v>0</v>
          </cell>
          <cell r="W3020">
            <v>0</v>
          </cell>
        </row>
        <row r="3021">
          <cell r="A3021" t="str">
            <v>454272</v>
          </cell>
          <cell r="B3021" t="str">
            <v>1251</v>
          </cell>
          <cell r="C3021" t="str">
            <v>12</v>
          </cell>
          <cell r="D3021" t="str">
            <v>80</v>
          </cell>
          <cell r="E3021">
            <v>41</v>
          </cell>
          <cell r="G3021">
            <v>0</v>
          </cell>
          <cell r="H3021">
            <v>1651</v>
          </cell>
          <cell r="I3021">
            <v>0</v>
          </cell>
          <cell r="J3021">
            <v>0</v>
          </cell>
          <cell r="K3021">
            <v>0</v>
          </cell>
          <cell r="L3021">
            <v>0</v>
          </cell>
          <cell r="M3021">
            <v>0</v>
          </cell>
          <cell r="N3021">
            <v>0</v>
          </cell>
          <cell r="O3021">
            <v>0</v>
          </cell>
          <cell r="P3021">
            <v>0</v>
          </cell>
          <cell r="Q3021">
            <v>0</v>
          </cell>
          <cell r="R3021">
            <v>0</v>
          </cell>
          <cell r="S3021">
            <v>0</v>
          </cell>
          <cell r="T3021">
            <v>0</v>
          </cell>
          <cell r="U3021">
            <v>0</v>
          </cell>
          <cell r="V3021">
            <v>0</v>
          </cell>
          <cell r="W3021">
            <v>0</v>
          </cell>
        </row>
        <row r="3022">
          <cell r="A3022" t="str">
            <v>454272</v>
          </cell>
          <cell r="B3022" t="str">
            <v>1251</v>
          </cell>
          <cell r="C3022" t="str">
            <v>12</v>
          </cell>
          <cell r="D3022" t="str">
            <v>80</v>
          </cell>
          <cell r="E3022">
            <v>45</v>
          </cell>
          <cell r="G3022">
            <v>0</v>
          </cell>
          <cell r="H3022">
            <v>0</v>
          </cell>
          <cell r="I3022">
            <v>0</v>
          </cell>
          <cell r="J3022">
            <v>0</v>
          </cell>
          <cell r="K3022">
            <v>0</v>
          </cell>
          <cell r="L3022">
            <v>0</v>
          </cell>
          <cell r="M3022">
            <v>0</v>
          </cell>
          <cell r="N3022">
            <v>0</v>
          </cell>
          <cell r="O3022">
            <v>0</v>
          </cell>
          <cell r="P3022">
            <v>0</v>
          </cell>
          <cell r="Q3022">
            <v>0</v>
          </cell>
          <cell r="R3022">
            <v>0</v>
          </cell>
          <cell r="S3022">
            <v>0</v>
          </cell>
          <cell r="T3022">
            <v>0</v>
          </cell>
          <cell r="U3022">
            <v>0</v>
          </cell>
          <cell r="V3022">
            <v>0</v>
          </cell>
          <cell r="W3022">
            <v>0</v>
          </cell>
        </row>
        <row r="3023">
          <cell r="A3023" t="str">
            <v>454272</v>
          </cell>
          <cell r="B3023" t="str">
            <v>1251</v>
          </cell>
          <cell r="C3023" t="str">
            <v>12</v>
          </cell>
          <cell r="D3023" t="str">
            <v>80</v>
          </cell>
          <cell r="E3023">
            <v>49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0</v>
          </cell>
          <cell r="L3023">
            <v>0</v>
          </cell>
          <cell r="M3023">
            <v>0</v>
          </cell>
          <cell r="N3023">
            <v>0</v>
          </cell>
          <cell r="O3023">
            <v>0</v>
          </cell>
          <cell r="P3023">
            <v>0</v>
          </cell>
          <cell r="Q3023">
            <v>0</v>
          </cell>
          <cell r="R3023">
            <v>0</v>
          </cell>
          <cell r="S3023">
            <v>0</v>
          </cell>
          <cell r="T3023">
            <v>0</v>
          </cell>
          <cell r="U3023">
            <v>0</v>
          </cell>
          <cell r="V3023">
            <v>0</v>
          </cell>
          <cell r="W3023">
            <v>0</v>
          </cell>
        </row>
        <row r="3024">
          <cell r="A3024" t="str">
            <v>454272</v>
          </cell>
          <cell r="B3024" t="str">
            <v>1251</v>
          </cell>
          <cell r="C3024" t="str">
            <v>12</v>
          </cell>
          <cell r="D3024" t="str">
            <v>80</v>
          </cell>
          <cell r="E3024">
            <v>53</v>
          </cell>
          <cell r="G3024">
            <v>0</v>
          </cell>
          <cell r="H3024">
            <v>0</v>
          </cell>
          <cell r="I3024">
            <v>0</v>
          </cell>
          <cell r="J3024">
            <v>0</v>
          </cell>
          <cell r="K3024">
            <v>0</v>
          </cell>
          <cell r="L3024">
            <v>0</v>
          </cell>
          <cell r="M3024">
            <v>0</v>
          </cell>
          <cell r="N3024">
            <v>0</v>
          </cell>
          <cell r="O3024">
            <v>0</v>
          </cell>
          <cell r="P3024">
            <v>0</v>
          </cell>
          <cell r="Q3024">
            <v>0</v>
          </cell>
          <cell r="R3024">
            <v>0</v>
          </cell>
          <cell r="S3024">
            <v>0</v>
          </cell>
          <cell r="T3024">
            <v>0</v>
          </cell>
          <cell r="U3024">
            <v>0</v>
          </cell>
          <cell r="V3024">
            <v>0</v>
          </cell>
          <cell r="W3024">
            <v>0</v>
          </cell>
        </row>
        <row r="3025">
          <cell r="A3025" t="str">
            <v>454272</v>
          </cell>
          <cell r="B3025" t="str">
            <v>1251</v>
          </cell>
          <cell r="C3025" t="str">
            <v>12</v>
          </cell>
          <cell r="D3025" t="str">
            <v>80</v>
          </cell>
          <cell r="E3025">
            <v>57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  <cell r="L3025">
            <v>0</v>
          </cell>
          <cell r="M3025">
            <v>0</v>
          </cell>
          <cell r="N3025">
            <v>0</v>
          </cell>
          <cell r="O3025">
            <v>0</v>
          </cell>
          <cell r="P3025">
            <v>0</v>
          </cell>
          <cell r="Q3025">
            <v>0</v>
          </cell>
          <cell r="R3025">
            <v>0</v>
          </cell>
          <cell r="S3025">
            <v>0</v>
          </cell>
          <cell r="T3025">
            <v>0</v>
          </cell>
          <cell r="U3025">
            <v>0</v>
          </cell>
          <cell r="V3025">
            <v>0</v>
          </cell>
          <cell r="W3025">
            <v>0</v>
          </cell>
        </row>
        <row r="3026">
          <cell r="A3026" t="str">
            <v>454272</v>
          </cell>
          <cell r="B3026" t="str">
            <v>1251</v>
          </cell>
          <cell r="C3026" t="str">
            <v>12</v>
          </cell>
          <cell r="D3026" t="str">
            <v>80</v>
          </cell>
          <cell r="E3026">
            <v>61</v>
          </cell>
          <cell r="G3026">
            <v>0</v>
          </cell>
          <cell r="H3026">
            <v>9966</v>
          </cell>
          <cell r="I3026">
            <v>0</v>
          </cell>
          <cell r="J3026">
            <v>0</v>
          </cell>
          <cell r="K3026">
            <v>0</v>
          </cell>
          <cell r="L3026">
            <v>0</v>
          </cell>
          <cell r="M3026">
            <v>0</v>
          </cell>
          <cell r="N3026">
            <v>0</v>
          </cell>
          <cell r="O3026">
            <v>0</v>
          </cell>
          <cell r="P3026">
            <v>0</v>
          </cell>
          <cell r="Q3026">
            <v>0</v>
          </cell>
          <cell r="R3026">
            <v>0</v>
          </cell>
          <cell r="S3026">
            <v>0</v>
          </cell>
          <cell r="T3026">
            <v>0</v>
          </cell>
          <cell r="U3026">
            <v>0</v>
          </cell>
          <cell r="V3026">
            <v>0</v>
          </cell>
          <cell r="W3026">
            <v>0</v>
          </cell>
        </row>
        <row r="3027">
          <cell r="A3027" t="str">
            <v>454272</v>
          </cell>
          <cell r="B3027" t="str">
            <v>1251</v>
          </cell>
          <cell r="C3027" t="str">
            <v>12</v>
          </cell>
          <cell r="D3027" t="str">
            <v>80</v>
          </cell>
          <cell r="E3027">
            <v>65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  <cell r="K3027">
            <v>0</v>
          </cell>
          <cell r="L3027">
            <v>0</v>
          </cell>
          <cell r="M3027">
            <v>0</v>
          </cell>
          <cell r="N3027">
            <v>0</v>
          </cell>
          <cell r="O3027">
            <v>0</v>
          </cell>
          <cell r="P3027">
            <v>184511</v>
          </cell>
          <cell r="Q3027">
            <v>172727</v>
          </cell>
          <cell r="R3027">
            <v>0</v>
          </cell>
          <cell r="S3027">
            <v>0</v>
          </cell>
          <cell r="T3027">
            <v>0</v>
          </cell>
          <cell r="U3027">
            <v>0</v>
          </cell>
          <cell r="V3027">
            <v>0</v>
          </cell>
          <cell r="W3027">
            <v>0</v>
          </cell>
        </row>
        <row r="3028">
          <cell r="A3028" t="str">
            <v>454272</v>
          </cell>
          <cell r="B3028" t="str">
            <v>1251</v>
          </cell>
          <cell r="C3028" t="str">
            <v>12</v>
          </cell>
          <cell r="D3028" t="str">
            <v>80</v>
          </cell>
          <cell r="E3028">
            <v>69</v>
          </cell>
          <cell r="G3028">
            <v>0</v>
          </cell>
          <cell r="H3028">
            <v>24505</v>
          </cell>
          <cell r="I3028">
            <v>24572</v>
          </cell>
          <cell r="J3028">
            <v>0</v>
          </cell>
          <cell r="K3028">
            <v>0</v>
          </cell>
          <cell r="L3028">
            <v>4010</v>
          </cell>
          <cell r="M3028">
            <v>4009</v>
          </cell>
          <cell r="N3028">
            <v>0</v>
          </cell>
          <cell r="O3028">
            <v>0</v>
          </cell>
          <cell r="P3028">
            <v>0</v>
          </cell>
          <cell r="Q3028">
            <v>165</v>
          </cell>
          <cell r="R3028">
            <v>0</v>
          </cell>
          <cell r="S3028">
            <v>0</v>
          </cell>
          <cell r="T3028">
            <v>0</v>
          </cell>
          <cell r="U3028">
            <v>0</v>
          </cell>
          <cell r="V3028">
            <v>0</v>
          </cell>
          <cell r="W3028">
            <v>0</v>
          </cell>
        </row>
        <row r="3029">
          <cell r="A3029" t="str">
            <v>454272</v>
          </cell>
          <cell r="B3029" t="str">
            <v>1251</v>
          </cell>
          <cell r="C3029" t="str">
            <v>12</v>
          </cell>
          <cell r="D3029" t="str">
            <v>80</v>
          </cell>
          <cell r="E3029">
            <v>73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  <cell r="L3029">
            <v>0</v>
          </cell>
          <cell r="M3029">
            <v>0</v>
          </cell>
          <cell r="N3029">
            <v>0</v>
          </cell>
          <cell r="O3029">
            <v>0</v>
          </cell>
          <cell r="P3029">
            <v>0</v>
          </cell>
          <cell r="Q3029">
            <v>0</v>
          </cell>
          <cell r="R3029">
            <v>0</v>
          </cell>
          <cell r="S3029">
            <v>0</v>
          </cell>
          <cell r="T3029">
            <v>0</v>
          </cell>
          <cell r="U3029">
            <v>0</v>
          </cell>
          <cell r="V3029">
            <v>0</v>
          </cell>
          <cell r="W3029">
            <v>0</v>
          </cell>
        </row>
        <row r="3030">
          <cell r="A3030" t="str">
            <v>454272</v>
          </cell>
          <cell r="B3030" t="str">
            <v>1251</v>
          </cell>
          <cell r="C3030" t="str">
            <v>12</v>
          </cell>
          <cell r="D3030" t="str">
            <v>80</v>
          </cell>
          <cell r="E3030">
            <v>77</v>
          </cell>
          <cell r="G3030">
            <v>0</v>
          </cell>
          <cell r="H3030">
            <v>0</v>
          </cell>
          <cell r="I3030">
            <v>0</v>
          </cell>
          <cell r="J3030">
            <v>0</v>
          </cell>
          <cell r="K3030">
            <v>0</v>
          </cell>
          <cell r="L3030">
            <v>0</v>
          </cell>
          <cell r="M3030">
            <v>0</v>
          </cell>
          <cell r="N3030">
            <v>0</v>
          </cell>
          <cell r="O3030">
            <v>0</v>
          </cell>
          <cell r="P3030">
            <v>0</v>
          </cell>
          <cell r="Q3030">
            <v>0</v>
          </cell>
          <cell r="R3030">
            <v>0</v>
          </cell>
          <cell r="S3030">
            <v>0</v>
          </cell>
          <cell r="T3030">
            <v>0</v>
          </cell>
          <cell r="U3030">
            <v>0</v>
          </cell>
          <cell r="V3030">
            <v>0</v>
          </cell>
          <cell r="W3030">
            <v>0</v>
          </cell>
        </row>
        <row r="3031">
          <cell r="A3031" t="str">
            <v>454272</v>
          </cell>
          <cell r="B3031" t="str">
            <v>1251</v>
          </cell>
          <cell r="C3031" t="str">
            <v>12</v>
          </cell>
          <cell r="D3031" t="str">
            <v>80</v>
          </cell>
          <cell r="E3031">
            <v>81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  <cell r="L3031">
            <v>0</v>
          </cell>
          <cell r="M3031">
            <v>0</v>
          </cell>
          <cell r="N3031">
            <v>0</v>
          </cell>
          <cell r="O3031">
            <v>0</v>
          </cell>
          <cell r="P3031">
            <v>0</v>
          </cell>
          <cell r="Q3031">
            <v>0</v>
          </cell>
          <cell r="R3031">
            <v>0</v>
          </cell>
          <cell r="S3031">
            <v>0</v>
          </cell>
          <cell r="T3031">
            <v>0</v>
          </cell>
          <cell r="U3031">
            <v>0</v>
          </cell>
          <cell r="V3031">
            <v>0</v>
          </cell>
          <cell r="W3031">
            <v>0</v>
          </cell>
        </row>
        <row r="3032">
          <cell r="A3032" t="str">
            <v>454272</v>
          </cell>
          <cell r="B3032" t="str">
            <v>1251</v>
          </cell>
          <cell r="C3032" t="str">
            <v>12</v>
          </cell>
          <cell r="D3032" t="str">
            <v>80</v>
          </cell>
          <cell r="E3032">
            <v>85</v>
          </cell>
          <cell r="G3032">
            <v>0</v>
          </cell>
          <cell r="H3032">
            <v>0</v>
          </cell>
          <cell r="I3032">
            <v>0</v>
          </cell>
          <cell r="J3032">
            <v>0</v>
          </cell>
          <cell r="K3032">
            <v>0</v>
          </cell>
          <cell r="L3032">
            <v>0</v>
          </cell>
          <cell r="M3032">
            <v>0</v>
          </cell>
          <cell r="N3032">
            <v>0</v>
          </cell>
          <cell r="O3032">
            <v>0</v>
          </cell>
          <cell r="P3032">
            <v>0</v>
          </cell>
          <cell r="Q3032">
            <v>0</v>
          </cell>
          <cell r="R3032">
            <v>0</v>
          </cell>
          <cell r="S3032">
            <v>0</v>
          </cell>
          <cell r="T3032">
            <v>0</v>
          </cell>
          <cell r="U3032">
            <v>0</v>
          </cell>
          <cell r="V3032">
            <v>0</v>
          </cell>
          <cell r="W3032">
            <v>0</v>
          </cell>
        </row>
        <row r="3033">
          <cell r="A3033" t="str">
            <v>454272</v>
          </cell>
          <cell r="B3033" t="str">
            <v>1251</v>
          </cell>
          <cell r="C3033" t="str">
            <v>12</v>
          </cell>
          <cell r="D3033" t="str">
            <v>80</v>
          </cell>
          <cell r="E3033">
            <v>89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L3033">
            <v>0</v>
          </cell>
          <cell r="M3033">
            <v>0</v>
          </cell>
          <cell r="N3033">
            <v>0</v>
          </cell>
          <cell r="O3033">
            <v>0</v>
          </cell>
          <cell r="P3033">
            <v>0</v>
          </cell>
          <cell r="Q3033">
            <v>0</v>
          </cell>
          <cell r="R3033">
            <v>0</v>
          </cell>
          <cell r="S3033">
            <v>0</v>
          </cell>
          <cell r="T3033">
            <v>0</v>
          </cell>
          <cell r="U3033">
            <v>0</v>
          </cell>
          <cell r="V3033">
            <v>0</v>
          </cell>
          <cell r="W3033">
            <v>0</v>
          </cell>
        </row>
        <row r="3034">
          <cell r="A3034" t="str">
            <v>454272</v>
          </cell>
          <cell r="B3034" t="str">
            <v>1251</v>
          </cell>
          <cell r="C3034" t="str">
            <v>12</v>
          </cell>
          <cell r="D3034" t="str">
            <v>80</v>
          </cell>
          <cell r="E3034">
            <v>93</v>
          </cell>
          <cell r="G3034">
            <v>0</v>
          </cell>
          <cell r="H3034">
            <v>0</v>
          </cell>
          <cell r="I3034">
            <v>157</v>
          </cell>
          <cell r="J3034">
            <v>0</v>
          </cell>
          <cell r="K3034">
            <v>0</v>
          </cell>
          <cell r="L3034">
            <v>1939</v>
          </cell>
          <cell r="M3034">
            <v>1782</v>
          </cell>
          <cell r="N3034">
            <v>0</v>
          </cell>
          <cell r="O3034">
            <v>0</v>
          </cell>
          <cell r="P3034">
            <v>0</v>
          </cell>
          <cell r="Q3034">
            <v>11598</v>
          </cell>
          <cell r="R3034">
            <v>0</v>
          </cell>
          <cell r="S3034">
            <v>0</v>
          </cell>
          <cell r="T3034">
            <v>0</v>
          </cell>
          <cell r="U3034">
            <v>0</v>
          </cell>
          <cell r="V3034">
            <v>0</v>
          </cell>
          <cell r="W3034">
            <v>0</v>
          </cell>
        </row>
        <row r="3035">
          <cell r="A3035" t="str">
            <v>454272</v>
          </cell>
          <cell r="B3035" t="str">
            <v>1251</v>
          </cell>
          <cell r="C3035" t="str">
            <v>12</v>
          </cell>
          <cell r="D3035" t="str">
            <v>80</v>
          </cell>
          <cell r="E3035">
            <v>97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  <cell r="L3035">
            <v>1939</v>
          </cell>
          <cell r="M3035">
            <v>13537</v>
          </cell>
          <cell r="N3035">
            <v>0</v>
          </cell>
          <cell r="O3035">
            <v>0</v>
          </cell>
          <cell r="P3035">
            <v>0</v>
          </cell>
          <cell r="Q3035">
            <v>0</v>
          </cell>
          <cell r="R3035">
            <v>0</v>
          </cell>
          <cell r="S3035">
            <v>0</v>
          </cell>
          <cell r="T3035">
            <v>0</v>
          </cell>
          <cell r="U3035">
            <v>0</v>
          </cell>
          <cell r="V3035">
            <v>0</v>
          </cell>
          <cell r="W3035">
            <v>0</v>
          </cell>
        </row>
        <row r="3036">
          <cell r="A3036" t="str">
            <v>454272</v>
          </cell>
          <cell r="B3036" t="str">
            <v>1251</v>
          </cell>
          <cell r="C3036" t="str">
            <v>12</v>
          </cell>
          <cell r="D3036" t="str">
            <v>80</v>
          </cell>
          <cell r="E3036">
            <v>101</v>
          </cell>
          <cell r="G3036">
            <v>0</v>
          </cell>
          <cell r="H3036">
            <v>0</v>
          </cell>
          <cell r="I3036">
            <v>0</v>
          </cell>
          <cell r="J3036">
            <v>0</v>
          </cell>
          <cell r="K3036">
            <v>0</v>
          </cell>
          <cell r="L3036">
            <v>0</v>
          </cell>
          <cell r="M3036">
            <v>0</v>
          </cell>
          <cell r="N3036">
            <v>0</v>
          </cell>
          <cell r="O3036">
            <v>0</v>
          </cell>
          <cell r="P3036">
            <v>0</v>
          </cell>
          <cell r="Q3036">
            <v>0</v>
          </cell>
          <cell r="R3036">
            <v>0</v>
          </cell>
          <cell r="S3036">
            <v>0</v>
          </cell>
          <cell r="T3036">
            <v>0</v>
          </cell>
          <cell r="U3036">
            <v>0</v>
          </cell>
          <cell r="V3036">
            <v>0</v>
          </cell>
          <cell r="W3036">
            <v>0</v>
          </cell>
        </row>
        <row r="3037">
          <cell r="A3037" t="str">
            <v>454272</v>
          </cell>
          <cell r="B3037" t="str">
            <v>1251</v>
          </cell>
          <cell r="C3037" t="str">
            <v>12</v>
          </cell>
          <cell r="D3037" t="str">
            <v>80</v>
          </cell>
          <cell r="E3037">
            <v>105</v>
          </cell>
          <cell r="G3037">
            <v>0</v>
          </cell>
          <cell r="H3037">
            <v>426</v>
          </cell>
          <cell r="I3037">
            <v>426</v>
          </cell>
          <cell r="J3037">
            <v>0</v>
          </cell>
          <cell r="K3037">
            <v>0</v>
          </cell>
          <cell r="L3037">
            <v>0</v>
          </cell>
          <cell r="M3037">
            <v>0</v>
          </cell>
          <cell r="N3037">
            <v>0</v>
          </cell>
          <cell r="O3037">
            <v>0</v>
          </cell>
          <cell r="P3037">
            <v>0</v>
          </cell>
          <cell r="Q3037">
            <v>0</v>
          </cell>
          <cell r="R3037">
            <v>0</v>
          </cell>
          <cell r="S3037">
            <v>0</v>
          </cell>
          <cell r="T3037">
            <v>426</v>
          </cell>
          <cell r="U3037">
            <v>426</v>
          </cell>
          <cell r="V3037">
            <v>0</v>
          </cell>
          <cell r="W3037">
            <v>0</v>
          </cell>
        </row>
        <row r="3038">
          <cell r="A3038" t="str">
            <v>454272</v>
          </cell>
          <cell r="B3038" t="str">
            <v>1251</v>
          </cell>
          <cell r="C3038" t="str">
            <v>12</v>
          </cell>
          <cell r="D3038" t="str">
            <v>80</v>
          </cell>
          <cell r="E3038">
            <v>109</v>
          </cell>
          <cell r="G3038">
            <v>0</v>
          </cell>
          <cell r="H3038">
            <v>8461</v>
          </cell>
          <cell r="I3038">
            <v>7261</v>
          </cell>
          <cell r="J3038">
            <v>0</v>
          </cell>
          <cell r="K3038">
            <v>0</v>
          </cell>
          <cell r="L3038">
            <v>0</v>
          </cell>
          <cell r="M3038">
            <v>0</v>
          </cell>
          <cell r="N3038">
            <v>0</v>
          </cell>
          <cell r="O3038">
            <v>0</v>
          </cell>
          <cell r="P3038">
            <v>0</v>
          </cell>
          <cell r="Q3038">
            <v>0</v>
          </cell>
          <cell r="R3038">
            <v>0</v>
          </cell>
          <cell r="S3038">
            <v>0</v>
          </cell>
          <cell r="T3038">
            <v>0</v>
          </cell>
          <cell r="U3038">
            <v>0</v>
          </cell>
          <cell r="V3038">
            <v>0</v>
          </cell>
          <cell r="W3038">
            <v>0</v>
          </cell>
        </row>
        <row r="3039">
          <cell r="A3039" t="str">
            <v>454272</v>
          </cell>
          <cell r="B3039" t="str">
            <v>1251</v>
          </cell>
          <cell r="C3039" t="str">
            <v>12</v>
          </cell>
          <cell r="D3039" t="str">
            <v>80</v>
          </cell>
          <cell r="E3039">
            <v>113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  <cell r="L3039">
            <v>0</v>
          </cell>
          <cell r="M3039">
            <v>0</v>
          </cell>
          <cell r="N3039">
            <v>0</v>
          </cell>
          <cell r="O3039">
            <v>0</v>
          </cell>
          <cell r="P3039">
            <v>8887</v>
          </cell>
          <cell r="Q3039">
            <v>7687</v>
          </cell>
          <cell r="R3039">
            <v>0</v>
          </cell>
          <cell r="S3039">
            <v>0</v>
          </cell>
          <cell r="T3039">
            <v>0</v>
          </cell>
          <cell r="U3039">
            <v>0</v>
          </cell>
          <cell r="V3039">
            <v>0</v>
          </cell>
          <cell r="W3039">
            <v>0</v>
          </cell>
        </row>
        <row r="3040">
          <cell r="A3040" t="str">
            <v>454272</v>
          </cell>
          <cell r="B3040" t="str">
            <v>1251</v>
          </cell>
          <cell r="C3040" t="str">
            <v>12</v>
          </cell>
          <cell r="D3040" t="str">
            <v>80</v>
          </cell>
          <cell r="E3040">
            <v>117</v>
          </cell>
          <cell r="G3040">
            <v>0</v>
          </cell>
          <cell r="H3040">
            <v>0</v>
          </cell>
          <cell r="I3040">
            <v>0</v>
          </cell>
          <cell r="J3040">
            <v>0</v>
          </cell>
          <cell r="K3040">
            <v>0</v>
          </cell>
          <cell r="L3040">
            <v>0</v>
          </cell>
          <cell r="M3040">
            <v>0</v>
          </cell>
          <cell r="N3040">
            <v>0</v>
          </cell>
          <cell r="O3040">
            <v>0</v>
          </cell>
          <cell r="P3040">
            <v>0</v>
          </cell>
          <cell r="Q3040">
            <v>0</v>
          </cell>
          <cell r="R3040">
            <v>0</v>
          </cell>
          <cell r="S3040">
            <v>0</v>
          </cell>
          <cell r="T3040">
            <v>0</v>
          </cell>
          <cell r="U3040">
            <v>0</v>
          </cell>
          <cell r="V3040">
            <v>0</v>
          </cell>
          <cell r="W3040">
            <v>0</v>
          </cell>
        </row>
        <row r="3041">
          <cell r="A3041" t="str">
            <v>454272</v>
          </cell>
          <cell r="B3041" t="str">
            <v>1251</v>
          </cell>
          <cell r="C3041" t="str">
            <v>12</v>
          </cell>
          <cell r="D3041" t="str">
            <v>80</v>
          </cell>
          <cell r="E3041">
            <v>121</v>
          </cell>
          <cell r="G3041">
            <v>0</v>
          </cell>
          <cell r="H3041">
            <v>39341</v>
          </cell>
          <cell r="I3041">
            <v>49970</v>
          </cell>
          <cell r="J3041">
            <v>0</v>
          </cell>
          <cell r="K3041">
            <v>0</v>
          </cell>
          <cell r="L3041">
            <v>0</v>
          </cell>
          <cell r="M3041">
            <v>0</v>
          </cell>
          <cell r="N3041">
            <v>0</v>
          </cell>
          <cell r="O3041">
            <v>0</v>
          </cell>
          <cell r="P3041">
            <v>145170</v>
          </cell>
          <cell r="Q3041">
            <v>145099</v>
          </cell>
          <cell r="R3041">
            <v>0</v>
          </cell>
          <cell r="S3041">
            <v>0</v>
          </cell>
          <cell r="T3041">
            <v>0</v>
          </cell>
          <cell r="U3041">
            <v>-22342</v>
          </cell>
          <cell r="V3041">
            <v>0</v>
          </cell>
          <cell r="W3041">
            <v>0</v>
          </cell>
        </row>
        <row r="3042">
          <cell r="A3042" t="str">
            <v>454272</v>
          </cell>
          <cell r="B3042" t="str">
            <v>1251</v>
          </cell>
          <cell r="C3042" t="str">
            <v>12</v>
          </cell>
          <cell r="D3042" t="str">
            <v>80</v>
          </cell>
          <cell r="E3042">
            <v>125</v>
          </cell>
          <cell r="G3042">
            <v>0</v>
          </cell>
          <cell r="H3042">
            <v>0</v>
          </cell>
          <cell r="I3042">
            <v>0</v>
          </cell>
          <cell r="J3042">
            <v>0</v>
          </cell>
          <cell r="K3042">
            <v>0</v>
          </cell>
          <cell r="L3042">
            <v>0</v>
          </cell>
          <cell r="M3042">
            <v>0</v>
          </cell>
          <cell r="N3042">
            <v>0</v>
          </cell>
          <cell r="O3042">
            <v>0</v>
          </cell>
          <cell r="P3042">
            <v>0</v>
          </cell>
          <cell r="Q3042">
            <v>0</v>
          </cell>
          <cell r="R3042">
            <v>0</v>
          </cell>
          <cell r="S3042">
            <v>0</v>
          </cell>
          <cell r="T3042">
            <v>0</v>
          </cell>
          <cell r="U3042">
            <v>0</v>
          </cell>
          <cell r="V3042">
            <v>0</v>
          </cell>
          <cell r="W3042">
            <v>0</v>
          </cell>
        </row>
        <row r="3043">
          <cell r="A3043" t="str">
            <v>454272</v>
          </cell>
          <cell r="B3043" t="str">
            <v>1251</v>
          </cell>
          <cell r="C3043" t="str">
            <v>12</v>
          </cell>
          <cell r="D3043" t="str">
            <v>80</v>
          </cell>
          <cell r="E3043">
            <v>129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  <cell r="L3043">
            <v>0</v>
          </cell>
          <cell r="M3043">
            <v>0</v>
          </cell>
          <cell r="N3043">
            <v>0</v>
          </cell>
          <cell r="O3043">
            <v>0</v>
          </cell>
          <cell r="P3043">
            <v>0</v>
          </cell>
          <cell r="Q3043">
            <v>0</v>
          </cell>
          <cell r="R3043">
            <v>0</v>
          </cell>
          <cell r="S3043">
            <v>0</v>
          </cell>
          <cell r="T3043">
            <v>0</v>
          </cell>
          <cell r="U3043">
            <v>0</v>
          </cell>
          <cell r="V3043">
            <v>0</v>
          </cell>
          <cell r="W3043">
            <v>0</v>
          </cell>
        </row>
        <row r="3044">
          <cell r="A3044" t="str">
            <v>454272</v>
          </cell>
          <cell r="B3044" t="str">
            <v>1251</v>
          </cell>
          <cell r="C3044" t="str">
            <v>12</v>
          </cell>
          <cell r="D3044" t="str">
            <v>80</v>
          </cell>
          <cell r="E3044">
            <v>133</v>
          </cell>
          <cell r="G3044">
            <v>0</v>
          </cell>
          <cell r="H3044">
            <v>0</v>
          </cell>
          <cell r="I3044">
            <v>0</v>
          </cell>
          <cell r="J3044">
            <v>0</v>
          </cell>
          <cell r="K3044">
            <v>0</v>
          </cell>
          <cell r="L3044">
            <v>0</v>
          </cell>
          <cell r="M3044">
            <v>0</v>
          </cell>
          <cell r="N3044">
            <v>0</v>
          </cell>
          <cell r="O3044">
            <v>0</v>
          </cell>
          <cell r="P3044">
            <v>0</v>
          </cell>
          <cell r="Q3044">
            <v>1824</v>
          </cell>
          <cell r="R3044">
            <v>0</v>
          </cell>
          <cell r="S3044">
            <v>0</v>
          </cell>
          <cell r="T3044">
            <v>0</v>
          </cell>
          <cell r="U3044">
            <v>1824</v>
          </cell>
          <cell r="V3044">
            <v>0</v>
          </cell>
          <cell r="W3044">
            <v>0</v>
          </cell>
        </row>
        <row r="3045">
          <cell r="A3045" t="str">
            <v>454272</v>
          </cell>
          <cell r="B3045" t="str">
            <v>1251</v>
          </cell>
          <cell r="C3045" t="str">
            <v>12</v>
          </cell>
          <cell r="D3045" t="str">
            <v>80</v>
          </cell>
          <cell r="E3045">
            <v>137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  <cell r="L3045">
            <v>0</v>
          </cell>
          <cell r="M3045">
            <v>0</v>
          </cell>
          <cell r="N3045">
            <v>0</v>
          </cell>
          <cell r="O3045">
            <v>0</v>
          </cell>
          <cell r="P3045">
            <v>0</v>
          </cell>
          <cell r="Q3045">
            <v>0</v>
          </cell>
          <cell r="R3045">
            <v>0</v>
          </cell>
          <cell r="S3045">
            <v>0</v>
          </cell>
          <cell r="T3045">
            <v>0</v>
          </cell>
          <cell r="U3045">
            <v>0</v>
          </cell>
          <cell r="V3045">
            <v>0</v>
          </cell>
          <cell r="W3045">
            <v>0</v>
          </cell>
        </row>
        <row r="3046">
          <cell r="A3046" t="str">
            <v>454272</v>
          </cell>
          <cell r="B3046" t="str">
            <v>1251</v>
          </cell>
          <cell r="C3046" t="str">
            <v>12</v>
          </cell>
          <cell r="D3046" t="str">
            <v>80</v>
          </cell>
          <cell r="E3046">
            <v>141</v>
          </cell>
          <cell r="G3046">
            <v>0</v>
          </cell>
          <cell r="H3046">
            <v>0</v>
          </cell>
          <cell r="I3046">
            <v>0</v>
          </cell>
          <cell r="J3046">
            <v>0</v>
          </cell>
          <cell r="K3046">
            <v>0</v>
          </cell>
          <cell r="L3046">
            <v>0</v>
          </cell>
          <cell r="M3046">
            <v>0</v>
          </cell>
          <cell r="N3046">
            <v>0</v>
          </cell>
          <cell r="O3046">
            <v>0</v>
          </cell>
          <cell r="P3046">
            <v>0</v>
          </cell>
          <cell r="Q3046">
            <v>0</v>
          </cell>
          <cell r="R3046">
            <v>0</v>
          </cell>
          <cell r="S3046">
            <v>0</v>
          </cell>
          <cell r="T3046">
            <v>0</v>
          </cell>
          <cell r="U3046">
            <v>0</v>
          </cell>
          <cell r="V3046">
            <v>0</v>
          </cell>
          <cell r="W3046">
            <v>0</v>
          </cell>
        </row>
        <row r="3047">
          <cell r="A3047" t="str">
            <v>454272</v>
          </cell>
          <cell r="B3047" t="str">
            <v>1251</v>
          </cell>
          <cell r="C3047" t="str">
            <v>12</v>
          </cell>
          <cell r="D3047" t="str">
            <v>80</v>
          </cell>
          <cell r="E3047">
            <v>145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  <cell r="L3047">
            <v>0</v>
          </cell>
          <cell r="M3047">
            <v>664</v>
          </cell>
          <cell r="N3047">
            <v>0</v>
          </cell>
          <cell r="O3047">
            <v>0</v>
          </cell>
          <cell r="P3047">
            <v>0</v>
          </cell>
          <cell r="Q3047">
            <v>664</v>
          </cell>
          <cell r="R3047">
            <v>0</v>
          </cell>
          <cell r="S3047">
            <v>0</v>
          </cell>
          <cell r="T3047">
            <v>0</v>
          </cell>
          <cell r="U3047">
            <v>-1160</v>
          </cell>
          <cell r="V3047">
            <v>0</v>
          </cell>
          <cell r="W3047">
            <v>0</v>
          </cell>
        </row>
        <row r="3048">
          <cell r="A3048" t="str">
            <v>454272</v>
          </cell>
          <cell r="B3048" t="str">
            <v>1251</v>
          </cell>
          <cell r="C3048" t="str">
            <v>12</v>
          </cell>
          <cell r="D3048" t="str">
            <v>80</v>
          </cell>
          <cell r="E3048">
            <v>149</v>
          </cell>
          <cell r="G3048">
            <v>0</v>
          </cell>
          <cell r="H3048">
            <v>0</v>
          </cell>
          <cell r="I3048">
            <v>0</v>
          </cell>
          <cell r="J3048">
            <v>0</v>
          </cell>
          <cell r="K3048">
            <v>0</v>
          </cell>
          <cell r="L3048">
            <v>0</v>
          </cell>
          <cell r="M3048">
            <v>0</v>
          </cell>
          <cell r="N3048">
            <v>0</v>
          </cell>
          <cell r="O3048">
            <v>0</v>
          </cell>
          <cell r="P3048">
            <v>0</v>
          </cell>
          <cell r="Q3048">
            <v>0</v>
          </cell>
          <cell r="R3048">
            <v>0</v>
          </cell>
          <cell r="S3048">
            <v>0</v>
          </cell>
          <cell r="T3048">
            <v>0</v>
          </cell>
          <cell r="U3048">
            <v>0</v>
          </cell>
          <cell r="V3048">
            <v>0</v>
          </cell>
          <cell r="W3048">
            <v>0</v>
          </cell>
        </row>
        <row r="3049">
          <cell r="A3049" t="str">
            <v>454272</v>
          </cell>
          <cell r="B3049" t="str">
            <v>1251</v>
          </cell>
          <cell r="C3049" t="str">
            <v>12</v>
          </cell>
          <cell r="D3049" t="str">
            <v>80</v>
          </cell>
          <cell r="E3049">
            <v>153</v>
          </cell>
          <cell r="G3049">
            <v>0</v>
          </cell>
          <cell r="H3049">
            <v>0</v>
          </cell>
          <cell r="I3049">
            <v>21182</v>
          </cell>
          <cell r="J3049">
            <v>0</v>
          </cell>
          <cell r="K3049">
            <v>0</v>
          </cell>
          <cell r="L3049">
            <v>0</v>
          </cell>
          <cell r="M3049">
            <v>0</v>
          </cell>
          <cell r="N3049">
            <v>0</v>
          </cell>
          <cell r="O3049">
            <v>0</v>
          </cell>
          <cell r="P3049">
            <v>0</v>
          </cell>
          <cell r="Q3049">
            <v>21182</v>
          </cell>
          <cell r="R3049">
            <v>0</v>
          </cell>
          <cell r="S3049">
            <v>130</v>
          </cell>
          <cell r="T3049">
            <v>130</v>
          </cell>
          <cell r="U3049">
            <v>143</v>
          </cell>
          <cell r="V3049">
            <v>0</v>
          </cell>
          <cell r="W3049">
            <v>0</v>
          </cell>
        </row>
        <row r="3050">
          <cell r="A3050" t="str">
            <v>454272</v>
          </cell>
          <cell r="B3050" t="str">
            <v>1251</v>
          </cell>
          <cell r="C3050" t="str">
            <v>12</v>
          </cell>
          <cell r="D3050" t="str">
            <v>80</v>
          </cell>
          <cell r="E3050">
            <v>157</v>
          </cell>
          <cell r="G3050">
            <v>0</v>
          </cell>
          <cell r="H3050">
            <v>0</v>
          </cell>
          <cell r="I3050">
            <v>155</v>
          </cell>
          <cell r="J3050">
            <v>0</v>
          </cell>
          <cell r="K3050">
            <v>0</v>
          </cell>
          <cell r="L3050">
            <v>0</v>
          </cell>
          <cell r="M3050">
            <v>0</v>
          </cell>
          <cell r="N3050">
            <v>0</v>
          </cell>
          <cell r="O3050">
            <v>0</v>
          </cell>
          <cell r="P3050">
            <v>0</v>
          </cell>
          <cell r="Q3050">
            <v>0</v>
          </cell>
          <cell r="R3050">
            <v>0</v>
          </cell>
          <cell r="S3050">
            <v>0</v>
          </cell>
          <cell r="T3050">
            <v>0</v>
          </cell>
          <cell r="U3050">
            <v>0</v>
          </cell>
          <cell r="V3050">
            <v>0</v>
          </cell>
          <cell r="W3050">
            <v>0</v>
          </cell>
        </row>
        <row r="3051">
          <cell r="A3051" t="str">
            <v>450197</v>
          </cell>
          <cell r="B3051" t="str">
            <v>1251</v>
          </cell>
          <cell r="C3051" t="str">
            <v>12</v>
          </cell>
          <cell r="D3051" t="str">
            <v>01</v>
          </cell>
          <cell r="E3051">
            <v>1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11</v>
          </cell>
          <cell r="L3051">
            <v>8</v>
          </cell>
          <cell r="M3051">
            <v>1164</v>
          </cell>
          <cell r="N3051">
            <v>93</v>
          </cell>
          <cell r="O3051">
            <v>0</v>
          </cell>
          <cell r="P3051">
            <v>0</v>
          </cell>
          <cell r="Q3051">
            <v>0</v>
          </cell>
          <cell r="R3051">
            <v>0</v>
          </cell>
          <cell r="S3051">
            <v>1175</v>
          </cell>
          <cell r="T3051">
            <v>101</v>
          </cell>
          <cell r="U3051">
            <v>0</v>
          </cell>
          <cell r="V3051">
            <v>0</v>
          </cell>
          <cell r="W3051">
            <v>0</v>
          </cell>
        </row>
        <row r="3052">
          <cell r="A3052" t="str">
            <v>450197</v>
          </cell>
          <cell r="B3052" t="str">
            <v>1251</v>
          </cell>
          <cell r="C3052" t="str">
            <v>12</v>
          </cell>
          <cell r="D3052" t="str">
            <v>01</v>
          </cell>
          <cell r="E3052">
            <v>8</v>
          </cell>
          <cell r="G3052">
            <v>917215</v>
          </cell>
          <cell r="H3052">
            <v>904594</v>
          </cell>
          <cell r="I3052">
            <v>76005</v>
          </cell>
          <cell r="J3052">
            <v>42253</v>
          </cell>
          <cell r="K3052">
            <v>5204</v>
          </cell>
          <cell r="L3052">
            <v>7853</v>
          </cell>
          <cell r="M3052">
            <v>0</v>
          </cell>
          <cell r="N3052">
            <v>0</v>
          </cell>
          <cell r="O3052">
            <v>0</v>
          </cell>
          <cell r="P3052">
            <v>0</v>
          </cell>
          <cell r="Q3052">
            <v>0</v>
          </cell>
          <cell r="R3052">
            <v>0</v>
          </cell>
          <cell r="S3052">
            <v>0</v>
          </cell>
          <cell r="T3052">
            <v>0</v>
          </cell>
          <cell r="U3052">
            <v>0</v>
          </cell>
          <cell r="V3052">
            <v>0</v>
          </cell>
          <cell r="W3052">
            <v>0</v>
          </cell>
        </row>
        <row r="3053">
          <cell r="A3053" t="str">
            <v>450197</v>
          </cell>
          <cell r="B3053" t="str">
            <v>1251</v>
          </cell>
          <cell r="C3053" t="str">
            <v>12</v>
          </cell>
          <cell r="D3053" t="str">
            <v>01</v>
          </cell>
          <cell r="E3053">
            <v>15</v>
          </cell>
          <cell r="G3053">
            <v>0</v>
          </cell>
          <cell r="H3053">
            <v>0</v>
          </cell>
          <cell r="I3053">
            <v>998424</v>
          </cell>
          <cell r="J3053">
            <v>954700</v>
          </cell>
          <cell r="K3053">
            <v>0</v>
          </cell>
          <cell r="L3053">
            <v>0</v>
          </cell>
          <cell r="M3053">
            <v>0</v>
          </cell>
          <cell r="N3053">
            <v>0</v>
          </cell>
          <cell r="O3053">
            <v>66</v>
          </cell>
          <cell r="P3053">
            <v>41</v>
          </cell>
          <cell r="Q3053">
            <v>0</v>
          </cell>
          <cell r="R3053">
            <v>0</v>
          </cell>
          <cell r="S3053">
            <v>0</v>
          </cell>
          <cell r="T3053">
            <v>0</v>
          </cell>
          <cell r="U3053">
            <v>0</v>
          </cell>
          <cell r="V3053">
            <v>0</v>
          </cell>
          <cell r="W3053">
            <v>0</v>
          </cell>
        </row>
        <row r="3054">
          <cell r="A3054" t="str">
            <v>450197</v>
          </cell>
          <cell r="B3054" t="str">
            <v>1251</v>
          </cell>
          <cell r="C3054" t="str">
            <v>12</v>
          </cell>
          <cell r="D3054" t="str">
            <v>01</v>
          </cell>
          <cell r="E3054">
            <v>22</v>
          </cell>
          <cell r="G3054">
            <v>0</v>
          </cell>
          <cell r="H3054">
            <v>0</v>
          </cell>
          <cell r="I3054">
            <v>66</v>
          </cell>
          <cell r="J3054">
            <v>41</v>
          </cell>
          <cell r="K3054">
            <v>1443</v>
          </cell>
          <cell r="L3054">
            <v>1349</v>
          </cell>
          <cell r="M3054">
            <v>0</v>
          </cell>
          <cell r="N3054">
            <v>0</v>
          </cell>
          <cell r="O3054">
            <v>0</v>
          </cell>
          <cell r="P3054">
            <v>0</v>
          </cell>
          <cell r="Q3054">
            <v>0</v>
          </cell>
          <cell r="R3054">
            <v>0</v>
          </cell>
          <cell r="S3054">
            <v>0</v>
          </cell>
          <cell r="T3054">
            <v>0</v>
          </cell>
          <cell r="U3054">
            <v>0</v>
          </cell>
          <cell r="V3054">
            <v>0</v>
          </cell>
          <cell r="W3054">
            <v>0</v>
          </cell>
        </row>
        <row r="3055">
          <cell r="A3055" t="str">
            <v>450197</v>
          </cell>
          <cell r="B3055" t="str">
            <v>1251</v>
          </cell>
          <cell r="C3055" t="str">
            <v>12</v>
          </cell>
          <cell r="D3055" t="str">
            <v>01</v>
          </cell>
          <cell r="E3055">
            <v>29</v>
          </cell>
          <cell r="G3055">
            <v>1443</v>
          </cell>
          <cell r="H3055">
            <v>1349</v>
          </cell>
          <cell r="I3055">
            <v>1001108</v>
          </cell>
          <cell r="J3055">
            <v>956191</v>
          </cell>
          <cell r="K3055">
            <v>2942</v>
          </cell>
          <cell r="L3055">
            <v>2912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7</v>
          </cell>
          <cell r="T3055">
            <v>7</v>
          </cell>
          <cell r="U3055">
            <v>0</v>
          </cell>
          <cell r="V3055">
            <v>0</v>
          </cell>
          <cell r="W3055">
            <v>0</v>
          </cell>
        </row>
        <row r="3056">
          <cell r="A3056" t="str">
            <v>450197</v>
          </cell>
          <cell r="B3056" t="str">
            <v>1251</v>
          </cell>
          <cell r="C3056" t="str">
            <v>12</v>
          </cell>
          <cell r="D3056" t="str">
            <v>01</v>
          </cell>
          <cell r="E3056">
            <v>36</v>
          </cell>
          <cell r="G3056">
            <v>0</v>
          </cell>
          <cell r="H3056">
            <v>0</v>
          </cell>
          <cell r="I3056">
            <v>2949</v>
          </cell>
          <cell r="J3056">
            <v>2919</v>
          </cell>
          <cell r="K3056">
            <v>1077</v>
          </cell>
          <cell r="L3056">
            <v>3182</v>
          </cell>
          <cell r="M3056">
            <v>158</v>
          </cell>
          <cell r="N3056">
            <v>379</v>
          </cell>
          <cell r="O3056">
            <v>0</v>
          </cell>
          <cell r="P3056">
            <v>0</v>
          </cell>
          <cell r="Q3056">
            <v>19</v>
          </cell>
          <cell r="R3056">
            <v>13</v>
          </cell>
          <cell r="S3056">
            <v>19</v>
          </cell>
          <cell r="T3056">
            <v>13</v>
          </cell>
          <cell r="U3056">
            <v>0</v>
          </cell>
          <cell r="V3056">
            <v>0</v>
          </cell>
          <cell r="W3056">
            <v>0</v>
          </cell>
        </row>
        <row r="3057">
          <cell r="A3057" t="str">
            <v>450197</v>
          </cell>
          <cell r="B3057" t="str">
            <v>1251</v>
          </cell>
          <cell r="C3057" t="str">
            <v>12</v>
          </cell>
          <cell r="D3057" t="str">
            <v>01</v>
          </cell>
          <cell r="E3057">
            <v>43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  <cell r="L3057">
            <v>0</v>
          </cell>
          <cell r="M3057">
            <v>0</v>
          </cell>
          <cell r="N3057">
            <v>0</v>
          </cell>
          <cell r="O3057">
            <v>1254</v>
          </cell>
          <cell r="P3057">
            <v>3574</v>
          </cell>
          <cell r="Q3057">
            <v>0</v>
          </cell>
          <cell r="R3057">
            <v>0</v>
          </cell>
          <cell r="S3057">
            <v>0</v>
          </cell>
          <cell r="T3057">
            <v>0</v>
          </cell>
          <cell r="U3057">
            <v>0</v>
          </cell>
          <cell r="V3057">
            <v>0</v>
          </cell>
          <cell r="W3057">
            <v>0</v>
          </cell>
        </row>
        <row r="3058">
          <cell r="A3058" t="str">
            <v>450197</v>
          </cell>
          <cell r="B3058" t="str">
            <v>1251</v>
          </cell>
          <cell r="C3058" t="str">
            <v>12</v>
          </cell>
          <cell r="D3058" t="str">
            <v>01</v>
          </cell>
          <cell r="E3058">
            <v>50</v>
          </cell>
          <cell r="G3058">
            <v>0</v>
          </cell>
          <cell r="H3058">
            <v>0</v>
          </cell>
          <cell r="I3058">
            <v>349</v>
          </cell>
          <cell r="J3058">
            <v>413</v>
          </cell>
          <cell r="K3058">
            <v>1047</v>
          </cell>
          <cell r="L3058">
            <v>5834</v>
          </cell>
          <cell r="M3058">
            <v>0</v>
          </cell>
          <cell r="N3058">
            <v>0</v>
          </cell>
          <cell r="O3058">
            <v>0</v>
          </cell>
          <cell r="P3058">
            <v>0</v>
          </cell>
          <cell r="Q3058">
            <v>1396</v>
          </cell>
          <cell r="R3058">
            <v>6247</v>
          </cell>
          <cell r="S3058">
            <v>16</v>
          </cell>
          <cell r="T3058">
            <v>42</v>
          </cell>
          <cell r="U3058">
            <v>0</v>
          </cell>
          <cell r="V3058">
            <v>0</v>
          </cell>
          <cell r="W3058">
            <v>0</v>
          </cell>
        </row>
        <row r="3059">
          <cell r="A3059" t="str">
            <v>450197</v>
          </cell>
          <cell r="B3059" t="str">
            <v>1251</v>
          </cell>
          <cell r="C3059" t="str">
            <v>12</v>
          </cell>
          <cell r="D3059" t="str">
            <v>01</v>
          </cell>
          <cell r="E3059">
            <v>57</v>
          </cell>
          <cell r="G3059">
            <v>6582</v>
          </cell>
          <cell r="H3059">
            <v>4166</v>
          </cell>
          <cell r="I3059">
            <v>8646</v>
          </cell>
          <cell r="J3059">
            <v>0</v>
          </cell>
          <cell r="K3059">
            <v>0</v>
          </cell>
          <cell r="L3059">
            <v>0</v>
          </cell>
          <cell r="M3059">
            <v>15244</v>
          </cell>
          <cell r="N3059">
            <v>4208</v>
          </cell>
          <cell r="O3059">
            <v>20843</v>
          </cell>
          <cell r="P3059">
            <v>16948</v>
          </cell>
          <cell r="Q3059">
            <v>1021951</v>
          </cell>
          <cell r="R3059">
            <v>973139</v>
          </cell>
          <cell r="S3059">
            <v>258895</v>
          </cell>
          <cell r="T3059">
            <v>258895</v>
          </cell>
          <cell r="U3059">
            <v>0</v>
          </cell>
          <cell r="V3059">
            <v>0</v>
          </cell>
          <cell r="W3059">
            <v>0</v>
          </cell>
        </row>
        <row r="3060">
          <cell r="A3060" t="str">
            <v>450197</v>
          </cell>
          <cell r="B3060" t="str">
            <v>1251</v>
          </cell>
          <cell r="C3060" t="str">
            <v>12</v>
          </cell>
          <cell r="D3060" t="str">
            <v>01</v>
          </cell>
          <cell r="E3060">
            <v>64</v>
          </cell>
          <cell r="G3060">
            <v>728460</v>
          </cell>
          <cell r="H3060">
            <v>691397</v>
          </cell>
          <cell r="I3060">
            <v>0</v>
          </cell>
          <cell r="J3060">
            <v>0</v>
          </cell>
          <cell r="K3060">
            <v>987355</v>
          </cell>
          <cell r="L3060">
            <v>950292</v>
          </cell>
          <cell r="M3060">
            <v>15239</v>
          </cell>
          <cell r="N3060">
            <v>9131</v>
          </cell>
          <cell r="O3060">
            <v>15239</v>
          </cell>
          <cell r="P3060">
            <v>9131</v>
          </cell>
          <cell r="Q3060">
            <v>0</v>
          </cell>
          <cell r="R3060">
            <v>0</v>
          </cell>
          <cell r="S3060">
            <v>0</v>
          </cell>
          <cell r="T3060">
            <v>0</v>
          </cell>
          <cell r="U3060">
            <v>0</v>
          </cell>
          <cell r="V3060">
            <v>0</v>
          </cell>
          <cell r="W3060">
            <v>0</v>
          </cell>
        </row>
        <row r="3061">
          <cell r="A3061" t="str">
            <v>450197</v>
          </cell>
          <cell r="B3061" t="str">
            <v>1251</v>
          </cell>
          <cell r="C3061" t="str">
            <v>12</v>
          </cell>
          <cell r="D3061" t="str">
            <v>01</v>
          </cell>
          <cell r="E3061">
            <v>71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  <cell r="L3061">
            <v>0</v>
          </cell>
          <cell r="M3061">
            <v>15239</v>
          </cell>
          <cell r="N3061">
            <v>9131</v>
          </cell>
          <cell r="O3061">
            <v>0</v>
          </cell>
          <cell r="P3061">
            <v>0</v>
          </cell>
          <cell r="Q3061">
            <v>0</v>
          </cell>
          <cell r="R3061">
            <v>0</v>
          </cell>
          <cell r="S3061">
            <v>0</v>
          </cell>
          <cell r="T3061">
            <v>0</v>
          </cell>
          <cell r="U3061">
            <v>0</v>
          </cell>
          <cell r="V3061">
            <v>0</v>
          </cell>
          <cell r="W3061">
            <v>0</v>
          </cell>
        </row>
        <row r="3062">
          <cell r="A3062" t="str">
            <v>450197</v>
          </cell>
          <cell r="B3062" t="str">
            <v>1251</v>
          </cell>
          <cell r="C3062" t="str">
            <v>12</v>
          </cell>
          <cell r="D3062" t="str">
            <v>01</v>
          </cell>
          <cell r="E3062">
            <v>78</v>
          </cell>
          <cell r="G3062">
            <v>0</v>
          </cell>
          <cell r="H3062">
            <v>0</v>
          </cell>
          <cell r="I3062">
            <v>0</v>
          </cell>
          <cell r="J3062">
            <v>0</v>
          </cell>
          <cell r="K3062">
            <v>0</v>
          </cell>
          <cell r="L3062">
            <v>0</v>
          </cell>
          <cell r="M3062">
            <v>0</v>
          </cell>
          <cell r="N3062">
            <v>0</v>
          </cell>
          <cell r="O3062">
            <v>15239</v>
          </cell>
          <cell r="P3062">
            <v>9131</v>
          </cell>
          <cell r="Q3062">
            <v>0</v>
          </cell>
          <cell r="R3062">
            <v>0</v>
          </cell>
          <cell r="S3062">
            <v>0</v>
          </cell>
          <cell r="T3062">
            <v>0</v>
          </cell>
          <cell r="U3062">
            <v>0</v>
          </cell>
          <cell r="V3062">
            <v>0</v>
          </cell>
          <cell r="W3062">
            <v>0</v>
          </cell>
        </row>
        <row r="3063">
          <cell r="A3063" t="str">
            <v>450197</v>
          </cell>
          <cell r="B3063" t="str">
            <v>1251</v>
          </cell>
          <cell r="C3063" t="str">
            <v>12</v>
          </cell>
          <cell r="D3063" t="str">
            <v>01</v>
          </cell>
          <cell r="E3063">
            <v>85</v>
          </cell>
          <cell r="G3063">
            <v>0</v>
          </cell>
          <cell r="H3063">
            <v>0</v>
          </cell>
          <cell r="I3063">
            <v>0</v>
          </cell>
          <cell r="J3063">
            <v>0</v>
          </cell>
          <cell r="K3063">
            <v>0</v>
          </cell>
          <cell r="L3063">
            <v>0</v>
          </cell>
          <cell r="M3063">
            <v>3074</v>
          </cell>
          <cell r="N3063">
            <v>2446</v>
          </cell>
          <cell r="O3063">
            <v>3074</v>
          </cell>
          <cell r="P3063">
            <v>2446</v>
          </cell>
          <cell r="Q3063">
            <v>0</v>
          </cell>
          <cell r="R3063">
            <v>0</v>
          </cell>
          <cell r="S3063">
            <v>0</v>
          </cell>
          <cell r="T3063">
            <v>0</v>
          </cell>
          <cell r="U3063">
            <v>0</v>
          </cell>
          <cell r="V3063">
            <v>0</v>
          </cell>
          <cell r="W3063">
            <v>0</v>
          </cell>
        </row>
        <row r="3064">
          <cell r="A3064" t="str">
            <v>450197</v>
          </cell>
          <cell r="B3064" t="str">
            <v>1251</v>
          </cell>
          <cell r="C3064" t="str">
            <v>12</v>
          </cell>
          <cell r="D3064" t="str">
            <v>01</v>
          </cell>
          <cell r="E3064">
            <v>92</v>
          </cell>
          <cell r="G3064">
            <v>14001</v>
          </cell>
          <cell r="H3064">
            <v>9024</v>
          </cell>
          <cell r="I3064">
            <v>11132</v>
          </cell>
          <cell r="J3064">
            <v>5765</v>
          </cell>
          <cell r="K3064">
            <v>2869</v>
          </cell>
          <cell r="L3064">
            <v>3259</v>
          </cell>
          <cell r="M3064">
            <v>881</v>
          </cell>
          <cell r="N3064">
            <v>922</v>
          </cell>
          <cell r="O3064">
            <v>0</v>
          </cell>
          <cell r="P3064">
            <v>0</v>
          </cell>
          <cell r="Q3064">
            <v>0</v>
          </cell>
          <cell r="R3064">
            <v>0</v>
          </cell>
          <cell r="S3064">
            <v>0</v>
          </cell>
          <cell r="T3064">
            <v>0</v>
          </cell>
          <cell r="U3064">
            <v>0</v>
          </cell>
          <cell r="V3064">
            <v>0</v>
          </cell>
          <cell r="W3064">
            <v>0</v>
          </cell>
        </row>
        <row r="3065">
          <cell r="A3065" t="str">
            <v>450197</v>
          </cell>
          <cell r="B3065" t="str">
            <v>1251</v>
          </cell>
          <cell r="C3065" t="str">
            <v>12</v>
          </cell>
          <cell r="D3065" t="str">
            <v>01</v>
          </cell>
          <cell r="E3065">
            <v>99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  <cell r="L3065">
            <v>0</v>
          </cell>
          <cell r="M3065">
            <v>0</v>
          </cell>
          <cell r="N3065">
            <v>0</v>
          </cell>
          <cell r="O3065">
            <v>0</v>
          </cell>
          <cell r="P3065">
            <v>0</v>
          </cell>
          <cell r="Q3065">
            <v>0</v>
          </cell>
          <cell r="R3065">
            <v>0</v>
          </cell>
          <cell r="S3065">
            <v>0</v>
          </cell>
          <cell r="T3065">
            <v>0</v>
          </cell>
          <cell r="U3065">
            <v>0</v>
          </cell>
          <cell r="V3065">
            <v>0</v>
          </cell>
          <cell r="W3065">
            <v>0</v>
          </cell>
        </row>
        <row r="3066">
          <cell r="A3066" t="str">
            <v>450197</v>
          </cell>
          <cell r="B3066" t="str">
            <v>1251</v>
          </cell>
          <cell r="C3066" t="str">
            <v>12</v>
          </cell>
          <cell r="D3066" t="str">
            <v>01</v>
          </cell>
          <cell r="E3066">
            <v>106</v>
          </cell>
          <cell r="G3066">
            <v>0</v>
          </cell>
          <cell r="H3066">
            <v>0</v>
          </cell>
          <cell r="I3066">
            <v>0</v>
          </cell>
          <cell r="J3066">
            <v>0</v>
          </cell>
          <cell r="K3066">
            <v>0</v>
          </cell>
          <cell r="L3066">
            <v>0</v>
          </cell>
          <cell r="M3066">
            <v>643</v>
          </cell>
          <cell r="N3066">
            <v>758</v>
          </cell>
          <cell r="O3066">
            <v>238</v>
          </cell>
          <cell r="P3066">
            <v>164</v>
          </cell>
          <cell r="Q3066">
            <v>0</v>
          </cell>
          <cell r="R3066">
            <v>0</v>
          </cell>
          <cell r="S3066">
            <v>0</v>
          </cell>
          <cell r="T3066">
            <v>0</v>
          </cell>
          <cell r="U3066">
            <v>0</v>
          </cell>
          <cell r="V3066">
            <v>0</v>
          </cell>
          <cell r="W3066">
            <v>0</v>
          </cell>
        </row>
        <row r="3067">
          <cell r="A3067" t="str">
            <v>450197</v>
          </cell>
          <cell r="B3067" t="str">
            <v>1251</v>
          </cell>
          <cell r="C3067" t="str">
            <v>12</v>
          </cell>
          <cell r="D3067" t="str">
            <v>01</v>
          </cell>
          <cell r="E3067">
            <v>113</v>
          </cell>
          <cell r="G3067">
            <v>14882</v>
          </cell>
          <cell r="H3067">
            <v>9946</v>
          </cell>
          <cell r="I3067">
            <v>0</v>
          </cell>
          <cell r="J3067">
            <v>0</v>
          </cell>
          <cell r="K3067">
            <v>1401</v>
          </cell>
          <cell r="L3067">
            <v>1324</v>
          </cell>
          <cell r="M3067">
            <v>0</v>
          </cell>
          <cell r="N3067">
            <v>0</v>
          </cell>
          <cell r="O3067">
            <v>0</v>
          </cell>
          <cell r="P3067">
            <v>0</v>
          </cell>
          <cell r="Q3067">
            <v>0</v>
          </cell>
          <cell r="R3067">
            <v>0</v>
          </cell>
          <cell r="S3067">
            <v>0</v>
          </cell>
          <cell r="T3067">
            <v>0</v>
          </cell>
          <cell r="U3067">
            <v>0</v>
          </cell>
          <cell r="V3067">
            <v>0</v>
          </cell>
          <cell r="W3067">
            <v>0</v>
          </cell>
        </row>
        <row r="3068">
          <cell r="A3068" t="str">
            <v>450197</v>
          </cell>
          <cell r="B3068" t="str">
            <v>1251</v>
          </cell>
          <cell r="C3068" t="str">
            <v>12</v>
          </cell>
          <cell r="D3068" t="str">
            <v>01</v>
          </cell>
          <cell r="E3068">
            <v>120</v>
          </cell>
          <cell r="G3068">
            <v>1401</v>
          </cell>
          <cell r="H3068">
            <v>1324</v>
          </cell>
          <cell r="I3068">
            <v>19357</v>
          </cell>
          <cell r="J3068">
            <v>13716</v>
          </cell>
          <cell r="K3068">
            <v>1021951</v>
          </cell>
          <cell r="L3068">
            <v>973139</v>
          </cell>
          <cell r="M3068">
            <v>0</v>
          </cell>
          <cell r="N3068">
            <v>0</v>
          </cell>
          <cell r="O3068">
            <v>0</v>
          </cell>
          <cell r="P3068">
            <v>0</v>
          </cell>
          <cell r="Q3068">
            <v>0</v>
          </cell>
          <cell r="R3068">
            <v>0</v>
          </cell>
          <cell r="S3068">
            <v>0</v>
          </cell>
          <cell r="T3068">
            <v>0</v>
          </cell>
          <cell r="U3068">
            <v>0</v>
          </cell>
          <cell r="V3068">
            <v>0</v>
          </cell>
          <cell r="W3068">
            <v>0</v>
          </cell>
        </row>
        <row r="3069">
          <cell r="A3069" t="str">
            <v>450197</v>
          </cell>
          <cell r="B3069" t="str">
            <v>1251</v>
          </cell>
          <cell r="C3069" t="str">
            <v>12</v>
          </cell>
          <cell r="D3069" t="str">
            <v>02</v>
          </cell>
          <cell r="E3069">
            <v>1</v>
          </cell>
          <cell r="G3069">
            <v>758229</v>
          </cell>
          <cell r="H3069">
            <v>753059</v>
          </cell>
          <cell r="I3069">
            <v>750747</v>
          </cell>
          <cell r="J3069">
            <v>0</v>
          </cell>
          <cell r="K3069">
            <v>0</v>
          </cell>
          <cell r="L3069">
            <v>0</v>
          </cell>
          <cell r="M3069">
            <v>116</v>
          </cell>
          <cell r="N3069">
            <v>116</v>
          </cell>
          <cell r="O3069">
            <v>113</v>
          </cell>
          <cell r="P3069">
            <v>24373</v>
          </cell>
          <cell r="Q3069">
            <v>23551</v>
          </cell>
          <cell r="R3069">
            <v>22801</v>
          </cell>
          <cell r="S3069">
            <v>814</v>
          </cell>
          <cell r="T3069">
            <v>3096</v>
          </cell>
          <cell r="U3069">
            <v>2931</v>
          </cell>
          <cell r="V3069">
            <v>0</v>
          </cell>
          <cell r="W3069">
            <v>0</v>
          </cell>
        </row>
        <row r="3070">
          <cell r="A3070" t="str">
            <v>450197</v>
          </cell>
          <cell r="B3070" t="str">
            <v>1251</v>
          </cell>
          <cell r="C3070" t="str">
            <v>12</v>
          </cell>
          <cell r="D3070" t="str">
            <v>02</v>
          </cell>
          <cell r="E3070">
            <v>6</v>
          </cell>
          <cell r="G3070">
            <v>0</v>
          </cell>
          <cell r="H3070">
            <v>0</v>
          </cell>
          <cell r="I3070">
            <v>0</v>
          </cell>
          <cell r="J3070">
            <v>783532</v>
          </cell>
          <cell r="K3070">
            <v>779822</v>
          </cell>
          <cell r="L3070">
            <v>776592</v>
          </cell>
          <cell r="M3070">
            <v>25180</v>
          </cell>
          <cell r="N3070">
            <v>27291</v>
          </cell>
          <cell r="O3070">
            <v>27166</v>
          </cell>
          <cell r="P3070">
            <v>808712</v>
          </cell>
          <cell r="Q3070">
            <v>807113</v>
          </cell>
          <cell r="R3070">
            <v>803758</v>
          </cell>
          <cell r="S3070">
            <v>523</v>
          </cell>
          <cell r="T3070">
            <v>1154</v>
          </cell>
          <cell r="U3070">
            <v>1019</v>
          </cell>
          <cell r="V3070">
            <v>0</v>
          </cell>
          <cell r="W3070">
            <v>0</v>
          </cell>
        </row>
        <row r="3071">
          <cell r="A3071" t="str">
            <v>450197</v>
          </cell>
          <cell r="B3071" t="str">
            <v>1251</v>
          </cell>
          <cell r="C3071" t="str">
            <v>12</v>
          </cell>
          <cell r="D3071" t="str">
            <v>02</v>
          </cell>
          <cell r="E3071">
            <v>11</v>
          </cell>
          <cell r="G3071">
            <v>0</v>
          </cell>
          <cell r="H3071">
            <v>2914</v>
          </cell>
          <cell r="I3071">
            <v>2914</v>
          </cell>
          <cell r="J3071">
            <v>41479</v>
          </cell>
          <cell r="K3071">
            <v>41293</v>
          </cell>
          <cell r="L3071">
            <v>41182</v>
          </cell>
          <cell r="M3071">
            <v>16502</v>
          </cell>
          <cell r="N3071">
            <v>27555</v>
          </cell>
          <cell r="O3071">
            <v>26852</v>
          </cell>
          <cell r="P3071">
            <v>58504</v>
          </cell>
          <cell r="Q3071">
            <v>72916</v>
          </cell>
          <cell r="R3071">
            <v>71967</v>
          </cell>
          <cell r="S3071">
            <v>113</v>
          </cell>
          <cell r="T3071">
            <v>2190</v>
          </cell>
          <cell r="U3071">
            <v>2171</v>
          </cell>
          <cell r="V3071">
            <v>0</v>
          </cell>
          <cell r="W3071">
            <v>0</v>
          </cell>
        </row>
        <row r="3072">
          <cell r="A3072" t="str">
            <v>450197</v>
          </cell>
          <cell r="B3072" t="str">
            <v>1251</v>
          </cell>
          <cell r="C3072" t="str">
            <v>12</v>
          </cell>
          <cell r="D3072" t="str">
            <v>02</v>
          </cell>
          <cell r="E3072">
            <v>16</v>
          </cell>
          <cell r="G3072">
            <v>58617</v>
          </cell>
          <cell r="H3072">
            <v>75106</v>
          </cell>
          <cell r="I3072">
            <v>74138</v>
          </cell>
          <cell r="J3072">
            <v>5371</v>
          </cell>
          <cell r="K3072">
            <v>0</v>
          </cell>
          <cell r="L3072">
            <v>0</v>
          </cell>
          <cell r="M3072">
            <v>12850</v>
          </cell>
          <cell r="N3072">
            <v>12877</v>
          </cell>
          <cell r="O3072">
            <v>10212</v>
          </cell>
          <cell r="P3072">
            <v>12253</v>
          </cell>
          <cell r="Q3072">
            <v>13637</v>
          </cell>
          <cell r="R3072">
            <v>11591</v>
          </cell>
          <cell r="S3072">
            <v>120</v>
          </cell>
          <cell r="T3072">
            <v>135</v>
          </cell>
          <cell r="U3072">
            <v>133</v>
          </cell>
          <cell r="V3072">
            <v>0</v>
          </cell>
          <cell r="W3072">
            <v>0</v>
          </cell>
        </row>
        <row r="3073">
          <cell r="A3073" t="str">
            <v>450197</v>
          </cell>
          <cell r="B3073" t="str">
            <v>1251</v>
          </cell>
          <cell r="C3073" t="str">
            <v>12</v>
          </cell>
          <cell r="D3073" t="str">
            <v>02</v>
          </cell>
          <cell r="E3073">
            <v>21</v>
          </cell>
          <cell r="G3073">
            <v>0</v>
          </cell>
          <cell r="H3073">
            <v>0</v>
          </cell>
          <cell r="I3073">
            <v>0</v>
          </cell>
          <cell r="J3073">
            <v>4419</v>
          </cell>
          <cell r="K3073">
            <v>10772</v>
          </cell>
          <cell r="L3073">
            <v>9802</v>
          </cell>
          <cell r="M3073">
            <v>29642</v>
          </cell>
          <cell r="N3073">
            <v>37421</v>
          </cell>
          <cell r="O3073">
            <v>31738</v>
          </cell>
          <cell r="P3073">
            <v>13</v>
          </cell>
          <cell r="Q3073">
            <v>329</v>
          </cell>
          <cell r="R3073">
            <v>314</v>
          </cell>
          <cell r="S3073">
            <v>29655</v>
          </cell>
          <cell r="T3073">
            <v>37750</v>
          </cell>
          <cell r="U3073">
            <v>32052</v>
          </cell>
          <cell r="V3073">
            <v>0</v>
          </cell>
          <cell r="W3073">
            <v>0</v>
          </cell>
        </row>
        <row r="3074">
          <cell r="A3074" t="str">
            <v>450197</v>
          </cell>
          <cell r="B3074" t="str">
            <v>1251</v>
          </cell>
          <cell r="C3074" t="str">
            <v>12</v>
          </cell>
          <cell r="D3074" t="str">
            <v>02</v>
          </cell>
          <cell r="E3074">
            <v>26</v>
          </cell>
          <cell r="G3074">
            <v>0</v>
          </cell>
          <cell r="H3074">
            <v>0</v>
          </cell>
          <cell r="I3074">
            <v>0</v>
          </cell>
          <cell r="J3074">
            <v>0</v>
          </cell>
          <cell r="K3074">
            <v>0</v>
          </cell>
          <cell r="L3074">
            <v>0</v>
          </cell>
          <cell r="M3074">
            <v>4794</v>
          </cell>
          <cell r="N3074">
            <v>3293</v>
          </cell>
          <cell r="O3074">
            <v>3057</v>
          </cell>
          <cell r="P3074">
            <v>15610</v>
          </cell>
          <cell r="Q3074">
            <v>14289</v>
          </cell>
          <cell r="R3074">
            <v>14007</v>
          </cell>
          <cell r="S3074">
            <v>3936</v>
          </cell>
          <cell r="T3074">
            <v>5027</v>
          </cell>
          <cell r="U3074">
            <v>4775</v>
          </cell>
          <cell r="V3074">
            <v>0</v>
          </cell>
          <cell r="W3074">
            <v>0</v>
          </cell>
        </row>
        <row r="3075">
          <cell r="A3075" t="str">
            <v>450197</v>
          </cell>
          <cell r="B3075" t="str">
            <v>1251</v>
          </cell>
          <cell r="C3075" t="str">
            <v>12</v>
          </cell>
          <cell r="D3075" t="str">
            <v>02</v>
          </cell>
          <cell r="E3075">
            <v>31</v>
          </cell>
          <cell r="G3075">
            <v>24340</v>
          </cell>
          <cell r="H3075">
            <v>22609</v>
          </cell>
          <cell r="I3075">
            <v>21839</v>
          </cell>
          <cell r="J3075">
            <v>606</v>
          </cell>
          <cell r="K3075">
            <v>1062</v>
          </cell>
          <cell r="L3075">
            <v>981</v>
          </cell>
          <cell r="M3075">
            <v>24946</v>
          </cell>
          <cell r="N3075">
            <v>23671</v>
          </cell>
          <cell r="O3075">
            <v>22820</v>
          </cell>
          <cell r="P3075">
            <v>0</v>
          </cell>
          <cell r="Q3075">
            <v>0</v>
          </cell>
          <cell r="R3075">
            <v>0</v>
          </cell>
          <cell r="S3075">
            <v>0</v>
          </cell>
          <cell r="T3075">
            <v>0</v>
          </cell>
          <cell r="U3075">
            <v>0</v>
          </cell>
          <cell r="V3075">
            <v>0</v>
          </cell>
          <cell r="W3075">
            <v>0</v>
          </cell>
        </row>
        <row r="3076">
          <cell r="A3076" t="str">
            <v>450197</v>
          </cell>
          <cell r="B3076" t="str">
            <v>1251</v>
          </cell>
          <cell r="C3076" t="str">
            <v>12</v>
          </cell>
          <cell r="D3076" t="str">
            <v>02</v>
          </cell>
          <cell r="E3076">
            <v>36</v>
          </cell>
          <cell r="G3076">
            <v>0</v>
          </cell>
          <cell r="H3076">
            <v>0</v>
          </cell>
          <cell r="I3076">
            <v>0</v>
          </cell>
          <cell r="J3076">
            <v>0</v>
          </cell>
          <cell r="K3076">
            <v>0</v>
          </cell>
          <cell r="L3076">
            <v>0</v>
          </cell>
          <cell r="M3076">
            <v>0</v>
          </cell>
          <cell r="N3076">
            <v>0</v>
          </cell>
          <cell r="O3076">
            <v>0</v>
          </cell>
          <cell r="P3076">
            <v>0</v>
          </cell>
          <cell r="Q3076">
            <v>0</v>
          </cell>
          <cell r="R3076">
            <v>0</v>
          </cell>
          <cell r="S3076">
            <v>112486</v>
          </cell>
          <cell r="T3076">
            <v>132946</v>
          </cell>
          <cell r="U3076">
            <v>125544</v>
          </cell>
          <cell r="V3076">
            <v>0</v>
          </cell>
          <cell r="W3076">
            <v>0</v>
          </cell>
        </row>
        <row r="3077">
          <cell r="A3077" t="str">
            <v>450197</v>
          </cell>
          <cell r="B3077" t="str">
            <v>1251</v>
          </cell>
          <cell r="C3077" t="str">
            <v>12</v>
          </cell>
          <cell r="D3077" t="str">
            <v>02</v>
          </cell>
          <cell r="E3077">
            <v>41</v>
          </cell>
          <cell r="G3077">
            <v>732</v>
          </cell>
          <cell r="H3077">
            <v>3581</v>
          </cell>
          <cell r="I3077">
            <v>3466</v>
          </cell>
          <cell r="J3077">
            <v>118589</v>
          </cell>
          <cell r="K3077">
            <v>136527</v>
          </cell>
          <cell r="L3077">
            <v>129010</v>
          </cell>
          <cell r="M3077">
            <v>19198</v>
          </cell>
          <cell r="N3077">
            <v>36577</v>
          </cell>
          <cell r="O3077">
            <v>34617</v>
          </cell>
          <cell r="P3077">
            <v>0</v>
          </cell>
          <cell r="Q3077">
            <v>0</v>
          </cell>
          <cell r="R3077">
            <v>0</v>
          </cell>
          <cell r="S3077">
            <v>0</v>
          </cell>
          <cell r="T3077">
            <v>0</v>
          </cell>
          <cell r="U3077">
            <v>0</v>
          </cell>
          <cell r="V3077">
            <v>0</v>
          </cell>
          <cell r="W3077">
            <v>0</v>
          </cell>
        </row>
        <row r="3078">
          <cell r="A3078" t="str">
            <v>450197</v>
          </cell>
          <cell r="B3078" t="str">
            <v>1251</v>
          </cell>
          <cell r="C3078" t="str">
            <v>12</v>
          </cell>
          <cell r="D3078" t="str">
            <v>02</v>
          </cell>
          <cell r="E3078">
            <v>46</v>
          </cell>
          <cell r="G3078">
            <v>0</v>
          </cell>
          <cell r="H3078">
            <v>0</v>
          </cell>
          <cell r="I3078">
            <v>0</v>
          </cell>
          <cell r="J3078">
            <v>0</v>
          </cell>
          <cell r="K3078">
            <v>0</v>
          </cell>
          <cell r="L3078">
            <v>0</v>
          </cell>
          <cell r="M3078">
            <v>0</v>
          </cell>
          <cell r="N3078">
            <v>0</v>
          </cell>
          <cell r="O3078">
            <v>0</v>
          </cell>
          <cell r="P3078">
            <v>19198</v>
          </cell>
          <cell r="Q3078">
            <v>36577</v>
          </cell>
          <cell r="R3078">
            <v>34617</v>
          </cell>
          <cell r="S3078">
            <v>946499</v>
          </cell>
          <cell r="T3078">
            <v>980217</v>
          </cell>
          <cell r="U3078">
            <v>967385</v>
          </cell>
          <cell r="V3078">
            <v>0</v>
          </cell>
          <cell r="W3078">
            <v>0</v>
          </cell>
        </row>
        <row r="3079">
          <cell r="A3079" t="str">
            <v>450197</v>
          </cell>
          <cell r="B3079" t="str">
            <v>1251</v>
          </cell>
          <cell r="C3079" t="str">
            <v>12</v>
          </cell>
          <cell r="D3079" t="str">
            <v>02</v>
          </cell>
          <cell r="E3079">
            <v>51</v>
          </cell>
          <cell r="G3079">
            <v>267129</v>
          </cell>
          <cell r="H3079">
            <v>275416</v>
          </cell>
          <cell r="I3079">
            <v>272169</v>
          </cell>
          <cell r="J3079">
            <v>27646</v>
          </cell>
          <cell r="K3079">
            <v>28031</v>
          </cell>
          <cell r="L3079">
            <v>27781</v>
          </cell>
          <cell r="M3079">
            <v>10408</v>
          </cell>
          <cell r="N3079">
            <v>11193</v>
          </cell>
          <cell r="O3079">
            <v>11188</v>
          </cell>
          <cell r="P3079">
            <v>2625</v>
          </cell>
          <cell r="Q3079">
            <v>3176</v>
          </cell>
          <cell r="R3079">
            <v>2779</v>
          </cell>
          <cell r="S3079">
            <v>0</v>
          </cell>
          <cell r="T3079">
            <v>0</v>
          </cell>
          <cell r="U3079">
            <v>0</v>
          </cell>
          <cell r="V3079">
            <v>0</v>
          </cell>
          <cell r="W3079">
            <v>0</v>
          </cell>
        </row>
        <row r="3080">
          <cell r="A3080" t="str">
            <v>450197</v>
          </cell>
          <cell r="B3080" t="str">
            <v>1251</v>
          </cell>
          <cell r="C3080" t="str">
            <v>12</v>
          </cell>
          <cell r="D3080" t="str">
            <v>02</v>
          </cell>
          <cell r="E3080">
            <v>56</v>
          </cell>
          <cell r="G3080">
            <v>0</v>
          </cell>
          <cell r="H3080">
            <v>0</v>
          </cell>
          <cell r="I3080">
            <v>0</v>
          </cell>
          <cell r="J3080">
            <v>307808</v>
          </cell>
          <cell r="K3080">
            <v>317816</v>
          </cell>
          <cell r="L3080">
            <v>313917</v>
          </cell>
          <cell r="M3080">
            <v>0</v>
          </cell>
          <cell r="N3080">
            <v>0</v>
          </cell>
          <cell r="O3080">
            <v>0</v>
          </cell>
          <cell r="P3080">
            <v>0</v>
          </cell>
          <cell r="Q3080">
            <v>0</v>
          </cell>
          <cell r="R3080">
            <v>0</v>
          </cell>
          <cell r="S3080">
            <v>0</v>
          </cell>
          <cell r="T3080">
            <v>0</v>
          </cell>
          <cell r="U3080">
            <v>0</v>
          </cell>
          <cell r="V3080">
            <v>0</v>
          </cell>
          <cell r="W3080">
            <v>0</v>
          </cell>
        </row>
        <row r="3081">
          <cell r="A3081" t="str">
            <v>450197</v>
          </cell>
          <cell r="B3081" t="str">
            <v>1251</v>
          </cell>
          <cell r="C3081" t="str">
            <v>12</v>
          </cell>
          <cell r="D3081" t="str">
            <v>03</v>
          </cell>
          <cell r="E3081">
            <v>1</v>
          </cell>
          <cell r="G3081">
            <v>39544</v>
          </cell>
          <cell r="H3081">
            <v>42792</v>
          </cell>
          <cell r="I3081">
            <v>42118</v>
          </cell>
          <cell r="J3081">
            <v>316</v>
          </cell>
          <cell r="K3081">
            <v>325</v>
          </cell>
          <cell r="L3081">
            <v>257</v>
          </cell>
          <cell r="M3081">
            <v>460</v>
          </cell>
          <cell r="N3081">
            <v>328</v>
          </cell>
          <cell r="O3081">
            <v>327</v>
          </cell>
          <cell r="P3081">
            <v>3483</v>
          </cell>
          <cell r="Q3081">
            <v>4494</v>
          </cell>
          <cell r="R3081">
            <v>4127</v>
          </cell>
          <cell r="S3081">
            <v>14956</v>
          </cell>
          <cell r="T3081">
            <v>17412</v>
          </cell>
          <cell r="U3081">
            <v>16678</v>
          </cell>
          <cell r="V3081">
            <v>0</v>
          </cell>
          <cell r="W3081">
            <v>0</v>
          </cell>
        </row>
        <row r="3082">
          <cell r="A3082" t="str">
            <v>450197</v>
          </cell>
          <cell r="B3082" t="str">
            <v>1251</v>
          </cell>
          <cell r="C3082" t="str">
            <v>12</v>
          </cell>
          <cell r="D3082" t="str">
            <v>03</v>
          </cell>
          <cell r="E3082">
            <v>6</v>
          </cell>
          <cell r="G3082">
            <v>1432</v>
          </cell>
          <cell r="H3082">
            <v>1302</v>
          </cell>
          <cell r="I3082">
            <v>1229</v>
          </cell>
          <cell r="J3082">
            <v>1004</v>
          </cell>
          <cell r="K3082">
            <v>628</v>
          </cell>
          <cell r="L3082">
            <v>525</v>
          </cell>
          <cell r="M3082">
            <v>90</v>
          </cell>
          <cell r="N3082">
            <v>232</v>
          </cell>
          <cell r="O3082">
            <v>235</v>
          </cell>
          <cell r="P3082">
            <v>4974</v>
          </cell>
          <cell r="Q3082">
            <v>5095</v>
          </cell>
          <cell r="R3082">
            <v>5038</v>
          </cell>
          <cell r="S3082">
            <v>3030</v>
          </cell>
          <cell r="T3082">
            <v>3226</v>
          </cell>
          <cell r="U3082">
            <v>2016</v>
          </cell>
          <cell r="V3082">
            <v>0</v>
          </cell>
          <cell r="W3082">
            <v>0</v>
          </cell>
        </row>
        <row r="3083">
          <cell r="A3083" t="str">
            <v>450197</v>
          </cell>
          <cell r="B3083" t="str">
            <v>1251</v>
          </cell>
          <cell r="C3083" t="str">
            <v>12</v>
          </cell>
          <cell r="D3083" t="str">
            <v>03</v>
          </cell>
          <cell r="E3083">
            <v>11</v>
          </cell>
          <cell r="G3083">
            <v>2338</v>
          </cell>
          <cell r="H3083">
            <v>18977</v>
          </cell>
          <cell r="I3083">
            <v>7495</v>
          </cell>
          <cell r="J3083">
            <v>2148</v>
          </cell>
          <cell r="K3083">
            <v>2485</v>
          </cell>
          <cell r="L3083">
            <v>1918</v>
          </cell>
          <cell r="M3083">
            <v>9122</v>
          </cell>
          <cell r="N3083">
            <v>13682</v>
          </cell>
          <cell r="O3083">
            <v>10241</v>
          </cell>
          <cell r="P3083">
            <v>82897</v>
          </cell>
          <cell r="Q3083">
            <v>110978</v>
          </cell>
          <cell r="R3083">
            <v>92204</v>
          </cell>
          <cell r="S3083">
            <v>7561</v>
          </cell>
          <cell r="T3083">
            <v>7021</v>
          </cell>
          <cell r="U3083">
            <v>6631</v>
          </cell>
          <cell r="V3083">
            <v>0</v>
          </cell>
          <cell r="W3083">
            <v>0</v>
          </cell>
        </row>
        <row r="3084">
          <cell r="A3084" t="str">
            <v>450197</v>
          </cell>
          <cell r="B3084" t="str">
            <v>1251</v>
          </cell>
          <cell r="C3084" t="str">
            <v>12</v>
          </cell>
          <cell r="D3084" t="str">
            <v>03</v>
          </cell>
          <cell r="E3084">
            <v>16</v>
          </cell>
          <cell r="G3084">
            <v>436</v>
          </cell>
          <cell r="H3084">
            <v>288</v>
          </cell>
          <cell r="I3084">
            <v>221</v>
          </cell>
          <cell r="J3084">
            <v>1288</v>
          </cell>
          <cell r="K3084">
            <v>1555</v>
          </cell>
          <cell r="L3084">
            <v>1555</v>
          </cell>
          <cell r="M3084">
            <v>9285</v>
          </cell>
          <cell r="N3084">
            <v>8864</v>
          </cell>
          <cell r="O3084">
            <v>8407</v>
          </cell>
          <cell r="P3084">
            <v>0</v>
          </cell>
          <cell r="Q3084">
            <v>0</v>
          </cell>
          <cell r="R3084">
            <v>0</v>
          </cell>
          <cell r="S3084">
            <v>2050</v>
          </cell>
          <cell r="T3084">
            <v>2162</v>
          </cell>
          <cell r="U3084">
            <v>1160</v>
          </cell>
          <cell r="V3084">
            <v>0</v>
          </cell>
          <cell r="W3084">
            <v>0</v>
          </cell>
        </row>
        <row r="3085">
          <cell r="A3085" t="str">
            <v>450197</v>
          </cell>
          <cell r="B3085" t="str">
            <v>1251</v>
          </cell>
          <cell r="C3085" t="str">
            <v>12</v>
          </cell>
          <cell r="D3085" t="str">
            <v>03</v>
          </cell>
          <cell r="E3085">
            <v>21</v>
          </cell>
          <cell r="G3085">
            <v>0</v>
          </cell>
          <cell r="H3085">
            <v>0</v>
          </cell>
          <cell r="I3085">
            <v>0</v>
          </cell>
          <cell r="J3085">
            <v>849</v>
          </cell>
          <cell r="K3085">
            <v>1909</v>
          </cell>
          <cell r="L3085">
            <v>1880</v>
          </cell>
          <cell r="M3085">
            <v>48485</v>
          </cell>
          <cell r="N3085">
            <v>57057</v>
          </cell>
          <cell r="O3085">
            <v>52314</v>
          </cell>
          <cell r="P3085">
            <v>22956</v>
          </cell>
          <cell r="Q3085">
            <v>23763</v>
          </cell>
          <cell r="R3085">
            <v>21709</v>
          </cell>
          <cell r="S3085">
            <v>4886</v>
          </cell>
          <cell r="T3085">
            <v>5660</v>
          </cell>
          <cell r="U3085">
            <v>5083</v>
          </cell>
          <cell r="V3085">
            <v>0</v>
          </cell>
          <cell r="W3085">
            <v>0</v>
          </cell>
        </row>
        <row r="3086">
          <cell r="A3086" t="str">
            <v>450197</v>
          </cell>
          <cell r="B3086" t="str">
            <v>1251</v>
          </cell>
          <cell r="C3086" t="str">
            <v>12</v>
          </cell>
          <cell r="D3086" t="str">
            <v>03</v>
          </cell>
          <cell r="E3086">
            <v>26</v>
          </cell>
          <cell r="G3086">
            <v>8760</v>
          </cell>
          <cell r="H3086">
            <v>8958</v>
          </cell>
          <cell r="I3086">
            <v>8257</v>
          </cell>
          <cell r="J3086">
            <v>5902</v>
          </cell>
          <cell r="K3086">
            <v>6104</v>
          </cell>
          <cell r="L3086">
            <v>5226</v>
          </cell>
          <cell r="M3086">
            <v>15716</v>
          </cell>
          <cell r="N3086">
            <v>23779</v>
          </cell>
          <cell r="O3086">
            <v>21977</v>
          </cell>
          <cell r="P3086">
            <v>300</v>
          </cell>
          <cell r="Q3086">
            <v>557</v>
          </cell>
          <cell r="R3086">
            <v>557</v>
          </cell>
          <cell r="S3086">
            <v>0</v>
          </cell>
          <cell r="T3086">
            <v>3224</v>
          </cell>
          <cell r="U3086">
            <v>2158</v>
          </cell>
          <cell r="V3086">
            <v>0</v>
          </cell>
          <cell r="W3086">
            <v>0</v>
          </cell>
        </row>
        <row r="3087">
          <cell r="A3087" t="str">
            <v>450197</v>
          </cell>
          <cell r="B3087" t="str">
            <v>1251</v>
          </cell>
          <cell r="C3087" t="str">
            <v>12</v>
          </cell>
          <cell r="D3087" t="str">
            <v>03</v>
          </cell>
          <cell r="E3087">
            <v>31</v>
          </cell>
          <cell r="G3087">
            <v>109904</v>
          </cell>
          <cell r="H3087">
            <v>133173</v>
          </cell>
          <cell r="I3087">
            <v>120321</v>
          </cell>
          <cell r="J3087">
            <v>24323</v>
          </cell>
          <cell r="K3087">
            <v>21036</v>
          </cell>
          <cell r="L3087">
            <v>18985</v>
          </cell>
          <cell r="M3087">
            <v>32710</v>
          </cell>
          <cell r="N3087">
            <v>41789</v>
          </cell>
          <cell r="O3087">
            <v>35737</v>
          </cell>
          <cell r="P3087">
            <v>2152</v>
          </cell>
          <cell r="Q3087">
            <v>1998</v>
          </cell>
          <cell r="R3087">
            <v>1998</v>
          </cell>
          <cell r="S3087">
            <v>0</v>
          </cell>
          <cell r="T3087">
            <v>0</v>
          </cell>
          <cell r="U3087">
            <v>0</v>
          </cell>
          <cell r="V3087">
            <v>0</v>
          </cell>
          <cell r="W3087">
            <v>0</v>
          </cell>
        </row>
        <row r="3088">
          <cell r="A3088" t="str">
            <v>450197</v>
          </cell>
          <cell r="B3088" t="str">
            <v>1251</v>
          </cell>
          <cell r="C3088" t="str">
            <v>12</v>
          </cell>
          <cell r="D3088" t="str">
            <v>03</v>
          </cell>
          <cell r="E3088">
            <v>36</v>
          </cell>
          <cell r="G3088">
            <v>34862</v>
          </cell>
          <cell r="H3088">
            <v>43787</v>
          </cell>
          <cell r="I3088">
            <v>37735</v>
          </cell>
          <cell r="J3088">
            <v>773</v>
          </cell>
          <cell r="K3088">
            <v>1189</v>
          </cell>
          <cell r="L3088">
            <v>1113</v>
          </cell>
          <cell r="M3088">
            <v>0</v>
          </cell>
          <cell r="N3088">
            <v>0</v>
          </cell>
          <cell r="O3088">
            <v>0</v>
          </cell>
          <cell r="P3088">
            <v>284</v>
          </cell>
          <cell r="Q3088">
            <v>546</v>
          </cell>
          <cell r="R3088">
            <v>437</v>
          </cell>
          <cell r="S3088">
            <v>610</v>
          </cell>
          <cell r="T3088">
            <v>1111</v>
          </cell>
          <cell r="U3088">
            <v>1096</v>
          </cell>
          <cell r="V3088">
            <v>0</v>
          </cell>
          <cell r="W3088">
            <v>0</v>
          </cell>
        </row>
        <row r="3089">
          <cell r="A3089" t="str">
            <v>450197</v>
          </cell>
          <cell r="B3089" t="str">
            <v>1251</v>
          </cell>
          <cell r="C3089" t="str">
            <v>12</v>
          </cell>
          <cell r="D3089" t="str">
            <v>03</v>
          </cell>
          <cell r="E3089">
            <v>41</v>
          </cell>
          <cell r="G3089">
            <v>1667</v>
          </cell>
          <cell r="H3089">
            <v>2846</v>
          </cell>
          <cell r="I3089">
            <v>2646</v>
          </cell>
          <cell r="J3089">
            <v>0</v>
          </cell>
          <cell r="K3089">
            <v>0</v>
          </cell>
          <cell r="L3089">
            <v>0</v>
          </cell>
          <cell r="M3089">
            <v>5056</v>
          </cell>
          <cell r="N3089">
            <v>11882</v>
          </cell>
          <cell r="O3089">
            <v>8912</v>
          </cell>
          <cell r="P3089">
            <v>267994</v>
          </cell>
          <cell r="Q3089">
            <v>332566</v>
          </cell>
          <cell r="R3089">
            <v>289210</v>
          </cell>
          <cell r="S3089">
            <v>0</v>
          </cell>
          <cell r="T3089">
            <v>0</v>
          </cell>
          <cell r="U3089">
            <v>0</v>
          </cell>
          <cell r="V3089">
            <v>0</v>
          </cell>
          <cell r="W3089">
            <v>0</v>
          </cell>
        </row>
        <row r="3090">
          <cell r="A3090" t="str">
            <v>450197</v>
          </cell>
          <cell r="B3090" t="str">
            <v>1251</v>
          </cell>
          <cell r="C3090" t="str">
            <v>12</v>
          </cell>
          <cell r="D3090" t="str">
            <v>03</v>
          </cell>
          <cell r="E3090">
            <v>46</v>
          </cell>
          <cell r="G3090">
            <v>0</v>
          </cell>
          <cell r="H3090">
            <v>0</v>
          </cell>
          <cell r="I3090">
            <v>0</v>
          </cell>
          <cell r="J3090">
            <v>0</v>
          </cell>
          <cell r="K3090">
            <v>0</v>
          </cell>
          <cell r="L3090">
            <v>0</v>
          </cell>
          <cell r="M3090">
            <v>0</v>
          </cell>
          <cell r="N3090">
            <v>0</v>
          </cell>
          <cell r="O3090">
            <v>0</v>
          </cell>
          <cell r="P3090">
            <v>0</v>
          </cell>
          <cell r="Q3090">
            <v>0</v>
          </cell>
          <cell r="R3090">
            <v>0</v>
          </cell>
          <cell r="S3090">
            <v>0</v>
          </cell>
          <cell r="T3090">
            <v>0</v>
          </cell>
          <cell r="U3090">
            <v>0</v>
          </cell>
          <cell r="V3090">
            <v>0</v>
          </cell>
          <cell r="W3090">
            <v>0</v>
          </cell>
        </row>
        <row r="3091">
          <cell r="A3091" t="str">
            <v>450197</v>
          </cell>
          <cell r="B3091" t="str">
            <v>1251</v>
          </cell>
          <cell r="C3091" t="str">
            <v>12</v>
          </cell>
          <cell r="D3091" t="str">
            <v>03</v>
          </cell>
          <cell r="E3091">
            <v>51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  <cell r="L3091">
            <v>0</v>
          </cell>
          <cell r="M3091">
            <v>0</v>
          </cell>
          <cell r="N3091">
            <v>215</v>
          </cell>
          <cell r="O3091">
            <v>211</v>
          </cell>
          <cell r="P3091">
            <v>0</v>
          </cell>
          <cell r="Q3091">
            <v>0</v>
          </cell>
          <cell r="R3091">
            <v>0</v>
          </cell>
          <cell r="S3091">
            <v>6145</v>
          </cell>
          <cell r="T3091">
            <v>7015</v>
          </cell>
          <cell r="U3091">
            <v>6817</v>
          </cell>
          <cell r="V3091">
            <v>0</v>
          </cell>
          <cell r="W3091">
            <v>0</v>
          </cell>
        </row>
        <row r="3092">
          <cell r="A3092" t="str">
            <v>450197</v>
          </cell>
          <cell r="B3092" t="str">
            <v>1251</v>
          </cell>
          <cell r="C3092" t="str">
            <v>12</v>
          </cell>
          <cell r="D3092" t="str">
            <v>03</v>
          </cell>
          <cell r="E3092">
            <v>56</v>
          </cell>
          <cell r="G3092">
            <v>6145</v>
          </cell>
          <cell r="H3092">
            <v>7230</v>
          </cell>
          <cell r="I3092">
            <v>7028</v>
          </cell>
          <cell r="J3092">
            <v>0</v>
          </cell>
          <cell r="K3092">
            <v>0</v>
          </cell>
          <cell r="L3092">
            <v>0</v>
          </cell>
          <cell r="M3092">
            <v>0</v>
          </cell>
          <cell r="N3092">
            <v>0</v>
          </cell>
          <cell r="O3092">
            <v>0</v>
          </cell>
          <cell r="P3092">
            <v>0</v>
          </cell>
          <cell r="Q3092">
            <v>0</v>
          </cell>
          <cell r="R3092">
            <v>0</v>
          </cell>
          <cell r="S3092">
            <v>0</v>
          </cell>
          <cell r="T3092">
            <v>0</v>
          </cell>
          <cell r="U3092">
            <v>0</v>
          </cell>
          <cell r="V3092">
            <v>0</v>
          </cell>
          <cell r="W3092">
            <v>0</v>
          </cell>
        </row>
        <row r="3093">
          <cell r="A3093" t="str">
            <v>450197</v>
          </cell>
          <cell r="B3093" t="str">
            <v>1251</v>
          </cell>
          <cell r="C3093" t="str">
            <v>12</v>
          </cell>
          <cell r="D3093" t="str">
            <v>03</v>
          </cell>
          <cell r="E3093">
            <v>61</v>
          </cell>
          <cell r="G3093">
            <v>6145</v>
          </cell>
          <cell r="H3093">
            <v>7230</v>
          </cell>
          <cell r="I3093">
            <v>7028</v>
          </cell>
          <cell r="J3093">
            <v>274139</v>
          </cell>
          <cell r="K3093">
            <v>339796</v>
          </cell>
          <cell r="L3093">
            <v>296238</v>
          </cell>
          <cell r="M3093">
            <v>0</v>
          </cell>
          <cell r="N3093">
            <v>0</v>
          </cell>
          <cell r="O3093">
            <v>0</v>
          </cell>
          <cell r="P3093">
            <v>0</v>
          </cell>
          <cell r="Q3093">
            <v>0</v>
          </cell>
          <cell r="R3093">
            <v>0</v>
          </cell>
          <cell r="S3093">
            <v>0</v>
          </cell>
          <cell r="T3093">
            <v>0</v>
          </cell>
          <cell r="U3093">
            <v>0</v>
          </cell>
          <cell r="V3093">
            <v>0</v>
          </cell>
          <cell r="W3093">
            <v>0</v>
          </cell>
        </row>
        <row r="3094">
          <cell r="A3094" t="str">
            <v>450197</v>
          </cell>
          <cell r="B3094" t="str">
            <v>1251</v>
          </cell>
          <cell r="C3094" t="str">
            <v>12</v>
          </cell>
          <cell r="D3094" t="str">
            <v>04</v>
          </cell>
          <cell r="E3094">
            <v>1</v>
          </cell>
          <cell r="G3094">
            <v>0</v>
          </cell>
          <cell r="H3094">
            <v>0</v>
          </cell>
          <cell r="I3094">
            <v>0</v>
          </cell>
          <cell r="J3094">
            <v>0</v>
          </cell>
          <cell r="K3094">
            <v>0</v>
          </cell>
          <cell r="L3094">
            <v>0</v>
          </cell>
          <cell r="M3094">
            <v>0</v>
          </cell>
          <cell r="N3094">
            <v>0</v>
          </cell>
          <cell r="O3094">
            <v>0</v>
          </cell>
          <cell r="P3094">
            <v>0</v>
          </cell>
          <cell r="Q3094">
            <v>0</v>
          </cell>
          <cell r="R3094">
            <v>0</v>
          </cell>
          <cell r="S3094">
            <v>0</v>
          </cell>
          <cell r="T3094">
            <v>0</v>
          </cell>
          <cell r="U3094">
            <v>0</v>
          </cell>
          <cell r="V3094">
            <v>0</v>
          </cell>
          <cell r="W3094">
            <v>0</v>
          </cell>
        </row>
        <row r="3095">
          <cell r="A3095" t="str">
            <v>450197</v>
          </cell>
          <cell r="B3095" t="str">
            <v>1251</v>
          </cell>
          <cell r="C3095" t="str">
            <v>12</v>
          </cell>
          <cell r="D3095" t="str">
            <v>04</v>
          </cell>
          <cell r="E3095">
            <v>6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L3095">
            <v>0</v>
          </cell>
          <cell r="M3095">
            <v>0</v>
          </cell>
          <cell r="N3095">
            <v>5307</v>
          </cell>
          <cell r="O3095">
            <v>5307</v>
          </cell>
          <cell r="P3095">
            <v>0</v>
          </cell>
          <cell r="Q3095">
            <v>0</v>
          </cell>
          <cell r="R3095">
            <v>0</v>
          </cell>
          <cell r="S3095">
            <v>0</v>
          </cell>
          <cell r="T3095">
            <v>0</v>
          </cell>
          <cell r="U3095">
            <v>0</v>
          </cell>
          <cell r="V3095">
            <v>0</v>
          </cell>
          <cell r="W3095">
            <v>0</v>
          </cell>
        </row>
        <row r="3096">
          <cell r="A3096" t="str">
            <v>450197</v>
          </cell>
          <cell r="B3096" t="str">
            <v>1251</v>
          </cell>
          <cell r="C3096" t="str">
            <v>12</v>
          </cell>
          <cell r="D3096" t="str">
            <v>04</v>
          </cell>
          <cell r="E3096">
            <v>11</v>
          </cell>
          <cell r="G3096">
            <v>0</v>
          </cell>
          <cell r="H3096">
            <v>5307</v>
          </cell>
          <cell r="I3096">
            <v>5307</v>
          </cell>
          <cell r="J3096">
            <v>0</v>
          </cell>
          <cell r="K3096">
            <v>0</v>
          </cell>
          <cell r="L3096">
            <v>0</v>
          </cell>
          <cell r="M3096">
            <v>0</v>
          </cell>
          <cell r="N3096">
            <v>0</v>
          </cell>
          <cell r="O3096">
            <v>0</v>
          </cell>
          <cell r="P3096">
            <v>0</v>
          </cell>
          <cell r="Q3096">
            <v>0</v>
          </cell>
          <cell r="R3096">
            <v>0</v>
          </cell>
          <cell r="S3096">
            <v>0</v>
          </cell>
          <cell r="T3096">
            <v>0</v>
          </cell>
          <cell r="U3096">
            <v>0</v>
          </cell>
          <cell r="V3096">
            <v>0</v>
          </cell>
          <cell r="W3096">
            <v>0</v>
          </cell>
        </row>
        <row r="3097">
          <cell r="A3097" t="str">
            <v>450197</v>
          </cell>
          <cell r="B3097" t="str">
            <v>1251</v>
          </cell>
          <cell r="C3097" t="str">
            <v>12</v>
          </cell>
          <cell r="D3097" t="str">
            <v>04</v>
          </cell>
          <cell r="E3097">
            <v>16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  <cell r="L3097">
            <v>0</v>
          </cell>
          <cell r="M3097">
            <v>0</v>
          </cell>
          <cell r="N3097">
            <v>0</v>
          </cell>
          <cell r="O3097">
            <v>0</v>
          </cell>
          <cell r="P3097">
            <v>0</v>
          </cell>
          <cell r="Q3097">
            <v>5307</v>
          </cell>
          <cell r="R3097">
            <v>5307</v>
          </cell>
          <cell r="S3097">
            <v>0</v>
          </cell>
          <cell r="T3097">
            <v>0</v>
          </cell>
          <cell r="U3097">
            <v>0</v>
          </cell>
          <cell r="V3097">
            <v>0</v>
          </cell>
          <cell r="W3097">
            <v>0</v>
          </cell>
        </row>
        <row r="3098">
          <cell r="A3098" t="str">
            <v>450197</v>
          </cell>
          <cell r="B3098" t="str">
            <v>1251</v>
          </cell>
          <cell r="C3098" t="str">
            <v>12</v>
          </cell>
          <cell r="D3098" t="str">
            <v>04</v>
          </cell>
          <cell r="E3098">
            <v>21</v>
          </cell>
          <cell r="G3098">
            <v>0</v>
          </cell>
          <cell r="H3098">
            <v>5307</v>
          </cell>
          <cell r="I3098">
            <v>5307</v>
          </cell>
          <cell r="J3098">
            <v>0</v>
          </cell>
          <cell r="K3098">
            <v>0</v>
          </cell>
          <cell r="L3098">
            <v>0</v>
          </cell>
          <cell r="M3098">
            <v>0</v>
          </cell>
          <cell r="N3098">
            <v>0</v>
          </cell>
          <cell r="O3098">
            <v>0</v>
          </cell>
          <cell r="P3098">
            <v>0</v>
          </cell>
          <cell r="Q3098">
            <v>0</v>
          </cell>
          <cell r="R3098">
            <v>0</v>
          </cell>
          <cell r="S3098">
            <v>0</v>
          </cell>
          <cell r="T3098">
            <v>0</v>
          </cell>
          <cell r="U3098">
            <v>0</v>
          </cell>
          <cell r="V3098">
            <v>0</v>
          </cell>
          <cell r="W3098">
            <v>0</v>
          </cell>
        </row>
        <row r="3099">
          <cell r="A3099" t="str">
            <v>450197</v>
          </cell>
          <cell r="B3099" t="str">
            <v>1251</v>
          </cell>
          <cell r="C3099" t="str">
            <v>12</v>
          </cell>
          <cell r="D3099" t="str">
            <v>04</v>
          </cell>
          <cell r="E3099">
            <v>26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L3099">
            <v>0</v>
          </cell>
          <cell r="M3099">
            <v>0</v>
          </cell>
          <cell r="N3099">
            <v>0</v>
          </cell>
          <cell r="O3099">
            <v>0</v>
          </cell>
          <cell r="P3099">
            <v>0</v>
          </cell>
          <cell r="Q3099">
            <v>0</v>
          </cell>
          <cell r="R3099">
            <v>0</v>
          </cell>
          <cell r="S3099">
            <v>0</v>
          </cell>
          <cell r="T3099">
            <v>0</v>
          </cell>
          <cell r="U3099">
            <v>0</v>
          </cell>
          <cell r="V3099">
            <v>0</v>
          </cell>
          <cell r="W3099">
            <v>0</v>
          </cell>
        </row>
        <row r="3100">
          <cell r="A3100" t="str">
            <v>450197</v>
          </cell>
          <cell r="B3100" t="str">
            <v>1251</v>
          </cell>
          <cell r="C3100" t="str">
            <v>12</v>
          </cell>
          <cell r="D3100" t="str">
            <v>04</v>
          </cell>
          <cell r="E3100">
            <v>31</v>
          </cell>
          <cell r="G3100">
            <v>0</v>
          </cell>
          <cell r="H3100">
            <v>0</v>
          </cell>
          <cell r="I3100">
            <v>0</v>
          </cell>
          <cell r="J3100">
            <v>0</v>
          </cell>
          <cell r="K3100">
            <v>101</v>
          </cell>
          <cell r="L3100">
            <v>101</v>
          </cell>
          <cell r="M3100">
            <v>0</v>
          </cell>
          <cell r="N3100">
            <v>0</v>
          </cell>
          <cell r="O3100">
            <v>0</v>
          </cell>
          <cell r="P3100">
            <v>0</v>
          </cell>
          <cell r="Q3100">
            <v>0</v>
          </cell>
          <cell r="R3100">
            <v>0</v>
          </cell>
          <cell r="S3100">
            <v>0</v>
          </cell>
          <cell r="T3100">
            <v>0</v>
          </cell>
          <cell r="U3100">
            <v>0</v>
          </cell>
          <cell r="V3100">
            <v>0</v>
          </cell>
          <cell r="W3100">
            <v>0</v>
          </cell>
        </row>
        <row r="3101">
          <cell r="A3101" t="str">
            <v>450197</v>
          </cell>
          <cell r="B3101" t="str">
            <v>1251</v>
          </cell>
          <cell r="C3101" t="str">
            <v>12</v>
          </cell>
          <cell r="D3101" t="str">
            <v>04</v>
          </cell>
          <cell r="E3101">
            <v>36</v>
          </cell>
          <cell r="G3101">
            <v>0</v>
          </cell>
          <cell r="H3101">
            <v>101</v>
          </cell>
          <cell r="I3101">
            <v>101</v>
          </cell>
          <cell r="J3101">
            <v>0</v>
          </cell>
          <cell r="K3101">
            <v>0</v>
          </cell>
          <cell r="L3101">
            <v>0</v>
          </cell>
          <cell r="M3101">
            <v>0</v>
          </cell>
          <cell r="N3101">
            <v>0</v>
          </cell>
          <cell r="O3101">
            <v>0</v>
          </cell>
          <cell r="P3101">
            <v>0</v>
          </cell>
          <cell r="Q3101">
            <v>0</v>
          </cell>
          <cell r="R3101">
            <v>0</v>
          </cell>
          <cell r="S3101">
            <v>0</v>
          </cell>
          <cell r="T3101">
            <v>0</v>
          </cell>
          <cell r="U3101">
            <v>0</v>
          </cell>
          <cell r="V3101">
            <v>0</v>
          </cell>
          <cell r="W3101">
            <v>0</v>
          </cell>
        </row>
        <row r="3102">
          <cell r="A3102" t="str">
            <v>450197</v>
          </cell>
          <cell r="B3102" t="str">
            <v>1251</v>
          </cell>
          <cell r="C3102" t="str">
            <v>12</v>
          </cell>
          <cell r="D3102" t="str">
            <v>05</v>
          </cell>
          <cell r="E3102">
            <v>1</v>
          </cell>
          <cell r="G3102">
            <v>0</v>
          </cell>
          <cell r="H3102">
            <v>0</v>
          </cell>
          <cell r="I3102">
            <v>0</v>
          </cell>
          <cell r="J3102">
            <v>0</v>
          </cell>
          <cell r="K3102">
            <v>0</v>
          </cell>
          <cell r="L3102">
            <v>0</v>
          </cell>
          <cell r="M3102">
            <v>0</v>
          </cell>
          <cell r="N3102">
            <v>0</v>
          </cell>
          <cell r="O3102">
            <v>0</v>
          </cell>
          <cell r="P3102">
            <v>0</v>
          </cell>
          <cell r="Q3102">
            <v>0</v>
          </cell>
          <cell r="R3102">
            <v>0</v>
          </cell>
          <cell r="S3102">
            <v>0</v>
          </cell>
          <cell r="T3102">
            <v>0</v>
          </cell>
          <cell r="U3102">
            <v>0</v>
          </cell>
          <cell r="V3102">
            <v>0</v>
          </cell>
          <cell r="W3102">
            <v>0</v>
          </cell>
        </row>
        <row r="3103">
          <cell r="A3103" t="str">
            <v>450197</v>
          </cell>
          <cell r="B3103" t="str">
            <v>1251</v>
          </cell>
          <cell r="C3103" t="str">
            <v>12</v>
          </cell>
          <cell r="D3103" t="str">
            <v>05</v>
          </cell>
          <cell r="E3103">
            <v>6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157</v>
          </cell>
          <cell r="L3103">
            <v>157</v>
          </cell>
          <cell r="M3103">
            <v>0</v>
          </cell>
          <cell r="N3103">
            <v>0</v>
          </cell>
          <cell r="O3103">
            <v>0</v>
          </cell>
          <cell r="P3103">
            <v>0</v>
          </cell>
          <cell r="Q3103">
            <v>0</v>
          </cell>
          <cell r="R3103">
            <v>0</v>
          </cell>
          <cell r="S3103">
            <v>441</v>
          </cell>
          <cell r="T3103">
            <v>15006</v>
          </cell>
          <cell r="U3103">
            <v>11164</v>
          </cell>
          <cell r="V3103">
            <v>0</v>
          </cell>
          <cell r="W3103">
            <v>0</v>
          </cell>
        </row>
        <row r="3104">
          <cell r="A3104" t="str">
            <v>450197</v>
          </cell>
          <cell r="B3104" t="str">
            <v>1251</v>
          </cell>
          <cell r="C3104" t="str">
            <v>12</v>
          </cell>
          <cell r="D3104" t="str">
            <v>05</v>
          </cell>
          <cell r="E3104">
            <v>11</v>
          </cell>
          <cell r="G3104">
            <v>3000</v>
          </cell>
          <cell r="H3104">
            <v>4458</v>
          </cell>
          <cell r="I3104">
            <v>4458</v>
          </cell>
          <cell r="J3104">
            <v>0</v>
          </cell>
          <cell r="K3104">
            <v>0</v>
          </cell>
          <cell r="L3104">
            <v>0</v>
          </cell>
          <cell r="M3104">
            <v>3441</v>
          </cell>
          <cell r="N3104">
            <v>19621</v>
          </cell>
          <cell r="O3104">
            <v>15779</v>
          </cell>
          <cell r="P3104">
            <v>0</v>
          </cell>
          <cell r="Q3104">
            <v>0</v>
          </cell>
          <cell r="R3104">
            <v>0</v>
          </cell>
          <cell r="S3104">
            <v>0</v>
          </cell>
          <cell r="T3104">
            <v>0</v>
          </cell>
          <cell r="U3104">
            <v>0</v>
          </cell>
          <cell r="V3104">
            <v>0</v>
          </cell>
          <cell r="W3104">
            <v>0</v>
          </cell>
        </row>
        <row r="3105">
          <cell r="A3105" t="str">
            <v>450197</v>
          </cell>
          <cell r="B3105" t="str">
            <v>1251</v>
          </cell>
          <cell r="C3105" t="str">
            <v>12</v>
          </cell>
          <cell r="D3105" t="str">
            <v>05</v>
          </cell>
          <cell r="E3105">
            <v>16</v>
          </cell>
          <cell r="G3105">
            <v>0</v>
          </cell>
          <cell r="H3105">
            <v>0</v>
          </cell>
          <cell r="I3105">
            <v>0</v>
          </cell>
          <cell r="J3105">
            <v>0</v>
          </cell>
          <cell r="K3105">
            <v>0</v>
          </cell>
          <cell r="L3105">
            <v>0</v>
          </cell>
          <cell r="M3105">
            <v>0</v>
          </cell>
          <cell r="N3105">
            <v>0</v>
          </cell>
          <cell r="O3105">
            <v>0</v>
          </cell>
          <cell r="P3105">
            <v>0</v>
          </cell>
          <cell r="Q3105">
            <v>0</v>
          </cell>
          <cell r="R3105">
            <v>0</v>
          </cell>
          <cell r="S3105">
            <v>0</v>
          </cell>
          <cell r="T3105">
            <v>0</v>
          </cell>
          <cell r="U3105">
            <v>0</v>
          </cell>
          <cell r="V3105">
            <v>0</v>
          </cell>
          <cell r="W3105">
            <v>0</v>
          </cell>
        </row>
        <row r="3106">
          <cell r="A3106" t="str">
            <v>450197</v>
          </cell>
          <cell r="B3106" t="str">
            <v>1251</v>
          </cell>
          <cell r="C3106" t="str">
            <v>12</v>
          </cell>
          <cell r="D3106" t="str">
            <v>05</v>
          </cell>
          <cell r="E3106">
            <v>21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  <cell r="L3106">
            <v>0</v>
          </cell>
          <cell r="M3106">
            <v>0</v>
          </cell>
          <cell r="N3106">
            <v>0</v>
          </cell>
          <cell r="O3106">
            <v>0</v>
          </cell>
          <cell r="P3106">
            <v>0</v>
          </cell>
          <cell r="Q3106">
            <v>0</v>
          </cell>
          <cell r="R3106">
            <v>0</v>
          </cell>
          <cell r="S3106">
            <v>0</v>
          </cell>
          <cell r="T3106">
            <v>0</v>
          </cell>
          <cell r="U3106">
            <v>0</v>
          </cell>
          <cell r="V3106">
            <v>0</v>
          </cell>
          <cell r="W3106">
            <v>0</v>
          </cell>
        </row>
        <row r="3107">
          <cell r="A3107" t="str">
            <v>450197</v>
          </cell>
          <cell r="B3107" t="str">
            <v>1251</v>
          </cell>
          <cell r="C3107" t="str">
            <v>12</v>
          </cell>
          <cell r="D3107" t="str">
            <v>05</v>
          </cell>
          <cell r="E3107">
            <v>26</v>
          </cell>
          <cell r="G3107">
            <v>0</v>
          </cell>
          <cell r="H3107">
            <v>0</v>
          </cell>
          <cell r="I3107">
            <v>0</v>
          </cell>
          <cell r="J3107">
            <v>688</v>
          </cell>
          <cell r="K3107">
            <v>4009</v>
          </cell>
          <cell r="L3107">
            <v>3240</v>
          </cell>
          <cell r="M3107">
            <v>0</v>
          </cell>
          <cell r="N3107">
            <v>0</v>
          </cell>
          <cell r="O3107">
            <v>0</v>
          </cell>
          <cell r="P3107">
            <v>0</v>
          </cell>
          <cell r="Q3107">
            <v>0</v>
          </cell>
          <cell r="R3107">
            <v>0</v>
          </cell>
          <cell r="S3107">
            <v>0</v>
          </cell>
          <cell r="T3107">
            <v>0</v>
          </cell>
          <cell r="U3107">
            <v>0</v>
          </cell>
          <cell r="V3107">
            <v>0</v>
          </cell>
          <cell r="W3107">
            <v>0</v>
          </cell>
        </row>
        <row r="3108">
          <cell r="A3108" t="str">
            <v>450197</v>
          </cell>
          <cell r="B3108" t="str">
            <v>1251</v>
          </cell>
          <cell r="C3108" t="str">
            <v>12</v>
          </cell>
          <cell r="D3108" t="str">
            <v>05</v>
          </cell>
          <cell r="E3108">
            <v>31</v>
          </cell>
          <cell r="G3108">
            <v>0</v>
          </cell>
          <cell r="H3108">
            <v>0</v>
          </cell>
          <cell r="I3108">
            <v>0</v>
          </cell>
          <cell r="J3108">
            <v>688</v>
          </cell>
          <cell r="K3108">
            <v>4009</v>
          </cell>
          <cell r="L3108">
            <v>3240</v>
          </cell>
          <cell r="M3108">
            <v>4129</v>
          </cell>
          <cell r="N3108">
            <v>23630</v>
          </cell>
          <cell r="O3108">
            <v>19019</v>
          </cell>
          <cell r="P3108">
            <v>0</v>
          </cell>
          <cell r="Q3108">
            <v>0</v>
          </cell>
          <cell r="R3108">
            <v>0</v>
          </cell>
          <cell r="S3108">
            <v>0</v>
          </cell>
          <cell r="T3108">
            <v>0</v>
          </cell>
          <cell r="U3108">
            <v>0</v>
          </cell>
          <cell r="V3108">
            <v>0</v>
          </cell>
          <cell r="W3108">
            <v>0</v>
          </cell>
        </row>
        <row r="3109">
          <cell r="A3109" t="str">
            <v>450197</v>
          </cell>
          <cell r="B3109" t="str">
            <v>1251</v>
          </cell>
          <cell r="C3109" t="str">
            <v>12</v>
          </cell>
          <cell r="D3109" t="str">
            <v>05</v>
          </cell>
          <cell r="E3109">
            <v>36</v>
          </cell>
          <cell r="G3109">
            <v>0</v>
          </cell>
          <cell r="H3109">
            <v>0</v>
          </cell>
          <cell r="I3109">
            <v>0</v>
          </cell>
          <cell r="J3109">
            <v>0</v>
          </cell>
          <cell r="K3109">
            <v>0</v>
          </cell>
          <cell r="L3109">
            <v>0</v>
          </cell>
          <cell r="M3109">
            <v>0</v>
          </cell>
          <cell r="N3109">
            <v>0</v>
          </cell>
          <cell r="O3109">
            <v>0</v>
          </cell>
          <cell r="P3109">
            <v>4129</v>
          </cell>
          <cell r="Q3109">
            <v>23630</v>
          </cell>
          <cell r="R3109">
            <v>19019</v>
          </cell>
          <cell r="S3109">
            <v>0</v>
          </cell>
          <cell r="T3109">
            <v>0</v>
          </cell>
          <cell r="U3109">
            <v>0</v>
          </cell>
          <cell r="V3109">
            <v>0</v>
          </cell>
          <cell r="W3109">
            <v>0</v>
          </cell>
        </row>
        <row r="3110">
          <cell r="A3110" t="str">
            <v>450197</v>
          </cell>
          <cell r="B3110" t="str">
            <v>1251</v>
          </cell>
          <cell r="C3110" t="str">
            <v>12</v>
          </cell>
          <cell r="D3110" t="str">
            <v>06</v>
          </cell>
          <cell r="E3110">
            <v>1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  <cell r="L3110">
            <v>0</v>
          </cell>
          <cell r="M3110">
            <v>0</v>
          </cell>
          <cell r="N3110">
            <v>0</v>
          </cell>
          <cell r="O3110">
            <v>0</v>
          </cell>
          <cell r="P3110">
            <v>0</v>
          </cell>
          <cell r="Q3110">
            <v>0</v>
          </cell>
          <cell r="R3110">
            <v>0</v>
          </cell>
          <cell r="S3110">
            <v>0</v>
          </cell>
          <cell r="T3110">
            <v>0</v>
          </cell>
          <cell r="U3110">
            <v>0</v>
          </cell>
          <cell r="V3110">
            <v>0</v>
          </cell>
          <cell r="W3110">
            <v>0</v>
          </cell>
        </row>
        <row r="3111">
          <cell r="A3111" t="str">
            <v>450197</v>
          </cell>
          <cell r="B3111" t="str">
            <v>1251</v>
          </cell>
          <cell r="C3111" t="str">
            <v>12</v>
          </cell>
          <cell r="D3111" t="str">
            <v>06</v>
          </cell>
          <cell r="E3111">
            <v>6</v>
          </cell>
          <cell r="G3111">
            <v>0</v>
          </cell>
          <cell r="H3111">
            <v>0</v>
          </cell>
          <cell r="I3111">
            <v>0</v>
          </cell>
          <cell r="J3111">
            <v>0</v>
          </cell>
          <cell r="K3111">
            <v>0</v>
          </cell>
          <cell r="L3111">
            <v>0</v>
          </cell>
          <cell r="M3111">
            <v>0</v>
          </cell>
          <cell r="N3111">
            <v>0</v>
          </cell>
          <cell r="O3111">
            <v>0</v>
          </cell>
          <cell r="P3111">
            <v>0</v>
          </cell>
          <cell r="Q3111">
            <v>0</v>
          </cell>
          <cell r="R3111">
            <v>0</v>
          </cell>
          <cell r="S3111">
            <v>0</v>
          </cell>
          <cell r="T3111">
            <v>0</v>
          </cell>
          <cell r="U3111">
            <v>0</v>
          </cell>
          <cell r="V3111">
            <v>0</v>
          </cell>
          <cell r="W3111">
            <v>0</v>
          </cell>
        </row>
        <row r="3112">
          <cell r="A3112" t="str">
            <v>450197</v>
          </cell>
          <cell r="B3112" t="str">
            <v>1251</v>
          </cell>
          <cell r="C3112" t="str">
            <v>12</v>
          </cell>
          <cell r="D3112" t="str">
            <v>06</v>
          </cell>
          <cell r="E3112">
            <v>11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  <cell r="K3112">
            <v>0</v>
          </cell>
          <cell r="L3112">
            <v>0</v>
          </cell>
          <cell r="M3112">
            <v>0</v>
          </cell>
          <cell r="N3112">
            <v>0</v>
          </cell>
          <cell r="O3112">
            <v>0</v>
          </cell>
          <cell r="P3112">
            <v>0</v>
          </cell>
          <cell r="Q3112">
            <v>0</v>
          </cell>
          <cell r="R3112">
            <v>0</v>
          </cell>
          <cell r="S3112">
            <v>0</v>
          </cell>
          <cell r="T3112">
            <v>0</v>
          </cell>
          <cell r="U3112">
            <v>0</v>
          </cell>
          <cell r="V3112">
            <v>0</v>
          </cell>
          <cell r="W3112">
            <v>0</v>
          </cell>
        </row>
        <row r="3113">
          <cell r="A3113" t="str">
            <v>450197</v>
          </cell>
          <cell r="B3113" t="str">
            <v>1251</v>
          </cell>
          <cell r="C3113" t="str">
            <v>12</v>
          </cell>
          <cell r="D3113" t="str">
            <v>06</v>
          </cell>
          <cell r="E3113">
            <v>16</v>
          </cell>
          <cell r="G3113">
            <v>0</v>
          </cell>
          <cell r="H3113">
            <v>0</v>
          </cell>
          <cell r="I3113">
            <v>0</v>
          </cell>
          <cell r="J3113">
            <v>0</v>
          </cell>
          <cell r="K3113">
            <v>0</v>
          </cell>
          <cell r="L3113">
            <v>0</v>
          </cell>
          <cell r="M3113">
            <v>0</v>
          </cell>
          <cell r="N3113">
            <v>0</v>
          </cell>
          <cell r="O3113">
            <v>0</v>
          </cell>
          <cell r="P3113">
            <v>0</v>
          </cell>
          <cell r="Q3113">
            <v>0</v>
          </cell>
          <cell r="R3113">
            <v>0</v>
          </cell>
          <cell r="S3113">
            <v>0</v>
          </cell>
          <cell r="T3113">
            <v>0</v>
          </cell>
          <cell r="U3113">
            <v>0</v>
          </cell>
          <cell r="V3113">
            <v>0</v>
          </cell>
          <cell r="W3113">
            <v>0</v>
          </cell>
        </row>
        <row r="3114">
          <cell r="A3114" t="str">
            <v>450197</v>
          </cell>
          <cell r="B3114" t="str">
            <v>1251</v>
          </cell>
          <cell r="C3114" t="str">
            <v>12</v>
          </cell>
          <cell r="D3114" t="str">
            <v>06</v>
          </cell>
          <cell r="E3114">
            <v>21</v>
          </cell>
          <cell r="G3114">
            <v>0</v>
          </cell>
          <cell r="H3114">
            <v>0</v>
          </cell>
          <cell r="I3114">
            <v>0</v>
          </cell>
          <cell r="J3114">
            <v>0</v>
          </cell>
          <cell r="K3114">
            <v>0</v>
          </cell>
          <cell r="L3114">
            <v>0</v>
          </cell>
          <cell r="M3114">
            <v>0</v>
          </cell>
          <cell r="N3114">
            <v>0</v>
          </cell>
          <cell r="O3114">
            <v>0</v>
          </cell>
          <cell r="P3114">
            <v>0</v>
          </cell>
          <cell r="Q3114">
            <v>0</v>
          </cell>
          <cell r="R3114">
            <v>0</v>
          </cell>
          <cell r="S3114">
            <v>0</v>
          </cell>
          <cell r="T3114">
            <v>0</v>
          </cell>
          <cell r="U3114">
            <v>0</v>
          </cell>
          <cell r="V3114">
            <v>0</v>
          </cell>
          <cell r="W3114">
            <v>0</v>
          </cell>
        </row>
        <row r="3115">
          <cell r="A3115" t="str">
            <v>450197</v>
          </cell>
          <cell r="B3115" t="str">
            <v>1251</v>
          </cell>
          <cell r="C3115" t="str">
            <v>12</v>
          </cell>
          <cell r="D3115" t="str">
            <v>06</v>
          </cell>
          <cell r="E3115">
            <v>26</v>
          </cell>
          <cell r="G3115">
            <v>0</v>
          </cell>
          <cell r="H3115">
            <v>0</v>
          </cell>
          <cell r="I3115">
            <v>0</v>
          </cell>
          <cell r="J3115">
            <v>0</v>
          </cell>
          <cell r="K3115">
            <v>0</v>
          </cell>
          <cell r="L3115">
            <v>0</v>
          </cell>
          <cell r="M3115">
            <v>0</v>
          </cell>
          <cell r="N3115">
            <v>0</v>
          </cell>
          <cell r="O3115">
            <v>0</v>
          </cell>
          <cell r="P3115">
            <v>0</v>
          </cell>
          <cell r="Q3115">
            <v>0</v>
          </cell>
          <cell r="R3115">
            <v>0</v>
          </cell>
          <cell r="S3115">
            <v>0</v>
          </cell>
          <cell r="T3115">
            <v>0</v>
          </cell>
          <cell r="U3115">
            <v>0</v>
          </cell>
          <cell r="V3115">
            <v>0</v>
          </cell>
          <cell r="W3115">
            <v>0</v>
          </cell>
        </row>
        <row r="3116">
          <cell r="A3116" t="str">
            <v>450197</v>
          </cell>
          <cell r="B3116" t="str">
            <v>1251</v>
          </cell>
          <cell r="C3116" t="str">
            <v>12</v>
          </cell>
          <cell r="D3116" t="str">
            <v>06</v>
          </cell>
          <cell r="E3116">
            <v>31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  <cell r="L3116">
            <v>0</v>
          </cell>
          <cell r="M3116">
            <v>0</v>
          </cell>
          <cell r="N3116">
            <v>0</v>
          </cell>
          <cell r="O3116">
            <v>0</v>
          </cell>
          <cell r="P3116">
            <v>0</v>
          </cell>
          <cell r="Q3116">
            <v>0</v>
          </cell>
          <cell r="R3116">
            <v>0</v>
          </cell>
          <cell r="S3116">
            <v>0</v>
          </cell>
          <cell r="T3116">
            <v>0</v>
          </cell>
          <cell r="U3116">
            <v>0</v>
          </cell>
          <cell r="V3116">
            <v>0</v>
          </cell>
          <cell r="W3116">
            <v>0</v>
          </cell>
        </row>
        <row r="3117">
          <cell r="A3117" t="str">
            <v>450197</v>
          </cell>
          <cell r="B3117" t="str">
            <v>1251</v>
          </cell>
          <cell r="C3117" t="str">
            <v>12</v>
          </cell>
          <cell r="D3117" t="str">
            <v>06</v>
          </cell>
          <cell r="E3117">
            <v>36</v>
          </cell>
          <cell r="G3117">
            <v>0</v>
          </cell>
          <cell r="H3117">
            <v>0</v>
          </cell>
          <cell r="I3117">
            <v>0</v>
          </cell>
          <cell r="J3117">
            <v>0</v>
          </cell>
          <cell r="K3117">
            <v>0</v>
          </cell>
          <cell r="L3117">
            <v>0</v>
          </cell>
          <cell r="M3117">
            <v>0</v>
          </cell>
          <cell r="N3117">
            <v>0</v>
          </cell>
          <cell r="O3117">
            <v>0</v>
          </cell>
          <cell r="P3117">
            <v>0</v>
          </cell>
          <cell r="Q3117">
            <v>0</v>
          </cell>
          <cell r="R3117">
            <v>0</v>
          </cell>
          <cell r="S3117">
            <v>0</v>
          </cell>
          <cell r="T3117">
            <v>0</v>
          </cell>
          <cell r="U3117">
            <v>0</v>
          </cell>
          <cell r="V3117">
            <v>0</v>
          </cell>
          <cell r="W3117">
            <v>0</v>
          </cell>
        </row>
        <row r="3118">
          <cell r="A3118" t="str">
            <v>450197</v>
          </cell>
          <cell r="B3118" t="str">
            <v>1251</v>
          </cell>
          <cell r="C3118" t="str">
            <v>12</v>
          </cell>
          <cell r="D3118" t="str">
            <v>06</v>
          </cell>
          <cell r="E3118">
            <v>41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0</v>
          </cell>
          <cell r="L3118">
            <v>0</v>
          </cell>
          <cell r="M3118">
            <v>0</v>
          </cell>
          <cell r="N3118">
            <v>0</v>
          </cell>
          <cell r="O3118">
            <v>0</v>
          </cell>
          <cell r="P3118">
            <v>0</v>
          </cell>
          <cell r="Q3118">
            <v>0</v>
          </cell>
          <cell r="R3118">
            <v>0</v>
          </cell>
          <cell r="S3118">
            <v>0</v>
          </cell>
          <cell r="T3118">
            <v>0</v>
          </cell>
          <cell r="U3118">
            <v>0</v>
          </cell>
          <cell r="V3118">
            <v>0</v>
          </cell>
          <cell r="W3118">
            <v>0</v>
          </cell>
        </row>
        <row r="3119">
          <cell r="A3119" t="str">
            <v>450197</v>
          </cell>
          <cell r="B3119" t="str">
            <v>1251</v>
          </cell>
          <cell r="C3119" t="str">
            <v>12</v>
          </cell>
          <cell r="D3119" t="str">
            <v>06</v>
          </cell>
          <cell r="E3119">
            <v>46</v>
          </cell>
          <cell r="G3119">
            <v>0</v>
          </cell>
          <cell r="H3119">
            <v>0</v>
          </cell>
          <cell r="I3119">
            <v>0</v>
          </cell>
          <cell r="J3119">
            <v>0</v>
          </cell>
          <cell r="K3119">
            <v>0</v>
          </cell>
          <cell r="L3119">
            <v>0</v>
          </cell>
          <cell r="M3119">
            <v>0</v>
          </cell>
          <cell r="N3119">
            <v>0</v>
          </cell>
          <cell r="O3119">
            <v>0</v>
          </cell>
          <cell r="P3119">
            <v>0</v>
          </cell>
          <cell r="Q3119">
            <v>0</v>
          </cell>
          <cell r="R3119">
            <v>0</v>
          </cell>
          <cell r="S3119">
            <v>0</v>
          </cell>
          <cell r="T3119">
            <v>0</v>
          </cell>
          <cell r="U3119">
            <v>0</v>
          </cell>
          <cell r="V3119">
            <v>0</v>
          </cell>
          <cell r="W3119">
            <v>0</v>
          </cell>
        </row>
        <row r="3120">
          <cell r="A3120" t="str">
            <v>450197</v>
          </cell>
          <cell r="B3120" t="str">
            <v>1251</v>
          </cell>
          <cell r="C3120" t="str">
            <v>12</v>
          </cell>
          <cell r="D3120" t="str">
            <v>06</v>
          </cell>
          <cell r="E3120">
            <v>51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  <cell r="L3120">
            <v>0</v>
          </cell>
          <cell r="M3120">
            <v>0</v>
          </cell>
          <cell r="N3120">
            <v>0</v>
          </cell>
          <cell r="O3120">
            <v>0</v>
          </cell>
          <cell r="P3120">
            <v>0</v>
          </cell>
          <cell r="Q3120">
            <v>0</v>
          </cell>
          <cell r="R3120">
            <v>0</v>
          </cell>
          <cell r="S3120">
            <v>0</v>
          </cell>
          <cell r="T3120">
            <v>0</v>
          </cell>
          <cell r="U3120">
            <v>0</v>
          </cell>
          <cell r="V3120">
            <v>0</v>
          </cell>
          <cell r="W3120">
            <v>0</v>
          </cell>
        </row>
        <row r="3121">
          <cell r="A3121" t="str">
            <v>450197</v>
          </cell>
          <cell r="B3121" t="str">
            <v>1251</v>
          </cell>
          <cell r="C3121" t="str">
            <v>12</v>
          </cell>
          <cell r="D3121" t="str">
            <v>06</v>
          </cell>
          <cell r="E3121">
            <v>56</v>
          </cell>
          <cell r="G3121">
            <v>0</v>
          </cell>
          <cell r="H3121">
            <v>0</v>
          </cell>
          <cell r="I3121">
            <v>0</v>
          </cell>
          <cell r="J3121">
            <v>0</v>
          </cell>
          <cell r="K3121">
            <v>0</v>
          </cell>
          <cell r="L3121">
            <v>0</v>
          </cell>
          <cell r="M3121">
            <v>0</v>
          </cell>
          <cell r="N3121">
            <v>0</v>
          </cell>
          <cell r="O3121">
            <v>0</v>
          </cell>
          <cell r="P3121">
            <v>0</v>
          </cell>
          <cell r="Q3121">
            <v>0</v>
          </cell>
          <cell r="R3121">
            <v>0</v>
          </cell>
          <cell r="S3121">
            <v>0</v>
          </cell>
          <cell r="T3121">
            <v>0</v>
          </cell>
          <cell r="U3121">
            <v>0</v>
          </cell>
          <cell r="V3121">
            <v>0</v>
          </cell>
          <cell r="W3121">
            <v>0</v>
          </cell>
        </row>
        <row r="3122">
          <cell r="A3122" t="str">
            <v>450197</v>
          </cell>
          <cell r="B3122" t="str">
            <v>1251</v>
          </cell>
          <cell r="C3122" t="str">
            <v>12</v>
          </cell>
          <cell r="D3122" t="str">
            <v>06</v>
          </cell>
          <cell r="E3122">
            <v>61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0</v>
          </cell>
          <cell r="L3122">
            <v>0</v>
          </cell>
          <cell r="M3122">
            <v>0</v>
          </cell>
          <cell r="N3122">
            <v>0</v>
          </cell>
          <cell r="O3122">
            <v>0</v>
          </cell>
          <cell r="P3122">
            <v>0</v>
          </cell>
          <cell r="Q3122">
            <v>0</v>
          </cell>
          <cell r="R3122">
            <v>0</v>
          </cell>
          <cell r="S3122">
            <v>0</v>
          </cell>
          <cell r="T3122">
            <v>0</v>
          </cell>
          <cell r="U3122">
            <v>0</v>
          </cell>
          <cell r="V3122">
            <v>0</v>
          </cell>
          <cell r="W3122">
            <v>0</v>
          </cell>
        </row>
        <row r="3123">
          <cell r="A3123" t="str">
            <v>450197</v>
          </cell>
          <cell r="B3123" t="str">
            <v>1251</v>
          </cell>
          <cell r="C3123" t="str">
            <v>12</v>
          </cell>
          <cell r="D3123" t="str">
            <v>06</v>
          </cell>
          <cell r="E3123">
            <v>66</v>
          </cell>
          <cell r="G3123">
            <v>0</v>
          </cell>
          <cell r="H3123">
            <v>0</v>
          </cell>
          <cell r="I3123">
            <v>0</v>
          </cell>
          <cell r="J3123">
            <v>0</v>
          </cell>
          <cell r="K3123">
            <v>0</v>
          </cell>
          <cell r="L3123">
            <v>0</v>
          </cell>
          <cell r="M3123">
            <v>0</v>
          </cell>
          <cell r="N3123">
            <v>0</v>
          </cell>
          <cell r="O3123">
            <v>0</v>
          </cell>
          <cell r="P3123">
            <v>0</v>
          </cell>
          <cell r="Q3123">
            <v>0</v>
          </cell>
          <cell r="R3123">
            <v>0</v>
          </cell>
          <cell r="S3123">
            <v>0</v>
          </cell>
          <cell r="T3123">
            <v>0</v>
          </cell>
          <cell r="U3123">
            <v>0</v>
          </cell>
          <cell r="V3123">
            <v>0</v>
          </cell>
          <cell r="W3123">
            <v>0</v>
          </cell>
        </row>
        <row r="3124">
          <cell r="A3124" t="str">
            <v>450197</v>
          </cell>
          <cell r="B3124" t="str">
            <v>1251</v>
          </cell>
          <cell r="C3124" t="str">
            <v>12</v>
          </cell>
          <cell r="D3124" t="str">
            <v>06</v>
          </cell>
          <cell r="E3124">
            <v>71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0</v>
          </cell>
          <cell r="L3124">
            <v>0</v>
          </cell>
          <cell r="M3124">
            <v>0</v>
          </cell>
          <cell r="N3124">
            <v>0</v>
          </cell>
          <cell r="O3124">
            <v>0</v>
          </cell>
          <cell r="P3124">
            <v>0</v>
          </cell>
          <cell r="Q3124">
            <v>0</v>
          </cell>
          <cell r="R3124">
            <v>0</v>
          </cell>
          <cell r="S3124">
            <v>0</v>
          </cell>
          <cell r="T3124">
            <v>0</v>
          </cell>
          <cell r="U3124">
            <v>0</v>
          </cell>
          <cell r="V3124">
            <v>0</v>
          </cell>
          <cell r="W3124">
            <v>0</v>
          </cell>
        </row>
        <row r="3125">
          <cell r="A3125" t="str">
            <v>450197</v>
          </cell>
          <cell r="B3125" t="str">
            <v>1251</v>
          </cell>
          <cell r="C3125" t="str">
            <v>12</v>
          </cell>
          <cell r="D3125" t="str">
            <v>06</v>
          </cell>
          <cell r="E3125">
            <v>76</v>
          </cell>
          <cell r="G3125">
            <v>0</v>
          </cell>
          <cell r="H3125">
            <v>0</v>
          </cell>
          <cell r="I3125">
            <v>0</v>
          </cell>
          <cell r="J3125">
            <v>0</v>
          </cell>
          <cell r="K3125">
            <v>0</v>
          </cell>
          <cell r="L3125">
            <v>0</v>
          </cell>
          <cell r="M3125">
            <v>0</v>
          </cell>
          <cell r="N3125">
            <v>0</v>
          </cell>
          <cell r="O3125">
            <v>0</v>
          </cell>
          <cell r="P3125">
            <v>0</v>
          </cell>
          <cell r="Q3125">
            <v>0</v>
          </cell>
          <cell r="R3125">
            <v>0</v>
          </cell>
          <cell r="S3125">
            <v>0</v>
          </cell>
          <cell r="T3125">
            <v>0</v>
          </cell>
          <cell r="U3125">
            <v>0</v>
          </cell>
          <cell r="V3125">
            <v>0</v>
          </cell>
          <cell r="W3125">
            <v>0</v>
          </cell>
        </row>
        <row r="3126">
          <cell r="A3126" t="str">
            <v>450197</v>
          </cell>
          <cell r="B3126" t="str">
            <v>1251</v>
          </cell>
          <cell r="C3126" t="str">
            <v>12</v>
          </cell>
          <cell r="D3126" t="str">
            <v>06</v>
          </cell>
          <cell r="E3126">
            <v>81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0</v>
          </cell>
          <cell r="L3126">
            <v>0</v>
          </cell>
          <cell r="M3126">
            <v>0</v>
          </cell>
          <cell r="N3126">
            <v>0</v>
          </cell>
          <cell r="O3126">
            <v>0</v>
          </cell>
          <cell r="P3126">
            <v>0</v>
          </cell>
          <cell r="Q3126">
            <v>0</v>
          </cell>
          <cell r="R3126">
            <v>0</v>
          </cell>
          <cell r="S3126">
            <v>0</v>
          </cell>
          <cell r="T3126">
            <v>0</v>
          </cell>
          <cell r="U3126">
            <v>0</v>
          </cell>
          <cell r="V3126">
            <v>0</v>
          </cell>
          <cell r="W3126">
            <v>0</v>
          </cell>
        </row>
        <row r="3127">
          <cell r="A3127" t="str">
            <v>450197</v>
          </cell>
          <cell r="B3127" t="str">
            <v>1251</v>
          </cell>
          <cell r="C3127" t="str">
            <v>12</v>
          </cell>
          <cell r="D3127" t="str">
            <v>06</v>
          </cell>
          <cell r="E3127">
            <v>86</v>
          </cell>
          <cell r="G3127">
            <v>0</v>
          </cell>
          <cell r="H3127">
            <v>0</v>
          </cell>
          <cell r="I3127">
            <v>0</v>
          </cell>
          <cell r="J3127">
            <v>0</v>
          </cell>
          <cell r="K3127">
            <v>0</v>
          </cell>
          <cell r="L3127">
            <v>0</v>
          </cell>
          <cell r="M3127">
            <v>0</v>
          </cell>
          <cell r="N3127">
            <v>0</v>
          </cell>
          <cell r="O3127">
            <v>0</v>
          </cell>
          <cell r="P3127">
            <v>0</v>
          </cell>
          <cell r="Q3127">
            <v>0</v>
          </cell>
          <cell r="R3127">
            <v>0</v>
          </cell>
          <cell r="S3127">
            <v>0</v>
          </cell>
          <cell r="T3127">
            <v>0</v>
          </cell>
          <cell r="U3127">
            <v>0</v>
          </cell>
          <cell r="V3127">
            <v>0</v>
          </cell>
          <cell r="W3127">
            <v>0</v>
          </cell>
        </row>
        <row r="3128">
          <cell r="A3128" t="str">
            <v>450197</v>
          </cell>
          <cell r="B3128" t="str">
            <v>1251</v>
          </cell>
          <cell r="C3128" t="str">
            <v>12</v>
          </cell>
          <cell r="D3128" t="str">
            <v>06</v>
          </cell>
          <cell r="E3128">
            <v>91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  <cell r="L3128">
            <v>0</v>
          </cell>
          <cell r="M3128">
            <v>0</v>
          </cell>
          <cell r="N3128">
            <v>0</v>
          </cell>
          <cell r="O3128">
            <v>0</v>
          </cell>
          <cell r="P3128">
            <v>0</v>
          </cell>
          <cell r="Q3128">
            <v>0</v>
          </cell>
          <cell r="R3128">
            <v>0</v>
          </cell>
          <cell r="S3128">
            <v>0</v>
          </cell>
          <cell r="T3128">
            <v>0</v>
          </cell>
          <cell r="U3128">
            <v>0</v>
          </cell>
          <cell r="V3128">
            <v>0</v>
          </cell>
          <cell r="W3128">
            <v>0</v>
          </cell>
        </row>
        <row r="3129">
          <cell r="A3129" t="str">
            <v>450197</v>
          </cell>
          <cell r="B3129" t="str">
            <v>1251</v>
          </cell>
          <cell r="C3129" t="str">
            <v>12</v>
          </cell>
          <cell r="D3129" t="str">
            <v>06</v>
          </cell>
          <cell r="E3129">
            <v>96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  <cell r="L3129">
            <v>0</v>
          </cell>
          <cell r="M3129">
            <v>0</v>
          </cell>
          <cell r="N3129">
            <v>0</v>
          </cell>
          <cell r="O3129">
            <v>0</v>
          </cell>
          <cell r="P3129">
            <v>0</v>
          </cell>
          <cell r="Q3129">
            <v>0</v>
          </cell>
          <cell r="R3129">
            <v>0</v>
          </cell>
          <cell r="S3129">
            <v>0</v>
          </cell>
          <cell r="T3129">
            <v>0</v>
          </cell>
          <cell r="U3129">
            <v>0</v>
          </cell>
          <cell r="V3129">
            <v>0</v>
          </cell>
          <cell r="W3129">
            <v>0</v>
          </cell>
        </row>
        <row r="3130">
          <cell r="A3130" t="str">
            <v>450197</v>
          </cell>
          <cell r="B3130" t="str">
            <v>1251</v>
          </cell>
          <cell r="C3130" t="str">
            <v>12</v>
          </cell>
          <cell r="D3130" t="str">
            <v>06</v>
          </cell>
          <cell r="E3130">
            <v>101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0</v>
          </cell>
          <cell r="L3130">
            <v>0</v>
          </cell>
          <cell r="M3130">
            <v>0</v>
          </cell>
          <cell r="N3130">
            <v>0</v>
          </cell>
          <cell r="O3130">
            <v>0</v>
          </cell>
          <cell r="P3130">
            <v>0</v>
          </cell>
          <cell r="Q3130">
            <v>0</v>
          </cell>
          <cell r="R3130">
            <v>0</v>
          </cell>
          <cell r="S3130">
            <v>0</v>
          </cell>
          <cell r="T3130">
            <v>0</v>
          </cell>
          <cell r="U3130">
            <v>0</v>
          </cell>
          <cell r="V3130">
            <v>0</v>
          </cell>
          <cell r="W3130">
            <v>0</v>
          </cell>
        </row>
        <row r="3131">
          <cell r="A3131" t="str">
            <v>450197</v>
          </cell>
          <cell r="B3131" t="str">
            <v>1251</v>
          </cell>
          <cell r="C3131" t="str">
            <v>12</v>
          </cell>
          <cell r="D3131" t="str">
            <v>06</v>
          </cell>
          <cell r="E3131">
            <v>106</v>
          </cell>
          <cell r="G3131">
            <v>0</v>
          </cell>
          <cell r="H3131">
            <v>0</v>
          </cell>
          <cell r="I3131">
            <v>0</v>
          </cell>
          <cell r="J3131">
            <v>0</v>
          </cell>
          <cell r="K3131">
            <v>0</v>
          </cell>
          <cell r="L3131">
            <v>26</v>
          </cell>
          <cell r="M3131">
            <v>0</v>
          </cell>
          <cell r="N3131">
            <v>0</v>
          </cell>
          <cell r="O3131">
            <v>-2416</v>
          </cell>
          <cell r="P3131">
            <v>0</v>
          </cell>
          <cell r="Q3131">
            <v>0</v>
          </cell>
          <cell r="R3131">
            <v>-8646</v>
          </cell>
          <cell r="S3131">
            <v>0</v>
          </cell>
          <cell r="T3131">
            <v>0</v>
          </cell>
          <cell r="U3131">
            <v>-11036</v>
          </cell>
          <cell r="V3131">
            <v>0</v>
          </cell>
          <cell r="W3131">
            <v>0</v>
          </cell>
        </row>
        <row r="3132">
          <cell r="A3132" t="str">
            <v>450197</v>
          </cell>
          <cell r="B3132" t="str">
            <v>1251</v>
          </cell>
          <cell r="C3132" t="str">
            <v>12</v>
          </cell>
          <cell r="D3132" t="str">
            <v>07</v>
          </cell>
          <cell r="E3132">
            <v>1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  <cell r="L3132">
            <v>0</v>
          </cell>
          <cell r="M3132">
            <v>0</v>
          </cell>
          <cell r="N3132">
            <v>0</v>
          </cell>
          <cell r="O3132">
            <v>0</v>
          </cell>
          <cell r="P3132">
            <v>0</v>
          </cell>
          <cell r="Q3132">
            <v>0</v>
          </cell>
          <cell r="R3132">
            <v>0</v>
          </cell>
          <cell r="S3132">
            <v>0</v>
          </cell>
          <cell r="T3132">
            <v>0</v>
          </cell>
          <cell r="U3132">
            <v>0</v>
          </cell>
          <cell r="V3132">
            <v>0</v>
          </cell>
          <cell r="W3132">
            <v>0</v>
          </cell>
        </row>
        <row r="3133">
          <cell r="A3133" t="str">
            <v>450197</v>
          </cell>
          <cell r="B3133" t="str">
            <v>1251</v>
          </cell>
          <cell r="C3133" t="str">
            <v>12</v>
          </cell>
          <cell r="D3133" t="str">
            <v>07</v>
          </cell>
          <cell r="E3133">
            <v>5</v>
          </cell>
          <cell r="G3133">
            <v>400</v>
          </cell>
          <cell r="H3133">
            <v>307</v>
          </cell>
          <cell r="I3133">
            <v>306</v>
          </cell>
          <cell r="J3133">
            <v>0</v>
          </cell>
          <cell r="K3133">
            <v>27469</v>
          </cell>
          <cell r="L3133">
            <v>35709</v>
          </cell>
          <cell r="M3133">
            <v>35713</v>
          </cell>
          <cell r="N3133">
            <v>0</v>
          </cell>
          <cell r="O3133">
            <v>0</v>
          </cell>
          <cell r="P3133">
            <v>0</v>
          </cell>
          <cell r="Q3133">
            <v>0</v>
          </cell>
          <cell r="R3133">
            <v>0</v>
          </cell>
          <cell r="S3133">
            <v>300</v>
          </cell>
          <cell r="T3133">
            <v>1445</v>
          </cell>
          <cell r="U3133">
            <v>1445</v>
          </cell>
          <cell r="V3133">
            <v>0</v>
          </cell>
          <cell r="W3133">
            <v>0</v>
          </cell>
        </row>
        <row r="3134">
          <cell r="A3134" t="str">
            <v>450197</v>
          </cell>
          <cell r="B3134" t="str">
            <v>1251</v>
          </cell>
          <cell r="C3134" t="str">
            <v>12</v>
          </cell>
          <cell r="D3134" t="str">
            <v>07</v>
          </cell>
          <cell r="E3134">
            <v>9</v>
          </cell>
          <cell r="G3134">
            <v>20308</v>
          </cell>
          <cell r="H3134">
            <v>19567</v>
          </cell>
          <cell r="I3134">
            <v>19568</v>
          </cell>
          <cell r="J3134">
            <v>0</v>
          </cell>
          <cell r="K3134">
            <v>20499</v>
          </cell>
          <cell r="L3134">
            <v>20625</v>
          </cell>
          <cell r="M3134">
            <v>20623</v>
          </cell>
          <cell r="N3134">
            <v>0</v>
          </cell>
          <cell r="O3134">
            <v>10532</v>
          </cell>
          <cell r="P3134">
            <v>10570</v>
          </cell>
          <cell r="Q3134">
            <v>10573</v>
          </cell>
          <cell r="R3134">
            <v>0</v>
          </cell>
          <cell r="S3134">
            <v>710</v>
          </cell>
          <cell r="T3134">
            <v>773</v>
          </cell>
          <cell r="U3134">
            <v>773</v>
          </cell>
          <cell r="V3134">
            <v>0</v>
          </cell>
          <cell r="W3134">
            <v>0</v>
          </cell>
        </row>
        <row r="3135">
          <cell r="A3135" t="str">
            <v>450197</v>
          </cell>
          <cell r="B3135" t="str">
            <v>1251</v>
          </cell>
          <cell r="C3135" t="str">
            <v>12</v>
          </cell>
          <cell r="D3135" t="str">
            <v>07</v>
          </cell>
          <cell r="E3135">
            <v>13</v>
          </cell>
          <cell r="G3135">
            <v>383</v>
          </cell>
          <cell r="H3135">
            <v>684</v>
          </cell>
          <cell r="I3135">
            <v>684</v>
          </cell>
          <cell r="J3135">
            <v>0</v>
          </cell>
          <cell r="K3135">
            <v>80601</v>
          </cell>
          <cell r="L3135">
            <v>89680</v>
          </cell>
          <cell r="M3135">
            <v>89685</v>
          </cell>
          <cell r="N3135">
            <v>0</v>
          </cell>
          <cell r="O3135">
            <v>0</v>
          </cell>
          <cell r="P3135">
            <v>205</v>
          </cell>
          <cell r="Q3135">
            <v>205</v>
          </cell>
          <cell r="R3135">
            <v>0</v>
          </cell>
          <cell r="S3135">
            <v>0</v>
          </cell>
          <cell r="T3135">
            <v>892</v>
          </cell>
          <cell r="U3135">
            <v>892</v>
          </cell>
          <cell r="V3135">
            <v>0</v>
          </cell>
          <cell r="W3135">
            <v>0</v>
          </cell>
        </row>
        <row r="3136">
          <cell r="A3136" t="str">
            <v>450197</v>
          </cell>
          <cell r="B3136" t="str">
            <v>1251</v>
          </cell>
          <cell r="C3136" t="str">
            <v>12</v>
          </cell>
          <cell r="D3136" t="str">
            <v>07</v>
          </cell>
          <cell r="E3136">
            <v>17</v>
          </cell>
          <cell r="G3136">
            <v>6795</v>
          </cell>
          <cell r="H3136">
            <v>8556</v>
          </cell>
          <cell r="I3136">
            <v>8556</v>
          </cell>
          <cell r="J3136">
            <v>0</v>
          </cell>
          <cell r="K3136">
            <v>0</v>
          </cell>
          <cell r="L3136">
            <v>42</v>
          </cell>
          <cell r="M3136">
            <v>42</v>
          </cell>
          <cell r="N3136">
            <v>0</v>
          </cell>
          <cell r="O3136">
            <v>6795</v>
          </cell>
          <cell r="P3136">
            <v>9695</v>
          </cell>
          <cell r="Q3136">
            <v>9695</v>
          </cell>
          <cell r="R3136">
            <v>0</v>
          </cell>
          <cell r="S3136">
            <v>0</v>
          </cell>
          <cell r="T3136">
            <v>0</v>
          </cell>
          <cell r="U3136">
            <v>0</v>
          </cell>
          <cell r="V3136">
            <v>0</v>
          </cell>
          <cell r="W3136">
            <v>0</v>
          </cell>
        </row>
        <row r="3137">
          <cell r="A3137" t="str">
            <v>450197</v>
          </cell>
          <cell r="B3137" t="str">
            <v>1251</v>
          </cell>
          <cell r="C3137" t="str">
            <v>12</v>
          </cell>
          <cell r="D3137" t="str">
            <v>07</v>
          </cell>
          <cell r="E3137">
            <v>21</v>
          </cell>
          <cell r="G3137">
            <v>0</v>
          </cell>
          <cell r="H3137">
            <v>2</v>
          </cell>
          <cell r="I3137">
            <v>3</v>
          </cell>
          <cell r="J3137">
            <v>0</v>
          </cell>
          <cell r="K3137">
            <v>0</v>
          </cell>
          <cell r="L3137">
            <v>0</v>
          </cell>
          <cell r="M3137">
            <v>0</v>
          </cell>
          <cell r="N3137">
            <v>0</v>
          </cell>
          <cell r="O3137">
            <v>0</v>
          </cell>
          <cell r="P3137">
            <v>2</v>
          </cell>
          <cell r="Q3137">
            <v>3</v>
          </cell>
          <cell r="R3137">
            <v>0</v>
          </cell>
          <cell r="S3137">
            <v>0</v>
          </cell>
          <cell r="T3137">
            <v>108</v>
          </cell>
          <cell r="U3137">
            <v>108</v>
          </cell>
          <cell r="V3137">
            <v>0</v>
          </cell>
          <cell r="W3137">
            <v>0</v>
          </cell>
        </row>
        <row r="3138">
          <cell r="A3138" t="str">
            <v>450197</v>
          </cell>
          <cell r="B3138" t="str">
            <v>1251</v>
          </cell>
          <cell r="C3138" t="str">
            <v>12</v>
          </cell>
          <cell r="D3138" t="str">
            <v>07</v>
          </cell>
          <cell r="E3138">
            <v>25</v>
          </cell>
          <cell r="G3138">
            <v>0</v>
          </cell>
          <cell r="H3138">
            <v>708</v>
          </cell>
          <cell r="I3138">
            <v>709</v>
          </cell>
          <cell r="J3138">
            <v>0</v>
          </cell>
          <cell r="K3138">
            <v>0</v>
          </cell>
          <cell r="L3138">
            <v>2482</v>
          </cell>
          <cell r="M3138">
            <v>2482</v>
          </cell>
          <cell r="N3138">
            <v>0</v>
          </cell>
          <cell r="O3138">
            <v>0</v>
          </cell>
          <cell r="P3138">
            <v>0</v>
          </cell>
          <cell r="Q3138">
            <v>0</v>
          </cell>
          <cell r="R3138">
            <v>0</v>
          </cell>
          <cell r="S3138">
            <v>0</v>
          </cell>
          <cell r="T3138">
            <v>0</v>
          </cell>
          <cell r="U3138">
            <v>0</v>
          </cell>
          <cell r="V3138">
            <v>0</v>
          </cell>
          <cell r="W3138">
            <v>0</v>
          </cell>
        </row>
        <row r="3139">
          <cell r="A3139" t="str">
            <v>450197</v>
          </cell>
          <cell r="B3139" t="str">
            <v>1251</v>
          </cell>
          <cell r="C3139" t="str">
            <v>12</v>
          </cell>
          <cell r="D3139" t="str">
            <v>07</v>
          </cell>
          <cell r="E3139">
            <v>29</v>
          </cell>
          <cell r="G3139">
            <v>0</v>
          </cell>
          <cell r="H3139">
            <v>0</v>
          </cell>
          <cell r="I3139">
            <v>0</v>
          </cell>
          <cell r="J3139">
            <v>0</v>
          </cell>
          <cell r="K3139">
            <v>0</v>
          </cell>
          <cell r="L3139">
            <v>3298</v>
          </cell>
          <cell r="M3139">
            <v>3299</v>
          </cell>
          <cell r="N3139">
            <v>0</v>
          </cell>
          <cell r="O3139">
            <v>87396</v>
          </cell>
          <cell r="P3139">
            <v>102675</v>
          </cell>
          <cell r="Q3139">
            <v>102682</v>
          </cell>
          <cell r="R3139">
            <v>0</v>
          </cell>
          <cell r="S3139">
            <v>0</v>
          </cell>
          <cell r="T3139">
            <v>0</v>
          </cell>
          <cell r="U3139">
            <v>0</v>
          </cell>
          <cell r="V3139">
            <v>0</v>
          </cell>
          <cell r="W3139">
            <v>0</v>
          </cell>
        </row>
        <row r="3140">
          <cell r="A3140" t="str">
            <v>450197</v>
          </cell>
          <cell r="B3140" t="str">
            <v>1251</v>
          </cell>
          <cell r="C3140" t="str">
            <v>12</v>
          </cell>
          <cell r="D3140" t="str">
            <v>08</v>
          </cell>
          <cell r="E3140">
            <v>1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208</v>
          </cell>
          <cell r="L3140">
            <v>208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0</v>
          </cell>
          <cell r="R3140">
            <v>0</v>
          </cell>
          <cell r="S3140">
            <v>0</v>
          </cell>
          <cell r="T3140">
            <v>150</v>
          </cell>
          <cell r="U3140">
            <v>150</v>
          </cell>
          <cell r="V3140">
            <v>0</v>
          </cell>
          <cell r="W3140">
            <v>0</v>
          </cell>
        </row>
        <row r="3141">
          <cell r="A3141" t="str">
            <v>450197</v>
          </cell>
          <cell r="B3141" t="str">
            <v>1251</v>
          </cell>
          <cell r="C3141" t="str">
            <v>12</v>
          </cell>
          <cell r="D3141" t="str">
            <v>08</v>
          </cell>
          <cell r="E3141">
            <v>6</v>
          </cell>
          <cell r="G3141">
            <v>0</v>
          </cell>
          <cell r="H3141">
            <v>0</v>
          </cell>
          <cell r="I3141">
            <v>0</v>
          </cell>
          <cell r="J3141">
            <v>0</v>
          </cell>
          <cell r="K3141">
            <v>0</v>
          </cell>
          <cell r="L3141">
            <v>0</v>
          </cell>
          <cell r="M3141">
            <v>0</v>
          </cell>
          <cell r="N3141">
            <v>0</v>
          </cell>
          <cell r="O3141">
            <v>0</v>
          </cell>
          <cell r="P3141">
            <v>0</v>
          </cell>
          <cell r="Q3141">
            <v>358</v>
          </cell>
          <cell r="R3141">
            <v>358</v>
          </cell>
          <cell r="S3141">
            <v>0</v>
          </cell>
          <cell r="T3141">
            <v>0</v>
          </cell>
          <cell r="U3141">
            <v>0</v>
          </cell>
          <cell r="V3141">
            <v>0</v>
          </cell>
          <cell r="W3141">
            <v>0</v>
          </cell>
        </row>
        <row r="3142">
          <cell r="A3142" t="str">
            <v>450197</v>
          </cell>
          <cell r="B3142" t="str">
            <v>1251</v>
          </cell>
          <cell r="C3142" t="str">
            <v>12</v>
          </cell>
          <cell r="D3142" t="str">
            <v>08</v>
          </cell>
          <cell r="E3142">
            <v>11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  <cell r="K3142">
            <v>0</v>
          </cell>
          <cell r="L3142">
            <v>0</v>
          </cell>
          <cell r="M3142">
            <v>0</v>
          </cell>
          <cell r="N3142">
            <v>0</v>
          </cell>
          <cell r="O3142">
            <v>0</v>
          </cell>
          <cell r="P3142">
            <v>0</v>
          </cell>
          <cell r="Q3142">
            <v>0</v>
          </cell>
          <cell r="R3142">
            <v>0</v>
          </cell>
          <cell r="S3142">
            <v>0</v>
          </cell>
          <cell r="T3142">
            <v>0</v>
          </cell>
          <cell r="U3142">
            <v>0</v>
          </cell>
          <cell r="V3142">
            <v>0</v>
          </cell>
          <cell r="W3142">
            <v>0</v>
          </cell>
        </row>
        <row r="3143">
          <cell r="A3143" t="str">
            <v>450197</v>
          </cell>
          <cell r="B3143" t="str">
            <v>1251</v>
          </cell>
          <cell r="C3143" t="str">
            <v>12</v>
          </cell>
          <cell r="D3143" t="str">
            <v>08</v>
          </cell>
          <cell r="E3143">
            <v>16</v>
          </cell>
          <cell r="G3143">
            <v>0</v>
          </cell>
          <cell r="H3143">
            <v>6247</v>
          </cell>
          <cell r="I3143">
            <v>6247</v>
          </cell>
          <cell r="J3143">
            <v>0</v>
          </cell>
          <cell r="K3143">
            <v>0</v>
          </cell>
          <cell r="L3143">
            <v>0</v>
          </cell>
          <cell r="M3143">
            <v>0</v>
          </cell>
          <cell r="N3143">
            <v>0</v>
          </cell>
          <cell r="O3143">
            <v>0</v>
          </cell>
          <cell r="P3143">
            <v>0</v>
          </cell>
          <cell r="Q3143">
            <v>0</v>
          </cell>
          <cell r="R3143">
            <v>0</v>
          </cell>
          <cell r="S3143">
            <v>0</v>
          </cell>
          <cell r="T3143">
            <v>0</v>
          </cell>
          <cell r="U3143">
            <v>0</v>
          </cell>
          <cell r="V3143">
            <v>0</v>
          </cell>
          <cell r="W3143">
            <v>0</v>
          </cell>
        </row>
        <row r="3144">
          <cell r="A3144" t="str">
            <v>450197</v>
          </cell>
          <cell r="B3144" t="str">
            <v>1251</v>
          </cell>
          <cell r="C3144" t="str">
            <v>12</v>
          </cell>
          <cell r="D3144" t="str">
            <v>08</v>
          </cell>
          <cell r="E3144">
            <v>21</v>
          </cell>
          <cell r="G3144">
            <v>0</v>
          </cell>
          <cell r="H3144">
            <v>6247</v>
          </cell>
          <cell r="I3144">
            <v>6247</v>
          </cell>
          <cell r="J3144">
            <v>0</v>
          </cell>
          <cell r="K3144">
            <v>6605</v>
          </cell>
          <cell r="L3144">
            <v>6605</v>
          </cell>
          <cell r="M3144">
            <v>0</v>
          </cell>
          <cell r="N3144">
            <v>0</v>
          </cell>
          <cell r="O3144">
            <v>0</v>
          </cell>
          <cell r="P3144">
            <v>0</v>
          </cell>
          <cell r="Q3144">
            <v>0</v>
          </cell>
          <cell r="R3144">
            <v>0</v>
          </cell>
          <cell r="S3144">
            <v>0</v>
          </cell>
          <cell r="T3144">
            <v>0</v>
          </cell>
          <cell r="U3144">
            <v>0</v>
          </cell>
          <cell r="V3144">
            <v>0</v>
          </cell>
          <cell r="W3144">
            <v>0</v>
          </cell>
        </row>
        <row r="3145">
          <cell r="A3145" t="str">
            <v>450197</v>
          </cell>
          <cell r="B3145" t="str">
            <v>1251</v>
          </cell>
          <cell r="C3145" t="str">
            <v>12</v>
          </cell>
          <cell r="D3145" t="str">
            <v>09</v>
          </cell>
          <cell r="E3145">
            <v>1</v>
          </cell>
          <cell r="G3145">
            <v>1400720</v>
          </cell>
          <cell r="H3145">
            <v>1479607</v>
          </cell>
          <cell r="I3145">
            <v>1424612</v>
          </cell>
          <cell r="J3145">
            <v>0</v>
          </cell>
          <cell r="K3145">
            <v>0</v>
          </cell>
          <cell r="L3145">
            <v>0</v>
          </cell>
          <cell r="M3145">
            <v>0</v>
          </cell>
          <cell r="N3145">
            <v>0</v>
          </cell>
          <cell r="O3145">
            <v>0</v>
          </cell>
          <cell r="P3145">
            <v>0</v>
          </cell>
          <cell r="Q3145">
            <v>0</v>
          </cell>
          <cell r="R3145">
            <v>0</v>
          </cell>
          <cell r="S3145">
            <v>1400720</v>
          </cell>
          <cell r="T3145">
            <v>1479607</v>
          </cell>
          <cell r="U3145">
            <v>1424612</v>
          </cell>
          <cell r="V3145">
            <v>0</v>
          </cell>
          <cell r="W3145">
            <v>0</v>
          </cell>
        </row>
        <row r="3146">
          <cell r="A3146" t="str">
            <v>450197</v>
          </cell>
          <cell r="B3146" t="str">
            <v>1251</v>
          </cell>
          <cell r="C3146" t="str">
            <v>12</v>
          </cell>
          <cell r="D3146" t="str">
            <v>09</v>
          </cell>
          <cell r="E3146">
            <v>6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1468</v>
          </cell>
          <cell r="L3146">
            <v>1468</v>
          </cell>
          <cell r="M3146">
            <v>0</v>
          </cell>
          <cell r="N3146">
            <v>10554</v>
          </cell>
          <cell r="O3146">
            <v>10554</v>
          </cell>
          <cell r="P3146">
            <v>44459</v>
          </cell>
          <cell r="Q3146">
            <v>44459</v>
          </cell>
          <cell r="R3146">
            <v>43677</v>
          </cell>
          <cell r="S3146">
            <v>0</v>
          </cell>
          <cell r="T3146">
            <v>0</v>
          </cell>
          <cell r="U3146">
            <v>0</v>
          </cell>
          <cell r="V3146">
            <v>0</v>
          </cell>
          <cell r="W3146">
            <v>0</v>
          </cell>
        </row>
        <row r="3147">
          <cell r="A3147" t="str">
            <v>450197</v>
          </cell>
          <cell r="B3147" t="str">
            <v>1251</v>
          </cell>
          <cell r="C3147" t="str">
            <v>12</v>
          </cell>
          <cell r="D3147" t="str">
            <v>09</v>
          </cell>
          <cell r="E3147">
            <v>11</v>
          </cell>
          <cell r="G3147">
            <v>0</v>
          </cell>
          <cell r="H3147">
            <v>595</v>
          </cell>
          <cell r="I3147">
            <v>595</v>
          </cell>
          <cell r="J3147">
            <v>0</v>
          </cell>
          <cell r="K3147">
            <v>0</v>
          </cell>
          <cell r="L3147">
            <v>0</v>
          </cell>
          <cell r="M3147">
            <v>0</v>
          </cell>
          <cell r="N3147">
            <v>0</v>
          </cell>
          <cell r="O3147">
            <v>0</v>
          </cell>
          <cell r="P3147">
            <v>44459</v>
          </cell>
          <cell r="Q3147">
            <v>57076</v>
          </cell>
          <cell r="R3147">
            <v>56294</v>
          </cell>
          <cell r="S3147">
            <v>0</v>
          </cell>
          <cell r="T3147">
            <v>0</v>
          </cell>
          <cell r="U3147">
            <v>0</v>
          </cell>
          <cell r="V3147">
            <v>0</v>
          </cell>
          <cell r="W3147">
            <v>0</v>
          </cell>
        </row>
        <row r="3148">
          <cell r="A3148" t="str">
            <v>450197</v>
          </cell>
          <cell r="B3148" t="str">
            <v>1251</v>
          </cell>
          <cell r="C3148" t="str">
            <v>12</v>
          </cell>
          <cell r="D3148" t="str">
            <v>09</v>
          </cell>
          <cell r="E3148">
            <v>16</v>
          </cell>
          <cell r="G3148">
            <v>0</v>
          </cell>
          <cell r="H3148">
            <v>5665</v>
          </cell>
          <cell r="I3148">
            <v>5666</v>
          </cell>
          <cell r="J3148">
            <v>0</v>
          </cell>
          <cell r="K3148">
            <v>0</v>
          </cell>
          <cell r="L3148">
            <v>0</v>
          </cell>
          <cell r="M3148">
            <v>0</v>
          </cell>
          <cell r="N3148">
            <v>0</v>
          </cell>
          <cell r="O3148">
            <v>0</v>
          </cell>
          <cell r="P3148">
            <v>0</v>
          </cell>
          <cell r="Q3148">
            <v>0</v>
          </cell>
          <cell r="R3148">
            <v>0</v>
          </cell>
          <cell r="S3148">
            <v>0</v>
          </cell>
          <cell r="T3148">
            <v>0</v>
          </cell>
          <cell r="U3148">
            <v>0</v>
          </cell>
          <cell r="V3148">
            <v>0</v>
          </cell>
          <cell r="W3148">
            <v>0</v>
          </cell>
        </row>
        <row r="3149">
          <cell r="A3149" t="str">
            <v>450197</v>
          </cell>
          <cell r="B3149" t="str">
            <v>1251</v>
          </cell>
          <cell r="C3149" t="str">
            <v>12</v>
          </cell>
          <cell r="D3149" t="str">
            <v>09</v>
          </cell>
          <cell r="E3149">
            <v>21</v>
          </cell>
          <cell r="G3149">
            <v>0</v>
          </cell>
          <cell r="H3149">
            <v>5665</v>
          </cell>
          <cell r="I3149">
            <v>5666</v>
          </cell>
          <cell r="J3149">
            <v>44459</v>
          </cell>
          <cell r="K3149">
            <v>62741</v>
          </cell>
          <cell r="L3149">
            <v>61960</v>
          </cell>
          <cell r="M3149">
            <v>0</v>
          </cell>
          <cell r="N3149">
            <v>0</v>
          </cell>
          <cell r="O3149">
            <v>0</v>
          </cell>
          <cell r="P3149">
            <v>0</v>
          </cell>
          <cell r="Q3149">
            <v>0</v>
          </cell>
          <cell r="R3149">
            <v>0</v>
          </cell>
          <cell r="S3149">
            <v>0</v>
          </cell>
          <cell r="T3149">
            <v>0</v>
          </cell>
          <cell r="U3149">
            <v>0</v>
          </cell>
          <cell r="V3149">
            <v>0</v>
          </cell>
          <cell r="W3149">
            <v>0</v>
          </cell>
        </row>
        <row r="3150">
          <cell r="A3150" t="str">
            <v>450197</v>
          </cell>
          <cell r="B3150" t="str">
            <v>1251</v>
          </cell>
          <cell r="C3150" t="str">
            <v>12</v>
          </cell>
          <cell r="D3150" t="str">
            <v>09</v>
          </cell>
          <cell r="E3150">
            <v>26</v>
          </cell>
          <cell r="G3150">
            <v>0</v>
          </cell>
          <cell r="H3150">
            <v>0</v>
          </cell>
          <cell r="I3150">
            <v>0</v>
          </cell>
          <cell r="J3150">
            <v>1445179</v>
          </cell>
          <cell r="K3150">
            <v>1542348</v>
          </cell>
          <cell r="L3150">
            <v>1486572</v>
          </cell>
          <cell r="M3150">
            <v>0</v>
          </cell>
          <cell r="N3150">
            <v>0</v>
          </cell>
          <cell r="O3150">
            <v>0</v>
          </cell>
          <cell r="P3150">
            <v>0</v>
          </cell>
          <cell r="Q3150">
            <v>0</v>
          </cell>
          <cell r="R3150">
            <v>0</v>
          </cell>
          <cell r="S3150">
            <v>0</v>
          </cell>
          <cell r="T3150">
            <v>0</v>
          </cell>
          <cell r="U3150">
            <v>0</v>
          </cell>
          <cell r="V3150">
            <v>0</v>
          </cell>
          <cell r="W3150">
            <v>0</v>
          </cell>
        </row>
        <row r="3151">
          <cell r="A3151" t="str">
            <v>450197</v>
          </cell>
          <cell r="B3151" t="str">
            <v>1251</v>
          </cell>
          <cell r="C3151" t="str">
            <v>12</v>
          </cell>
          <cell r="D3151" t="str">
            <v>10</v>
          </cell>
          <cell r="E3151">
            <v>1</v>
          </cell>
          <cell r="G3151">
            <v>0</v>
          </cell>
          <cell r="H3151">
            <v>0</v>
          </cell>
          <cell r="I3151">
            <v>0</v>
          </cell>
          <cell r="J3151">
            <v>0</v>
          </cell>
          <cell r="K3151">
            <v>0</v>
          </cell>
          <cell r="L3151">
            <v>0</v>
          </cell>
          <cell r="M3151">
            <v>0</v>
          </cell>
          <cell r="N3151">
            <v>0</v>
          </cell>
          <cell r="O3151">
            <v>0</v>
          </cell>
          <cell r="P3151">
            <v>0</v>
          </cell>
          <cell r="Q3151">
            <v>0</v>
          </cell>
          <cell r="R3151">
            <v>0</v>
          </cell>
          <cell r="S3151">
            <v>0</v>
          </cell>
          <cell r="T3151">
            <v>0</v>
          </cell>
          <cell r="U3151">
            <v>0</v>
          </cell>
          <cell r="V3151">
            <v>0</v>
          </cell>
          <cell r="W3151">
            <v>0</v>
          </cell>
        </row>
        <row r="3152">
          <cell r="A3152" t="str">
            <v>450197</v>
          </cell>
          <cell r="B3152" t="str">
            <v>1251</v>
          </cell>
          <cell r="C3152" t="str">
            <v>12</v>
          </cell>
          <cell r="D3152" t="str">
            <v>10</v>
          </cell>
          <cell r="E3152">
            <v>6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  <cell r="K3152">
            <v>0</v>
          </cell>
          <cell r="L3152">
            <v>0</v>
          </cell>
          <cell r="M3152">
            <v>0</v>
          </cell>
          <cell r="N3152">
            <v>0</v>
          </cell>
          <cell r="O3152">
            <v>0</v>
          </cell>
          <cell r="P3152">
            <v>0</v>
          </cell>
          <cell r="Q3152">
            <v>0</v>
          </cell>
          <cell r="R3152">
            <v>0</v>
          </cell>
          <cell r="S3152">
            <v>0</v>
          </cell>
          <cell r="T3152">
            <v>0</v>
          </cell>
          <cell r="U3152">
            <v>0</v>
          </cell>
          <cell r="V3152">
            <v>0</v>
          </cell>
          <cell r="W3152">
            <v>0</v>
          </cell>
        </row>
        <row r="3153">
          <cell r="A3153" t="str">
            <v>450197</v>
          </cell>
          <cell r="B3153" t="str">
            <v>1251</v>
          </cell>
          <cell r="C3153" t="str">
            <v>12</v>
          </cell>
          <cell r="D3153" t="str">
            <v>10</v>
          </cell>
          <cell r="E3153">
            <v>11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  <cell r="L3153">
            <v>0</v>
          </cell>
          <cell r="M3153">
            <v>0</v>
          </cell>
          <cell r="N3153">
            <v>0</v>
          </cell>
          <cell r="O3153">
            <v>0</v>
          </cell>
          <cell r="P3153">
            <v>0</v>
          </cell>
          <cell r="Q3153">
            <v>0</v>
          </cell>
          <cell r="R3153">
            <v>0</v>
          </cell>
          <cell r="S3153">
            <v>0</v>
          </cell>
          <cell r="T3153">
            <v>0</v>
          </cell>
          <cell r="U3153">
            <v>0</v>
          </cell>
          <cell r="V3153">
            <v>0</v>
          </cell>
          <cell r="W3153">
            <v>0</v>
          </cell>
        </row>
        <row r="3154">
          <cell r="A3154" t="str">
            <v>450197</v>
          </cell>
          <cell r="B3154" t="str">
            <v>1251</v>
          </cell>
          <cell r="C3154" t="str">
            <v>12</v>
          </cell>
          <cell r="D3154" t="str">
            <v>10</v>
          </cell>
          <cell r="E3154">
            <v>16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L3154">
            <v>0</v>
          </cell>
          <cell r="M3154">
            <v>0</v>
          </cell>
          <cell r="N3154">
            <v>0</v>
          </cell>
          <cell r="O3154">
            <v>0</v>
          </cell>
          <cell r="P3154">
            <v>0</v>
          </cell>
          <cell r="Q3154">
            <v>0</v>
          </cell>
          <cell r="R3154">
            <v>0</v>
          </cell>
          <cell r="S3154">
            <v>0</v>
          </cell>
          <cell r="T3154">
            <v>0</v>
          </cell>
          <cell r="U3154">
            <v>0</v>
          </cell>
          <cell r="V3154">
            <v>0</v>
          </cell>
          <cell r="W3154">
            <v>0</v>
          </cell>
        </row>
        <row r="3155">
          <cell r="A3155" t="str">
            <v>450197</v>
          </cell>
          <cell r="B3155" t="str">
            <v>1251</v>
          </cell>
          <cell r="C3155" t="str">
            <v>12</v>
          </cell>
          <cell r="D3155" t="str">
            <v>10</v>
          </cell>
          <cell r="E3155">
            <v>21</v>
          </cell>
          <cell r="G3155">
            <v>0</v>
          </cell>
          <cell r="H3155">
            <v>0</v>
          </cell>
          <cell r="I3155">
            <v>0</v>
          </cell>
          <cell r="J3155">
            <v>0</v>
          </cell>
          <cell r="K3155">
            <v>0</v>
          </cell>
          <cell r="L3155">
            <v>0</v>
          </cell>
          <cell r="M3155">
            <v>0</v>
          </cell>
          <cell r="N3155">
            <v>0</v>
          </cell>
          <cell r="O3155">
            <v>0</v>
          </cell>
          <cell r="P3155">
            <v>0</v>
          </cell>
          <cell r="Q3155">
            <v>0</v>
          </cell>
          <cell r="R3155">
            <v>0</v>
          </cell>
          <cell r="S3155">
            <v>0</v>
          </cell>
          <cell r="T3155">
            <v>0</v>
          </cell>
          <cell r="U3155">
            <v>0</v>
          </cell>
          <cell r="V3155">
            <v>0</v>
          </cell>
          <cell r="W3155">
            <v>0</v>
          </cell>
        </row>
        <row r="3156">
          <cell r="A3156" t="str">
            <v>450197</v>
          </cell>
          <cell r="B3156" t="str">
            <v>1251</v>
          </cell>
          <cell r="C3156" t="str">
            <v>12</v>
          </cell>
          <cell r="D3156" t="str">
            <v>10</v>
          </cell>
          <cell r="E3156">
            <v>26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L3156">
            <v>0</v>
          </cell>
          <cell r="M3156">
            <v>0</v>
          </cell>
          <cell r="N3156">
            <v>0</v>
          </cell>
          <cell r="O3156">
            <v>0</v>
          </cell>
          <cell r="P3156">
            <v>0</v>
          </cell>
          <cell r="Q3156">
            <v>0</v>
          </cell>
          <cell r="R3156">
            <v>0</v>
          </cell>
          <cell r="S3156">
            <v>0</v>
          </cell>
          <cell r="T3156">
            <v>0</v>
          </cell>
          <cell r="U3156">
            <v>0</v>
          </cell>
          <cell r="V3156">
            <v>0</v>
          </cell>
          <cell r="W3156">
            <v>0</v>
          </cell>
        </row>
        <row r="3157">
          <cell r="A3157" t="str">
            <v>450197</v>
          </cell>
          <cell r="B3157" t="str">
            <v>1251</v>
          </cell>
          <cell r="C3157" t="str">
            <v>12</v>
          </cell>
          <cell r="D3157" t="str">
            <v>10</v>
          </cell>
          <cell r="E3157">
            <v>31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  <cell r="K3157">
            <v>0</v>
          </cell>
          <cell r="L3157">
            <v>0</v>
          </cell>
          <cell r="M3157">
            <v>0</v>
          </cell>
          <cell r="N3157">
            <v>0</v>
          </cell>
          <cell r="O3157">
            <v>0</v>
          </cell>
          <cell r="P3157">
            <v>0</v>
          </cell>
          <cell r="Q3157">
            <v>0</v>
          </cell>
          <cell r="R3157">
            <v>0</v>
          </cell>
          <cell r="S3157">
            <v>0</v>
          </cell>
          <cell r="T3157">
            <v>0</v>
          </cell>
          <cell r="U3157">
            <v>0</v>
          </cell>
          <cell r="V3157">
            <v>0</v>
          </cell>
          <cell r="W3157">
            <v>0</v>
          </cell>
        </row>
        <row r="3158">
          <cell r="A3158" t="str">
            <v>450197</v>
          </cell>
          <cell r="B3158" t="str">
            <v>1251</v>
          </cell>
          <cell r="C3158" t="str">
            <v>12</v>
          </cell>
          <cell r="D3158" t="str">
            <v>10</v>
          </cell>
          <cell r="E3158">
            <v>36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  <cell r="L3158">
            <v>0</v>
          </cell>
          <cell r="M3158">
            <v>0</v>
          </cell>
          <cell r="N3158">
            <v>0</v>
          </cell>
          <cell r="O3158">
            <v>0</v>
          </cell>
          <cell r="P3158">
            <v>0</v>
          </cell>
          <cell r="Q3158">
            <v>0</v>
          </cell>
          <cell r="R3158">
            <v>0</v>
          </cell>
          <cell r="S3158">
            <v>0</v>
          </cell>
          <cell r="T3158">
            <v>0</v>
          </cell>
          <cell r="U3158">
            <v>0</v>
          </cell>
          <cell r="V3158">
            <v>0</v>
          </cell>
          <cell r="W3158">
            <v>0</v>
          </cell>
        </row>
        <row r="3159">
          <cell r="A3159" t="str">
            <v>450197</v>
          </cell>
          <cell r="B3159" t="str">
            <v>1251</v>
          </cell>
          <cell r="C3159" t="str">
            <v>12</v>
          </cell>
          <cell r="D3159" t="str">
            <v>10</v>
          </cell>
          <cell r="E3159">
            <v>41</v>
          </cell>
          <cell r="G3159">
            <v>0</v>
          </cell>
          <cell r="H3159">
            <v>0</v>
          </cell>
          <cell r="I3159">
            <v>0</v>
          </cell>
          <cell r="J3159">
            <v>0</v>
          </cell>
          <cell r="K3159">
            <v>0</v>
          </cell>
          <cell r="L3159">
            <v>0</v>
          </cell>
          <cell r="M3159">
            <v>0</v>
          </cell>
          <cell r="N3159">
            <v>0</v>
          </cell>
          <cell r="O3159">
            <v>0</v>
          </cell>
          <cell r="P3159">
            <v>0</v>
          </cell>
          <cell r="Q3159">
            <v>0</v>
          </cell>
          <cell r="R3159">
            <v>0</v>
          </cell>
          <cell r="S3159">
            <v>0</v>
          </cell>
          <cell r="T3159">
            <v>0</v>
          </cell>
          <cell r="U3159">
            <v>0</v>
          </cell>
          <cell r="V3159">
            <v>0</v>
          </cell>
          <cell r="W3159">
            <v>0</v>
          </cell>
        </row>
        <row r="3160">
          <cell r="A3160" t="str">
            <v>450197</v>
          </cell>
          <cell r="B3160" t="str">
            <v>1251</v>
          </cell>
          <cell r="C3160" t="str">
            <v>12</v>
          </cell>
          <cell r="D3160" t="str">
            <v>10</v>
          </cell>
          <cell r="E3160">
            <v>46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  <cell r="K3160">
            <v>0</v>
          </cell>
          <cell r="L3160">
            <v>0</v>
          </cell>
          <cell r="M3160">
            <v>0</v>
          </cell>
          <cell r="N3160">
            <v>0</v>
          </cell>
          <cell r="O3160">
            <v>0</v>
          </cell>
          <cell r="P3160">
            <v>0</v>
          </cell>
          <cell r="Q3160">
            <v>0</v>
          </cell>
          <cell r="R3160">
            <v>0</v>
          </cell>
          <cell r="S3160">
            <v>0</v>
          </cell>
          <cell r="T3160">
            <v>0</v>
          </cell>
          <cell r="U3160">
            <v>0</v>
          </cell>
          <cell r="V3160">
            <v>0</v>
          </cell>
          <cell r="W3160">
            <v>0</v>
          </cell>
        </row>
        <row r="3161">
          <cell r="A3161" t="str">
            <v>450197</v>
          </cell>
          <cell r="B3161" t="str">
            <v>1251</v>
          </cell>
          <cell r="C3161" t="str">
            <v>12</v>
          </cell>
          <cell r="D3161" t="str">
            <v>10</v>
          </cell>
          <cell r="E3161">
            <v>51</v>
          </cell>
          <cell r="G3161">
            <v>0</v>
          </cell>
          <cell r="H3161">
            <v>0</v>
          </cell>
          <cell r="I3161">
            <v>0</v>
          </cell>
          <cell r="J3161">
            <v>0</v>
          </cell>
          <cell r="K3161">
            <v>0</v>
          </cell>
          <cell r="L3161">
            <v>0</v>
          </cell>
          <cell r="M3161">
            <v>0</v>
          </cell>
          <cell r="N3161">
            <v>0</v>
          </cell>
          <cell r="O3161">
            <v>0</v>
          </cell>
          <cell r="P3161">
            <v>0</v>
          </cell>
          <cell r="Q3161">
            <v>0</v>
          </cell>
          <cell r="R3161">
            <v>0</v>
          </cell>
          <cell r="S3161">
            <v>0</v>
          </cell>
          <cell r="T3161">
            <v>0</v>
          </cell>
          <cell r="U3161">
            <v>0</v>
          </cell>
          <cell r="V3161">
            <v>0</v>
          </cell>
          <cell r="W3161">
            <v>0</v>
          </cell>
        </row>
        <row r="3162">
          <cell r="A3162" t="str">
            <v>450197</v>
          </cell>
          <cell r="B3162" t="str">
            <v>1251</v>
          </cell>
          <cell r="C3162" t="str">
            <v>12</v>
          </cell>
          <cell r="D3162" t="str">
            <v>10</v>
          </cell>
          <cell r="E3162">
            <v>56</v>
          </cell>
          <cell r="G3162">
            <v>0</v>
          </cell>
          <cell r="H3162">
            <v>15239</v>
          </cell>
          <cell r="I3162">
            <v>15240</v>
          </cell>
          <cell r="J3162">
            <v>0</v>
          </cell>
          <cell r="K3162">
            <v>0</v>
          </cell>
          <cell r="L3162">
            <v>0</v>
          </cell>
          <cell r="M3162">
            <v>0</v>
          </cell>
          <cell r="N3162">
            <v>0</v>
          </cell>
          <cell r="O3162">
            <v>0</v>
          </cell>
          <cell r="P3162">
            <v>0</v>
          </cell>
          <cell r="Q3162">
            <v>15239</v>
          </cell>
          <cell r="R3162">
            <v>15240</v>
          </cell>
          <cell r="S3162">
            <v>0</v>
          </cell>
          <cell r="T3162">
            <v>0</v>
          </cell>
          <cell r="U3162">
            <v>0</v>
          </cell>
          <cell r="V3162">
            <v>0</v>
          </cell>
          <cell r="W3162">
            <v>0</v>
          </cell>
        </row>
        <row r="3163">
          <cell r="A3163" t="str">
            <v>450197</v>
          </cell>
          <cell r="B3163" t="str">
            <v>1251</v>
          </cell>
          <cell r="C3163" t="str">
            <v>12</v>
          </cell>
          <cell r="D3163" t="str">
            <v>10</v>
          </cell>
          <cell r="E3163">
            <v>61</v>
          </cell>
          <cell r="G3163">
            <v>0</v>
          </cell>
          <cell r="H3163">
            <v>0</v>
          </cell>
          <cell r="I3163">
            <v>0</v>
          </cell>
          <cell r="J3163">
            <v>0</v>
          </cell>
          <cell r="K3163">
            <v>0</v>
          </cell>
          <cell r="L3163">
            <v>0</v>
          </cell>
          <cell r="M3163">
            <v>0</v>
          </cell>
          <cell r="N3163">
            <v>0</v>
          </cell>
          <cell r="O3163">
            <v>0</v>
          </cell>
          <cell r="P3163">
            <v>0</v>
          </cell>
          <cell r="Q3163">
            <v>0</v>
          </cell>
          <cell r="R3163">
            <v>0</v>
          </cell>
          <cell r="S3163">
            <v>0</v>
          </cell>
          <cell r="T3163">
            <v>0</v>
          </cell>
          <cell r="U3163">
            <v>0</v>
          </cell>
          <cell r="V3163">
            <v>0</v>
          </cell>
          <cell r="W3163">
            <v>0</v>
          </cell>
        </row>
        <row r="3164">
          <cell r="A3164" t="str">
            <v>450197</v>
          </cell>
          <cell r="B3164" t="str">
            <v>1251</v>
          </cell>
          <cell r="C3164" t="str">
            <v>12</v>
          </cell>
          <cell r="D3164" t="str">
            <v>10</v>
          </cell>
          <cell r="E3164">
            <v>66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L3164">
            <v>0</v>
          </cell>
          <cell r="M3164">
            <v>0</v>
          </cell>
          <cell r="N3164">
            <v>0</v>
          </cell>
          <cell r="O3164">
            <v>0</v>
          </cell>
          <cell r="P3164">
            <v>0</v>
          </cell>
          <cell r="Q3164">
            <v>0</v>
          </cell>
          <cell r="R3164">
            <v>0</v>
          </cell>
          <cell r="S3164">
            <v>0</v>
          </cell>
          <cell r="T3164">
            <v>0</v>
          </cell>
          <cell r="U3164">
            <v>0</v>
          </cell>
          <cell r="V3164">
            <v>0</v>
          </cell>
          <cell r="W3164">
            <v>0</v>
          </cell>
        </row>
        <row r="3165">
          <cell r="A3165" t="str">
            <v>450197</v>
          </cell>
          <cell r="B3165" t="str">
            <v>1251</v>
          </cell>
          <cell r="C3165" t="str">
            <v>12</v>
          </cell>
          <cell r="D3165" t="str">
            <v>10</v>
          </cell>
          <cell r="E3165">
            <v>71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0</v>
          </cell>
          <cell r="L3165">
            <v>0</v>
          </cell>
          <cell r="M3165">
            <v>0</v>
          </cell>
          <cell r="N3165">
            <v>0</v>
          </cell>
          <cell r="O3165">
            <v>0</v>
          </cell>
          <cell r="P3165">
            <v>0</v>
          </cell>
          <cell r="Q3165">
            <v>0</v>
          </cell>
          <cell r="R3165">
            <v>0</v>
          </cell>
          <cell r="S3165">
            <v>0</v>
          </cell>
          <cell r="T3165">
            <v>0</v>
          </cell>
          <cell r="U3165">
            <v>0</v>
          </cell>
          <cell r="V3165">
            <v>0</v>
          </cell>
          <cell r="W3165">
            <v>0</v>
          </cell>
        </row>
        <row r="3166">
          <cell r="A3166" t="str">
            <v>450197</v>
          </cell>
          <cell r="B3166" t="str">
            <v>1251</v>
          </cell>
          <cell r="C3166" t="str">
            <v>12</v>
          </cell>
          <cell r="D3166" t="str">
            <v>10</v>
          </cell>
          <cell r="E3166">
            <v>76</v>
          </cell>
          <cell r="G3166">
            <v>0</v>
          </cell>
          <cell r="H3166">
            <v>0</v>
          </cell>
          <cell r="I3166">
            <v>0</v>
          </cell>
          <cell r="J3166">
            <v>0</v>
          </cell>
          <cell r="K3166">
            <v>0</v>
          </cell>
          <cell r="L3166">
            <v>0</v>
          </cell>
          <cell r="M3166">
            <v>0</v>
          </cell>
          <cell r="N3166">
            <v>0</v>
          </cell>
          <cell r="O3166">
            <v>0</v>
          </cell>
          <cell r="P3166">
            <v>0</v>
          </cell>
          <cell r="Q3166">
            <v>0</v>
          </cell>
          <cell r="R3166">
            <v>0</v>
          </cell>
          <cell r="S3166">
            <v>0</v>
          </cell>
          <cell r="T3166">
            <v>0</v>
          </cell>
          <cell r="U3166">
            <v>0</v>
          </cell>
          <cell r="V3166">
            <v>0</v>
          </cell>
          <cell r="W3166">
            <v>0</v>
          </cell>
        </row>
        <row r="3167">
          <cell r="A3167" t="str">
            <v>450197</v>
          </cell>
          <cell r="B3167" t="str">
            <v>1251</v>
          </cell>
          <cell r="C3167" t="str">
            <v>12</v>
          </cell>
          <cell r="D3167" t="str">
            <v>10</v>
          </cell>
          <cell r="E3167">
            <v>81</v>
          </cell>
          <cell r="G3167">
            <v>0</v>
          </cell>
          <cell r="H3167">
            <v>0</v>
          </cell>
          <cell r="I3167">
            <v>0</v>
          </cell>
          <cell r="J3167">
            <v>0</v>
          </cell>
          <cell r="K3167">
            <v>0</v>
          </cell>
          <cell r="L3167">
            <v>0</v>
          </cell>
          <cell r="M3167">
            <v>0</v>
          </cell>
          <cell r="N3167">
            <v>0</v>
          </cell>
          <cell r="O3167">
            <v>0</v>
          </cell>
          <cell r="P3167">
            <v>0</v>
          </cell>
          <cell r="Q3167">
            <v>0</v>
          </cell>
          <cell r="R3167">
            <v>0</v>
          </cell>
          <cell r="S3167">
            <v>0</v>
          </cell>
          <cell r="T3167">
            <v>0</v>
          </cell>
          <cell r="U3167">
            <v>0</v>
          </cell>
          <cell r="V3167">
            <v>0</v>
          </cell>
          <cell r="W3167">
            <v>0</v>
          </cell>
        </row>
        <row r="3168">
          <cell r="A3168" t="str">
            <v>450197</v>
          </cell>
          <cell r="B3168" t="str">
            <v>1251</v>
          </cell>
          <cell r="C3168" t="str">
            <v>12</v>
          </cell>
          <cell r="D3168" t="str">
            <v>10</v>
          </cell>
          <cell r="E3168">
            <v>86</v>
          </cell>
          <cell r="G3168">
            <v>0</v>
          </cell>
          <cell r="H3168">
            <v>0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0</v>
          </cell>
          <cell r="R3168">
            <v>0</v>
          </cell>
          <cell r="S3168">
            <v>0</v>
          </cell>
          <cell r="T3168">
            <v>0</v>
          </cell>
          <cell r="U3168">
            <v>0</v>
          </cell>
          <cell r="V3168">
            <v>0</v>
          </cell>
          <cell r="W3168">
            <v>0</v>
          </cell>
        </row>
        <row r="3169">
          <cell r="A3169" t="str">
            <v>450197</v>
          </cell>
          <cell r="B3169" t="str">
            <v>1251</v>
          </cell>
          <cell r="C3169" t="str">
            <v>12</v>
          </cell>
          <cell r="D3169" t="str">
            <v>10</v>
          </cell>
          <cell r="E3169">
            <v>91</v>
          </cell>
          <cell r="G3169">
            <v>0</v>
          </cell>
          <cell r="H3169">
            <v>0</v>
          </cell>
          <cell r="I3169">
            <v>0</v>
          </cell>
          <cell r="J3169">
            <v>0</v>
          </cell>
          <cell r="K3169">
            <v>0</v>
          </cell>
          <cell r="L3169">
            <v>0</v>
          </cell>
          <cell r="M3169">
            <v>0</v>
          </cell>
          <cell r="N3169">
            <v>0</v>
          </cell>
          <cell r="O3169">
            <v>0</v>
          </cell>
          <cell r="P3169">
            <v>0</v>
          </cell>
          <cell r="Q3169">
            <v>0</v>
          </cell>
          <cell r="R3169">
            <v>0</v>
          </cell>
          <cell r="S3169">
            <v>0</v>
          </cell>
          <cell r="T3169">
            <v>0</v>
          </cell>
          <cell r="U3169">
            <v>0</v>
          </cell>
          <cell r="V3169">
            <v>0</v>
          </cell>
          <cell r="W3169">
            <v>0</v>
          </cell>
        </row>
        <row r="3170">
          <cell r="A3170" t="str">
            <v>450197</v>
          </cell>
          <cell r="B3170" t="str">
            <v>1251</v>
          </cell>
          <cell r="C3170" t="str">
            <v>12</v>
          </cell>
          <cell r="D3170" t="str">
            <v>10</v>
          </cell>
          <cell r="E3170">
            <v>96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  <cell r="L3170">
            <v>0</v>
          </cell>
          <cell r="M3170">
            <v>0</v>
          </cell>
          <cell r="N3170">
            <v>0</v>
          </cell>
          <cell r="O3170">
            <v>0</v>
          </cell>
          <cell r="P3170">
            <v>0</v>
          </cell>
          <cell r="Q3170">
            <v>0</v>
          </cell>
          <cell r="R3170">
            <v>0</v>
          </cell>
          <cell r="S3170">
            <v>0</v>
          </cell>
          <cell r="T3170">
            <v>0</v>
          </cell>
          <cell r="U3170">
            <v>0</v>
          </cell>
          <cell r="V3170">
            <v>0</v>
          </cell>
          <cell r="W3170">
            <v>0</v>
          </cell>
        </row>
        <row r="3171">
          <cell r="A3171" t="str">
            <v>450197</v>
          </cell>
          <cell r="B3171" t="str">
            <v>1251</v>
          </cell>
          <cell r="C3171" t="str">
            <v>12</v>
          </cell>
          <cell r="D3171" t="str">
            <v>10</v>
          </cell>
          <cell r="E3171">
            <v>101</v>
          </cell>
          <cell r="G3171">
            <v>0</v>
          </cell>
          <cell r="H3171">
            <v>0</v>
          </cell>
          <cell r="I3171">
            <v>0</v>
          </cell>
          <cell r="J3171">
            <v>0</v>
          </cell>
          <cell r="K3171">
            <v>0</v>
          </cell>
          <cell r="L3171">
            <v>0</v>
          </cell>
          <cell r="M3171">
            <v>0</v>
          </cell>
          <cell r="N3171">
            <v>0</v>
          </cell>
          <cell r="O3171">
            <v>0</v>
          </cell>
          <cell r="P3171">
            <v>0</v>
          </cell>
          <cell r="Q3171">
            <v>0</v>
          </cell>
          <cell r="R3171">
            <v>0</v>
          </cell>
          <cell r="S3171">
            <v>0</v>
          </cell>
          <cell r="T3171">
            <v>0</v>
          </cell>
          <cell r="U3171">
            <v>0</v>
          </cell>
          <cell r="V3171">
            <v>0</v>
          </cell>
          <cell r="W3171">
            <v>0</v>
          </cell>
        </row>
        <row r="3172">
          <cell r="A3172" t="str">
            <v>450197</v>
          </cell>
          <cell r="B3172" t="str">
            <v>1251</v>
          </cell>
          <cell r="C3172" t="str">
            <v>12</v>
          </cell>
          <cell r="D3172" t="str">
            <v>10</v>
          </cell>
          <cell r="E3172">
            <v>106</v>
          </cell>
          <cell r="G3172">
            <v>0</v>
          </cell>
          <cell r="H3172">
            <v>0</v>
          </cell>
          <cell r="I3172">
            <v>0</v>
          </cell>
          <cell r="J3172">
            <v>0</v>
          </cell>
          <cell r="K3172">
            <v>0</v>
          </cell>
          <cell r="L3172">
            <v>0</v>
          </cell>
          <cell r="M3172">
            <v>0</v>
          </cell>
          <cell r="N3172">
            <v>0</v>
          </cell>
          <cell r="O3172">
            <v>0</v>
          </cell>
          <cell r="P3172">
            <v>0</v>
          </cell>
          <cell r="Q3172">
            <v>0</v>
          </cell>
          <cell r="R3172">
            <v>-77</v>
          </cell>
          <cell r="S3172">
            <v>0</v>
          </cell>
          <cell r="T3172">
            <v>0</v>
          </cell>
          <cell r="U3172">
            <v>0</v>
          </cell>
          <cell r="V3172">
            <v>0</v>
          </cell>
          <cell r="W3172">
            <v>0</v>
          </cell>
        </row>
        <row r="3173">
          <cell r="A3173" t="str">
            <v>450197</v>
          </cell>
          <cell r="B3173" t="str">
            <v>1251</v>
          </cell>
          <cell r="C3173" t="str">
            <v>12</v>
          </cell>
          <cell r="D3173" t="str">
            <v>10</v>
          </cell>
          <cell r="E3173">
            <v>111</v>
          </cell>
          <cell r="G3173">
            <v>0</v>
          </cell>
          <cell r="H3173">
            <v>0</v>
          </cell>
          <cell r="I3173">
            <v>-77</v>
          </cell>
          <cell r="J3173">
            <v>0</v>
          </cell>
          <cell r="K3173">
            <v>15239</v>
          </cell>
          <cell r="L3173">
            <v>15163</v>
          </cell>
          <cell r="M3173">
            <v>0</v>
          </cell>
          <cell r="N3173">
            <v>0</v>
          </cell>
          <cell r="O3173">
            <v>0</v>
          </cell>
          <cell r="P3173">
            <v>0</v>
          </cell>
          <cell r="Q3173">
            <v>0</v>
          </cell>
          <cell r="R3173">
            <v>0</v>
          </cell>
          <cell r="S3173">
            <v>0</v>
          </cell>
          <cell r="T3173">
            <v>0</v>
          </cell>
          <cell r="U3173">
            <v>0</v>
          </cell>
          <cell r="V3173">
            <v>0</v>
          </cell>
          <cell r="W3173">
            <v>0</v>
          </cell>
        </row>
        <row r="3174">
          <cell r="A3174" t="str">
            <v>450197</v>
          </cell>
          <cell r="B3174" t="str">
            <v>1251</v>
          </cell>
          <cell r="C3174" t="str">
            <v>12</v>
          </cell>
          <cell r="D3174" t="str">
            <v>21</v>
          </cell>
          <cell r="E3174">
            <v>1</v>
          </cell>
          <cell r="G3174">
            <v>551414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220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</row>
        <row r="3175">
          <cell r="A3175" t="str">
            <v>450197</v>
          </cell>
          <cell r="B3175" t="str">
            <v>1251</v>
          </cell>
          <cell r="C3175" t="str">
            <v>12</v>
          </cell>
          <cell r="D3175" t="str">
            <v>21</v>
          </cell>
          <cell r="E3175">
            <v>1</v>
          </cell>
          <cell r="G3175">
            <v>552312</v>
          </cell>
          <cell r="H3175">
            <v>15851</v>
          </cell>
          <cell r="I3175">
            <v>1645</v>
          </cell>
          <cell r="J3175">
            <v>125</v>
          </cell>
          <cell r="K3175">
            <v>17621</v>
          </cell>
          <cell r="L3175">
            <v>5709</v>
          </cell>
          <cell r="M3175">
            <v>29380</v>
          </cell>
          <cell r="N3175">
            <v>97</v>
          </cell>
          <cell r="O3175">
            <v>0</v>
          </cell>
          <cell r="P3175">
            <v>0</v>
          </cell>
          <cell r="Q3175">
            <v>0</v>
          </cell>
          <cell r="R3175">
            <v>0</v>
          </cell>
          <cell r="S3175">
            <v>0</v>
          </cell>
          <cell r="T3175">
            <v>0</v>
          </cell>
          <cell r="U3175">
            <v>0</v>
          </cell>
          <cell r="V3175">
            <v>0</v>
          </cell>
          <cell r="W3175">
            <v>0</v>
          </cell>
        </row>
        <row r="3176">
          <cell r="A3176" t="str">
            <v>450197</v>
          </cell>
          <cell r="B3176" t="str">
            <v>1251</v>
          </cell>
          <cell r="C3176" t="str">
            <v>12</v>
          </cell>
          <cell r="D3176" t="str">
            <v>21</v>
          </cell>
          <cell r="E3176">
            <v>1</v>
          </cell>
          <cell r="G3176">
            <v>552323</v>
          </cell>
          <cell r="H3176">
            <v>2124</v>
          </cell>
          <cell r="I3176">
            <v>227</v>
          </cell>
          <cell r="J3176">
            <v>0</v>
          </cell>
          <cell r="K3176">
            <v>2351</v>
          </cell>
          <cell r="L3176">
            <v>788</v>
          </cell>
          <cell r="M3176">
            <v>9112</v>
          </cell>
          <cell r="N3176">
            <v>0</v>
          </cell>
          <cell r="O3176">
            <v>0</v>
          </cell>
          <cell r="P3176">
            <v>0</v>
          </cell>
          <cell r="Q3176">
            <v>0</v>
          </cell>
          <cell r="R3176">
            <v>0</v>
          </cell>
          <cell r="S3176">
            <v>0</v>
          </cell>
          <cell r="T3176">
            <v>0</v>
          </cell>
          <cell r="U3176">
            <v>0</v>
          </cell>
          <cell r="V3176">
            <v>0</v>
          </cell>
          <cell r="W3176">
            <v>0</v>
          </cell>
        </row>
        <row r="3177">
          <cell r="A3177" t="str">
            <v>450197</v>
          </cell>
          <cell r="B3177" t="str">
            <v>1251</v>
          </cell>
          <cell r="C3177" t="str">
            <v>12</v>
          </cell>
          <cell r="D3177" t="str">
            <v>21</v>
          </cell>
          <cell r="E3177">
            <v>1</v>
          </cell>
          <cell r="G3177">
            <v>552411</v>
          </cell>
          <cell r="H3177">
            <v>0</v>
          </cell>
          <cell r="I3177">
            <v>0</v>
          </cell>
          <cell r="J3177">
            <v>0</v>
          </cell>
          <cell r="K3177">
            <v>0</v>
          </cell>
          <cell r="L3177">
            <v>0</v>
          </cell>
          <cell r="M3177">
            <v>8454</v>
          </cell>
          <cell r="N3177">
            <v>0</v>
          </cell>
          <cell r="O3177">
            <v>0</v>
          </cell>
          <cell r="P3177">
            <v>0</v>
          </cell>
          <cell r="Q3177">
            <v>0</v>
          </cell>
          <cell r="R3177">
            <v>0</v>
          </cell>
          <cell r="S3177">
            <v>0</v>
          </cell>
          <cell r="T3177">
            <v>0</v>
          </cell>
          <cell r="U3177">
            <v>0</v>
          </cell>
          <cell r="V3177">
            <v>0</v>
          </cell>
          <cell r="W3177">
            <v>0</v>
          </cell>
        </row>
        <row r="3178">
          <cell r="A3178" t="str">
            <v>450197</v>
          </cell>
          <cell r="B3178" t="str">
            <v>1251</v>
          </cell>
          <cell r="C3178" t="str">
            <v>12</v>
          </cell>
          <cell r="D3178" t="str">
            <v>21</v>
          </cell>
          <cell r="E3178">
            <v>1</v>
          </cell>
          <cell r="G3178">
            <v>701015</v>
          </cell>
          <cell r="H3178">
            <v>0</v>
          </cell>
          <cell r="I3178">
            <v>0</v>
          </cell>
          <cell r="J3178">
            <v>0</v>
          </cell>
          <cell r="K3178">
            <v>0</v>
          </cell>
          <cell r="L3178">
            <v>0</v>
          </cell>
          <cell r="M3178">
            <v>1807</v>
          </cell>
          <cell r="N3178">
            <v>0</v>
          </cell>
          <cell r="O3178">
            <v>0</v>
          </cell>
          <cell r="P3178">
            <v>0</v>
          </cell>
          <cell r="Q3178">
            <v>0</v>
          </cell>
          <cell r="R3178">
            <v>0</v>
          </cell>
          <cell r="S3178">
            <v>0</v>
          </cell>
          <cell r="T3178">
            <v>0</v>
          </cell>
          <cell r="U3178">
            <v>0</v>
          </cell>
          <cell r="V3178">
            <v>0</v>
          </cell>
          <cell r="W3178">
            <v>0</v>
          </cell>
        </row>
        <row r="3179">
          <cell r="A3179" t="str">
            <v>450197</v>
          </cell>
          <cell r="B3179" t="str">
            <v>1251</v>
          </cell>
          <cell r="C3179" t="str">
            <v>12</v>
          </cell>
          <cell r="D3179" t="str">
            <v>21</v>
          </cell>
          <cell r="E3179">
            <v>1</v>
          </cell>
          <cell r="G3179">
            <v>751757</v>
          </cell>
          <cell r="H3179">
            <v>42629</v>
          </cell>
          <cell r="I3179">
            <v>4565</v>
          </cell>
          <cell r="J3179">
            <v>1649</v>
          </cell>
          <cell r="K3179">
            <v>48843</v>
          </cell>
          <cell r="L3179">
            <v>16173</v>
          </cell>
          <cell r="M3179">
            <v>26003</v>
          </cell>
          <cell r="N3179">
            <v>3042</v>
          </cell>
          <cell r="O3179">
            <v>0</v>
          </cell>
          <cell r="P3179">
            <v>0</v>
          </cell>
          <cell r="Q3179">
            <v>0</v>
          </cell>
          <cell r="R3179">
            <v>0</v>
          </cell>
          <cell r="S3179">
            <v>0</v>
          </cell>
          <cell r="T3179">
            <v>0</v>
          </cell>
          <cell r="U3179">
            <v>0</v>
          </cell>
          <cell r="V3179">
            <v>0</v>
          </cell>
          <cell r="W3179">
            <v>0</v>
          </cell>
        </row>
        <row r="3180">
          <cell r="A3180" t="str">
            <v>450197</v>
          </cell>
          <cell r="B3180" t="str">
            <v>1251</v>
          </cell>
          <cell r="C3180" t="str">
            <v>12</v>
          </cell>
          <cell r="D3180" t="str">
            <v>21</v>
          </cell>
          <cell r="E3180">
            <v>1</v>
          </cell>
          <cell r="G3180">
            <v>751768</v>
          </cell>
          <cell r="H3180">
            <v>29285</v>
          </cell>
          <cell r="I3180">
            <v>5254</v>
          </cell>
          <cell r="J3180">
            <v>417</v>
          </cell>
          <cell r="K3180">
            <v>34956</v>
          </cell>
          <cell r="L3180">
            <v>11691</v>
          </cell>
          <cell r="M3180">
            <v>88810</v>
          </cell>
          <cell r="N3180">
            <v>317</v>
          </cell>
          <cell r="O3180">
            <v>0</v>
          </cell>
          <cell r="P3180">
            <v>0</v>
          </cell>
          <cell r="Q3180">
            <v>0</v>
          </cell>
          <cell r="R3180">
            <v>0</v>
          </cell>
          <cell r="S3180">
            <v>0</v>
          </cell>
          <cell r="T3180">
            <v>0</v>
          </cell>
          <cell r="U3180">
            <v>0</v>
          </cell>
          <cell r="V3180">
            <v>0</v>
          </cell>
          <cell r="W3180">
            <v>0</v>
          </cell>
        </row>
        <row r="3181">
          <cell r="A3181" t="str">
            <v>450197</v>
          </cell>
          <cell r="B3181" t="str">
            <v>1251</v>
          </cell>
          <cell r="C3181" t="str">
            <v>12</v>
          </cell>
          <cell r="D3181" t="str">
            <v>21</v>
          </cell>
          <cell r="E3181">
            <v>1</v>
          </cell>
          <cell r="G3181">
            <v>751845</v>
          </cell>
          <cell r="H3181">
            <v>0</v>
          </cell>
          <cell r="I3181">
            <v>0</v>
          </cell>
          <cell r="J3181">
            <v>0</v>
          </cell>
          <cell r="K3181">
            <v>0</v>
          </cell>
          <cell r="L3181">
            <v>0</v>
          </cell>
          <cell r="M3181">
            <v>1383</v>
          </cell>
          <cell r="N3181">
            <v>0</v>
          </cell>
          <cell r="O3181">
            <v>0</v>
          </cell>
          <cell r="P3181">
            <v>0</v>
          </cell>
          <cell r="Q3181">
            <v>0</v>
          </cell>
          <cell r="R3181">
            <v>0</v>
          </cell>
          <cell r="S3181">
            <v>0</v>
          </cell>
          <cell r="T3181">
            <v>0</v>
          </cell>
          <cell r="U3181">
            <v>0</v>
          </cell>
          <cell r="V3181">
            <v>0</v>
          </cell>
          <cell r="W3181">
            <v>0</v>
          </cell>
        </row>
        <row r="3182">
          <cell r="A3182" t="str">
            <v>450197</v>
          </cell>
          <cell r="B3182" t="str">
            <v>1251</v>
          </cell>
          <cell r="C3182" t="str">
            <v>12</v>
          </cell>
          <cell r="D3182" t="str">
            <v>21</v>
          </cell>
          <cell r="E3182">
            <v>1</v>
          </cell>
          <cell r="G3182">
            <v>801115</v>
          </cell>
          <cell r="H3182">
            <v>160155</v>
          </cell>
          <cell r="I3182">
            <v>27409</v>
          </cell>
          <cell r="J3182">
            <v>8312</v>
          </cell>
          <cell r="K3182">
            <v>195876</v>
          </cell>
          <cell r="L3182">
            <v>64337</v>
          </cell>
          <cell r="M3182">
            <v>6356</v>
          </cell>
          <cell r="N3182">
            <v>755</v>
          </cell>
          <cell r="O3182">
            <v>0</v>
          </cell>
          <cell r="P3182">
            <v>0</v>
          </cell>
          <cell r="Q3182">
            <v>0</v>
          </cell>
          <cell r="R3182">
            <v>0</v>
          </cell>
          <cell r="S3182">
            <v>0</v>
          </cell>
          <cell r="T3182">
            <v>0</v>
          </cell>
          <cell r="U3182">
            <v>0</v>
          </cell>
          <cell r="V3182">
            <v>0</v>
          </cell>
          <cell r="W3182">
            <v>0</v>
          </cell>
        </row>
        <row r="3183">
          <cell r="A3183" t="str">
            <v>450197</v>
          </cell>
          <cell r="B3183" t="str">
            <v>1251</v>
          </cell>
          <cell r="C3183" t="str">
            <v>12</v>
          </cell>
          <cell r="D3183" t="str">
            <v>21</v>
          </cell>
          <cell r="E3183">
            <v>1</v>
          </cell>
          <cell r="G3183">
            <v>801214</v>
          </cell>
          <cell r="H3183">
            <v>253971</v>
          </cell>
          <cell r="I3183">
            <v>40747</v>
          </cell>
          <cell r="J3183">
            <v>2940</v>
          </cell>
          <cell r="K3183">
            <v>297658</v>
          </cell>
          <cell r="L3183">
            <v>96505</v>
          </cell>
          <cell r="M3183">
            <v>19167</v>
          </cell>
          <cell r="N3183">
            <v>1367</v>
          </cell>
          <cell r="O3183">
            <v>0</v>
          </cell>
          <cell r="P3183">
            <v>0</v>
          </cell>
          <cell r="Q3183">
            <v>0</v>
          </cell>
          <cell r="R3183">
            <v>0</v>
          </cell>
          <cell r="S3183">
            <v>0</v>
          </cell>
          <cell r="T3183">
            <v>0</v>
          </cell>
          <cell r="U3183">
            <v>0</v>
          </cell>
          <cell r="V3183">
            <v>0</v>
          </cell>
          <cell r="W3183">
            <v>0</v>
          </cell>
        </row>
        <row r="3184">
          <cell r="A3184" t="str">
            <v>450197</v>
          </cell>
          <cell r="B3184" t="str">
            <v>1251</v>
          </cell>
          <cell r="C3184" t="str">
            <v>12</v>
          </cell>
          <cell r="D3184" t="str">
            <v>21</v>
          </cell>
          <cell r="E3184">
            <v>1</v>
          </cell>
          <cell r="G3184">
            <v>801236</v>
          </cell>
          <cell r="H3184">
            <v>2357</v>
          </cell>
          <cell r="I3184">
            <v>557</v>
          </cell>
          <cell r="J3184">
            <v>1188</v>
          </cell>
          <cell r="K3184">
            <v>4102</v>
          </cell>
          <cell r="L3184">
            <v>1203</v>
          </cell>
          <cell r="M3184">
            <v>0</v>
          </cell>
          <cell r="N3184">
            <v>0</v>
          </cell>
          <cell r="O3184">
            <v>0</v>
          </cell>
          <cell r="P3184">
            <v>0</v>
          </cell>
          <cell r="Q3184">
            <v>0</v>
          </cell>
          <cell r="R3184">
            <v>0</v>
          </cell>
          <cell r="S3184">
            <v>0</v>
          </cell>
          <cell r="T3184">
            <v>0</v>
          </cell>
          <cell r="U3184">
            <v>0</v>
          </cell>
          <cell r="V3184">
            <v>0</v>
          </cell>
          <cell r="W3184">
            <v>0</v>
          </cell>
        </row>
        <row r="3185">
          <cell r="A3185" t="str">
            <v>450197</v>
          </cell>
          <cell r="B3185" t="str">
            <v>1251</v>
          </cell>
          <cell r="C3185" t="str">
            <v>12</v>
          </cell>
          <cell r="D3185" t="str">
            <v>21</v>
          </cell>
          <cell r="E3185">
            <v>1</v>
          </cell>
          <cell r="G3185">
            <v>802144</v>
          </cell>
          <cell r="H3185">
            <v>60937</v>
          </cell>
          <cell r="I3185">
            <v>18015</v>
          </cell>
          <cell r="J3185">
            <v>4115</v>
          </cell>
          <cell r="K3185">
            <v>83067</v>
          </cell>
          <cell r="L3185">
            <v>26320</v>
          </cell>
          <cell r="M3185">
            <v>6576</v>
          </cell>
          <cell r="N3185">
            <v>347</v>
          </cell>
          <cell r="O3185">
            <v>0</v>
          </cell>
          <cell r="P3185">
            <v>0</v>
          </cell>
          <cell r="Q3185">
            <v>0</v>
          </cell>
          <cell r="R3185">
            <v>0</v>
          </cell>
          <cell r="S3185">
            <v>0</v>
          </cell>
          <cell r="T3185">
            <v>0</v>
          </cell>
          <cell r="U3185">
            <v>0</v>
          </cell>
          <cell r="V3185">
            <v>0</v>
          </cell>
          <cell r="W3185">
            <v>0</v>
          </cell>
        </row>
        <row r="3186">
          <cell r="A3186" t="str">
            <v>450197</v>
          </cell>
          <cell r="B3186" t="str">
            <v>1251</v>
          </cell>
          <cell r="C3186" t="str">
            <v>12</v>
          </cell>
          <cell r="D3186" t="str">
            <v>21</v>
          </cell>
          <cell r="E3186">
            <v>1</v>
          </cell>
          <cell r="G3186">
            <v>802166</v>
          </cell>
          <cell r="H3186">
            <v>22169</v>
          </cell>
          <cell r="I3186">
            <v>5060</v>
          </cell>
          <cell r="J3186">
            <v>4832</v>
          </cell>
          <cell r="K3186">
            <v>32061</v>
          </cell>
          <cell r="L3186">
            <v>10028</v>
          </cell>
          <cell r="M3186">
            <v>12976</v>
          </cell>
          <cell r="N3186">
            <v>1</v>
          </cell>
          <cell r="O3186">
            <v>0</v>
          </cell>
          <cell r="P3186">
            <v>0</v>
          </cell>
          <cell r="Q3186">
            <v>0</v>
          </cell>
          <cell r="R3186">
            <v>0</v>
          </cell>
          <cell r="S3186">
            <v>0</v>
          </cell>
          <cell r="T3186">
            <v>0</v>
          </cell>
          <cell r="U3186">
            <v>0</v>
          </cell>
          <cell r="V3186">
            <v>0</v>
          </cell>
          <cell r="W3186">
            <v>0</v>
          </cell>
        </row>
        <row r="3187">
          <cell r="A3187" t="str">
            <v>450197</v>
          </cell>
          <cell r="B3187" t="str">
            <v>1251</v>
          </cell>
          <cell r="C3187" t="str">
            <v>12</v>
          </cell>
          <cell r="D3187" t="str">
            <v>21</v>
          </cell>
          <cell r="E3187">
            <v>1</v>
          </cell>
          <cell r="G3187">
            <v>802177</v>
          </cell>
          <cell r="H3187">
            <v>17420</v>
          </cell>
          <cell r="I3187">
            <v>6571</v>
          </cell>
          <cell r="J3187">
            <v>3060</v>
          </cell>
          <cell r="K3187">
            <v>27051</v>
          </cell>
          <cell r="L3187">
            <v>8678</v>
          </cell>
          <cell r="M3187">
            <v>1445</v>
          </cell>
          <cell r="N3187">
            <v>47</v>
          </cell>
          <cell r="O3187">
            <v>0</v>
          </cell>
          <cell r="P3187">
            <v>0</v>
          </cell>
          <cell r="Q3187">
            <v>0</v>
          </cell>
          <cell r="R3187">
            <v>0</v>
          </cell>
          <cell r="S3187">
            <v>0</v>
          </cell>
          <cell r="T3187">
            <v>0</v>
          </cell>
          <cell r="U3187">
            <v>0</v>
          </cell>
          <cell r="V3187">
            <v>0</v>
          </cell>
          <cell r="W3187">
            <v>0</v>
          </cell>
        </row>
        <row r="3188">
          <cell r="A3188" t="str">
            <v>450197</v>
          </cell>
          <cell r="B3188" t="str">
            <v>1251</v>
          </cell>
          <cell r="C3188" t="str">
            <v>12</v>
          </cell>
          <cell r="D3188" t="str">
            <v>21</v>
          </cell>
          <cell r="E3188">
            <v>1</v>
          </cell>
          <cell r="G3188">
            <v>802199</v>
          </cell>
          <cell r="H3188">
            <v>0</v>
          </cell>
          <cell r="I3188">
            <v>0</v>
          </cell>
          <cell r="J3188">
            <v>0</v>
          </cell>
          <cell r="K3188">
            <v>0</v>
          </cell>
          <cell r="L3188">
            <v>0</v>
          </cell>
          <cell r="M3188">
            <v>693</v>
          </cell>
          <cell r="N3188">
            <v>0</v>
          </cell>
          <cell r="O3188">
            <v>0</v>
          </cell>
          <cell r="P3188">
            <v>0</v>
          </cell>
          <cell r="Q3188">
            <v>0</v>
          </cell>
          <cell r="R3188">
            <v>0</v>
          </cell>
          <cell r="S3188">
            <v>0</v>
          </cell>
          <cell r="T3188">
            <v>0</v>
          </cell>
          <cell r="U3188">
            <v>0</v>
          </cell>
          <cell r="V3188">
            <v>0</v>
          </cell>
          <cell r="W3188">
            <v>0</v>
          </cell>
        </row>
        <row r="3189">
          <cell r="A3189" t="str">
            <v>450197</v>
          </cell>
          <cell r="B3189" t="str">
            <v>1251</v>
          </cell>
          <cell r="C3189" t="str">
            <v>12</v>
          </cell>
          <cell r="D3189" t="str">
            <v>21</v>
          </cell>
          <cell r="E3189">
            <v>1</v>
          </cell>
          <cell r="G3189">
            <v>802263</v>
          </cell>
          <cell r="H3189">
            <v>0</v>
          </cell>
          <cell r="I3189">
            <v>0</v>
          </cell>
          <cell r="J3189">
            <v>320</v>
          </cell>
          <cell r="K3189">
            <v>320</v>
          </cell>
          <cell r="L3189">
            <v>80</v>
          </cell>
          <cell r="M3189">
            <v>7359</v>
          </cell>
          <cell r="N3189">
            <v>27</v>
          </cell>
          <cell r="O3189">
            <v>0</v>
          </cell>
          <cell r="P3189">
            <v>0</v>
          </cell>
          <cell r="Q3189">
            <v>0</v>
          </cell>
          <cell r="R3189">
            <v>0</v>
          </cell>
          <cell r="S3189">
            <v>5307</v>
          </cell>
          <cell r="T3189">
            <v>0</v>
          </cell>
          <cell r="U3189">
            <v>5307</v>
          </cell>
          <cell r="V3189">
            <v>0</v>
          </cell>
          <cell r="W3189">
            <v>0</v>
          </cell>
        </row>
        <row r="3190">
          <cell r="A3190" t="str">
            <v>450197</v>
          </cell>
          <cell r="B3190" t="str">
            <v>1251</v>
          </cell>
          <cell r="C3190" t="str">
            <v>12</v>
          </cell>
          <cell r="D3190" t="str">
            <v>21</v>
          </cell>
          <cell r="E3190">
            <v>1</v>
          </cell>
          <cell r="G3190">
            <v>804028</v>
          </cell>
          <cell r="H3190">
            <v>0</v>
          </cell>
          <cell r="I3190">
            <v>0</v>
          </cell>
          <cell r="J3190">
            <v>1144</v>
          </cell>
          <cell r="K3190">
            <v>1144</v>
          </cell>
          <cell r="L3190">
            <v>299</v>
          </cell>
          <cell r="M3190">
            <v>1158</v>
          </cell>
          <cell r="N3190">
            <v>0</v>
          </cell>
          <cell r="O3190">
            <v>0</v>
          </cell>
          <cell r="P3190">
            <v>0</v>
          </cell>
          <cell r="Q3190">
            <v>0</v>
          </cell>
          <cell r="R3190">
            <v>0</v>
          </cell>
          <cell r="S3190">
            <v>0</v>
          </cell>
          <cell r="T3190">
            <v>0</v>
          </cell>
          <cell r="U3190">
            <v>0</v>
          </cell>
          <cell r="V3190">
            <v>0</v>
          </cell>
          <cell r="W3190">
            <v>0</v>
          </cell>
        </row>
        <row r="3191">
          <cell r="A3191" t="str">
            <v>450197</v>
          </cell>
          <cell r="B3191" t="str">
            <v>1251</v>
          </cell>
          <cell r="C3191" t="str">
            <v>12</v>
          </cell>
          <cell r="D3191" t="str">
            <v>21</v>
          </cell>
          <cell r="E3191">
            <v>1</v>
          </cell>
          <cell r="G3191">
            <v>805113</v>
          </cell>
          <cell r="H3191">
            <v>57482</v>
          </cell>
          <cell r="I3191">
            <v>6854</v>
          </cell>
          <cell r="J3191">
            <v>30</v>
          </cell>
          <cell r="K3191">
            <v>64366</v>
          </cell>
          <cell r="L3191">
            <v>20737</v>
          </cell>
          <cell r="M3191">
            <v>41</v>
          </cell>
          <cell r="N3191">
            <v>0</v>
          </cell>
          <cell r="O3191">
            <v>0</v>
          </cell>
          <cell r="P3191">
            <v>0</v>
          </cell>
          <cell r="Q3191">
            <v>0</v>
          </cell>
          <cell r="R3191">
            <v>0</v>
          </cell>
          <cell r="S3191">
            <v>0</v>
          </cell>
          <cell r="T3191">
            <v>0</v>
          </cell>
          <cell r="U3191">
            <v>0</v>
          </cell>
          <cell r="V3191">
            <v>0</v>
          </cell>
          <cell r="W3191">
            <v>0</v>
          </cell>
        </row>
        <row r="3192">
          <cell r="A3192" t="str">
            <v>450197</v>
          </cell>
          <cell r="B3192" t="str">
            <v>1251</v>
          </cell>
          <cell r="C3192" t="str">
            <v>12</v>
          </cell>
          <cell r="D3192" t="str">
            <v>21</v>
          </cell>
          <cell r="E3192">
            <v>1</v>
          </cell>
          <cell r="G3192">
            <v>851297</v>
          </cell>
          <cell r="H3192">
            <v>18859</v>
          </cell>
          <cell r="I3192">
            <v>2087</v>
          </cell>
          <cell r="J3192">
            <v>0</v>
          </cell>
          <cell r="K3192">
            <v>20946</v>
          </cell>
          <cell r="L3192">
            <v>6910</v>
          </cell>
          <cell r="M3192">
            <v>3229</v>
          </cell>
          <cell r="N3192">
            <v>117</v>
          </cell>
          <cell r="O3192">
            <v>0</v>
          </cell>
          <cell r="P3192">
            <v>0</v>
          </cell>
          <cell r="Q3192">
            <v>0</v>
          </cell>
          <cell r="R3192">
            <v>0</v>
          </cell>
          <cell r="S3192">
            <v>0</v>
          </cell>
          <cell r="T3192">
            <v>0</v>
          </cell>
          <cell r="U3192">
            <v>0</v>
          </cell>
          <cell r="V3192">
            <v>0</v>
          </cell>
          <cell r="W3192">
            <v>0</v>
          </cell>
        </row>
        <row r="3193">
          <cell r="A3193" t="str">
            <v>450197</v>
          </cell>
          <cell r="B3193" t="str">
            <v>1251</v>
          </cell>
          <cell r="C3193" t="str">
            <v>12</v>
          </cell>
          <cell r="D3193" t="str">
            <v>21</v>
          </cell>
          <cell r="E3193">
            <v>1</v>
          </cell>
          <cell r="G3193">
            <v>851912</v>
          </cell>
          <cell r="H3193">
            <v>8635</v>
          </cell>
          <cell r="I3193">
            <v>217</v>
          </cell>
          <cell r="J3193">
            <v>461</v>
          </cell>
          <cell r="K3193">
            <v>9313</v>
          </cell>
          <cell r="L3193">
            <v>3004</v>
          </cell>
          <cell r="M3193">
            <v>238</v>
          </cell>
          <cell r="N3193">
            <v>0</v>
          </cell>
          <cell r="O3193">
            <v>0</v>
          </cell>
          <cell r="P3193">
            <v>0</v>
          </cell>
          <cell r="Q3193">
            <v>0</v>
          </cell>
          <cell r="R3193">
            <v>0</v>
          </cell>
          <cell r="S3193">
            <v>0</v>
          </cell>
          <cell r="T3193">
            <v>0</v>
          </cell>
          <cell r="U3193">
            <v>0</v>
          </cell>
          <cell r="V3193">
            <v>0</v>
          </cell>
          <cell r="W3193">
            <v>0</v>
          </cell>
        </row>
        <row r="3194">
          <cell r="A3194" t="str">
            <v>450197</v>
          </cell>
          <cell r="B3194" t="str">
            <v>1251</v>
          </cell>
          <cell r="C3194" t="str">
            <v>12</v>
          </cell>
          <cell r="D3194" t="str">
            <v>21</v>
          </cell>
          <cell r="E3194">
            <v>1</v>
          </cell>
          <cell r="G3194">
            <v>853211</v>
          </cell>
          <cell r="H3194">
            <v>24309</v>
          </cell>
          <cell r="I3194">
            <v>1877</v>
          </cell>
          <cell r="J3194">
            <v>14</v>
          </cell>
          <cell r="K3194">
            <v>26200</v>
          </cell>
          <cell r="L3194">
            <v>8651</v>
          </cell>
          <cell r="M3194">
            <v>7406</v>
          </cell>
          <cell r="N3194">
            <v>4</v>
          </cell>
          <cell r="O3194">
            <v>0</v>
          </cell>
          <cell r="P3194">
            <v>0</v>
          </cell>
          <cell r="Q3194">
            <v>0</v>
          </cell>
          <cell r="R3194">
            <v>0</v>
          </cell>
          <cell r="S3194">
            <v>0</v>
          </cell>
          <cell r="T3194">
            <v>0</v>
          </cell>
          <cell r="U3194">
            <v>0</v>
          </cell>
          <cell r="V3194">
            <v>0</v>
          </cell>
          <cell r="W3194">
            <v>0</v>
          </cell>
        </row>
        <row r="3195">
          <cell r="A3195" t="str">
            <v>450197</v>
          </cell>
          <cell r="B3195" t="str">
            <v>1251</v>
          </cell>
          <cell r="C3195" t="str">
            <v>12</v>
          </cell>
          <cell r="D3195" t="str">
            <v>21</v>
          </cell>
          <cell r="E3195">
            <v>1</v>
          </cell>
          <cell r="G3195">
            <v>853244</v>
          </cell>
          <cell r="H3195">
            <v>10434</v>
          </cell>
          <cell r="I3195">
            <v>799</v>
          </cell>
          <cell r="J3195">
            <v>960</v>
          </cell>
          <cell r="K3195">
            <v>12193</v>
          </cell>
          <cell r="L3195">
            <v>3934</v>
          </cell>
          <cell r="M3195">
            <v>2514</v>
          </cell>
          <cell r="N3195">
            <v>3</v>
          </cell>
          <cell r="O3195">
            <v>0</v>
          </cell>
          <cell r="P3195">
            <v>0</v>
          </cell>
          <cell r="Q3195">
            <v>0</v>
          </cell>
          <cell r="R3195">
            <v>0</v>
          </cell>
          <cell r="S3195">
            <v>0</v>
          </cell>
          <cell r="T3195">
            <v>0</v>
          </cell>
          <cell r="U3195">
            <v>0</v>
          </cell>
          <cell r="V3195">
            <v>0</v>
          </cell>
          <cell r="W3195">
            <v>0</v>
          </cell>
        </row>
        <row r="3196">
          <cell r="A3196" t="str">
            <v>450197</v>
          </cell>
          <cell r="B3196" t="str">
            <v>1251</v>
          </cell>
          <cell r="C3196" t="str">
            <v>12</v>
          </cell>
          <cell r="D3196" t="str">
            <v>21</v>
          </cell>
          <cell r="E3196">
            <v>1</v>
          </cell>
          <cell r="G3196">
            <v>921815</v>
          </cell>
          <cell r="H3196">
            <v>20912</v>
          </cell>
          <cell r="I3196">
            <v>3090</v>
          </cell>
          <cell r="J3196">
            <v>872</v>
          </cell>
          <cell r="K3196">
            <v>24874</v>
          </cell>
          <cell r="L3196">
            <v>8054</v>
          </cell>
          <cell r="M3196">
            <v>19180</v>
          </cell>
          <cell r="N3196">
            <v>285</v>
          </cell>
          <cell r="O3196">
            <v>0</v>
          </cell>
          <cell r="P3196">
            <v>0</v>
          </cell>
          <cell r="Q3196">
            <v>0</v>
          </cell>
          <cell r="R3196">
            <v>0</v>
          </cell>
          <cell r="S3196">
            <v>0</v>
          </cell>
          <cell r="T3196">
            <v>0</v>
          </cell>
          <cell r="U3196">
            <v>0</v>
          </cell>
          <cell r="V3196">
            <v>0</v>
          </cell>
          <cell r="W3196">
            <v>0</v>
          </cell>
        </row>
        <row r="3197">
          <cell r="A3197" t="str">
            <v>450197</v>
          </cell>
          <cell r="B3197" t="str">
            <v>1251</v>
          </cell>
          <cell r="C3197" t="str">
            <v>12</v>
          </cell>
          <cell r="D3197" t="str">
            <v>21</v>
          </cell>
          <cell r="E3197">
            <v>1</v>
          </cell>
          <cell r="G3197">
            <v>923127</v>
          </cell>
          <cell r="H3197">
            <v>38048</v>
          </cell>
          <cell r="I3197">
            <v>2880</v>
          </cell>
          <cell r="J3197">
            <v>4023</v>
          </cell>
          <cell r="K3197">
            <v>44951</v>
          </cell>
          <cell r="L3197">
            <v>14397</v>
          </cell>
          <cell r="M3197">
            <v>12392</v>
          </cell>
          <cell r="N3197">
            <v>79</v>
          </cell>
          <cell r="O3197">
            <v>0</v>
          </cell>
          <cell r="P3197">
            <v>0</v>
          </cell>
          <cell r="Q3197">
            <v>0</v>
          </cell>
          <cell r="R3197">
            <v>0</v>
          </cell>
          <cell r="S3197">
            <v>0</v>
          </cell>
          <cell r="T3197">
            <v>0</v>
          </cell>
          <cell r="U3197">
            <v>0</v>
          </cell>
          <cell r="V3197">
            <v>0</v>
          </cell>
          <cell r="W3197">
            <v>0</v>
          </cell>
        </row>
        <row r="3198">
          <cell r="A3198" t="str">
            <v>450197</v>
          </cell>
          <cell r="B3198" t="str">
            <v>1251</v>
          </cell>
          <cell r="C3198" t="str">
            <v>12</v>
          </cell>
          <cell r="D3198" t="str">
            <v>21</v>
          </cell>
          <cell r="E3198">
            <v>1</v>
          </cell>
          <cell r="G3198">
            <v>924014</v>
          </cell>
          <cell r="H3198">
            <v>15939</v>
          </cell>
          <cell r="I3198">
            <v>1013</v>
          </cell>
          <cell r="J3198">
            <v>116</v>
          </cell>
          <cell r="K3198">
            <v>17068</v>
          </cell>
          <cell r="L3198">
            <v>5616</v>
          </cell>
          <cell r="M3198">
            <v>17788</v>
          </cell>
          <cell r="N3198">
            <v>381</v>
          </cell>
          <cell r="O3198">
            <v>0</v>
          </cell>
          <cell r="P3198">
            <v>0</v>
          </cell>
          <cell r="Q3198">
            <v>0</v>
          </cell>
          <cell r="R3198">
            <v>0</v>
          </cell>
          <cell r="S3198">
            <v>0</v>
          </cell>
          <cell r="T3198">
            <v>0</v>
          </cell>
          <cell r="U3198">
            <v>0</v>
          </cell>
          <cell r="V3198">
            <v>0</v>
          </cell>
          <cell r="W3198">
            <v>0</v>
          </cell>
        </row>
        <row r="3199">
          <cell r="A3199" t="str">
            <v>450197</v>
          </cell>
          <cell r="B3199" t="str">
            <v>1251</v>
          </cell>
          <cell r="C3199" t="str">
            <v>12</v>
          </cell>
          <cell r="D3199" t="str">
            <v>21</v>
          </cell>
          <cell r="E3199">
            <v>1</v>
          </cell>
          <cell r="G3199">
            <v>926018</v>
          </cell>
          <cell r="H3199">
            <v>864</v>
          </cell>
          <cell r="I3199">
            <v>81</v>
          </cell>
          <cell r="J3199">
            <v>39</v>
          </cell>
          <cell r="K3199">
            <v>984</v>
          </cell>
          <cell r="L3199">
            <v>326</v>
          </cell>
          <cell r="M3199">
            <v>892</v>
          </cell>
          <cell r="N3199">
            <v>159</v>
          </cell>
          <cell r="O3199">
            <v>0</v>
          </cell>
          <cell r="P3199">
            <v>0</v>
          </cell>
          <cell r="Q3199">
            <v>0</v>
          </cell>
          <cell r="R3199">
            <v>0</v>
          </cell>
          <cell r="S3199">
            <v>0</v>
          </cell>
          <cell r="T3199">
            <v>0</v>
          </cell>
          <cell r="U3199">
            <v>0</v>
          </cell>
          <cell r="V3199">
            <v>0</v>
          </cell>
          <cell r="W3199">
            <v>0</v>
          </cell>
        </row>
        <row r="3200">
          <cell r="A3200" t="str">
            <v>450197</v>
          </cell>
          <cell r="B3200" t="str">
            <v>1251</v>
          </cell>
          <cell r="C3200" t="str">
            <v>12</v>
          </cell>
          <cell r="D3200" t="str">
            <v>21</v>
          </cell>
          <cell r="E3200">
            <v>1</v>
          </cell>
          <cell r="G3200">
            <v>930910</v>
          </cell>
          <cell r="H3200">
            <v>1378</v>
          </cell>
          <cell r="I3200">
            <v>62</v>
          </cell>
          <cell r="J3200">
            <v>0</v>
          </cell>
          <cell r="K3200">
            <v>1440</v>
          </cell>
          <cell r="L3200">
            <v>477</v>
          </cell>
          <cell r="M3200">
            <v>4631</v>
          </cell>
          <cell r="N3200">
            <v>0</v>
          </cell>
          <cell r="O3200">
            <v>0</v>
          </cell>
          <cell r="P3200">
            <v>0</v>
          </cell>
          <cell r="Q3200">
            <v>0</v>
          </cell>
          <cell r="R3200">
            <v>0</v>
          </cell>
          <cell r="S3200">
            <v>0</v>
          </cell>
          <cell r="T3200">
            <v>0</v>
          </cell>
          <cell r="U3200">
            <v>0</v>
          </cell>
          <cell r="V3200">
            <v>0</v>
          </cell>
          <cell r="W3200">
            <v>0</v>
          </cell>
        </row>
        <row r="3201">
          <cell r="A3201" t="str">
            <v>450197</v>
          </cell>
          <cell r="B3201" t="str">
            <v>1251</v>
          </cell>
          <cell r="C3201" t="str">
            <v>12</v>
          </cell>
          <cell r="D3201" t="str">
            <v>21</v>
          </cell>
          <cell r="E3201">
            <v>1</v>
          </cell>
          <cell r="G3201">
            <v>999999</v>
          </cell>
          <cell r="H3201">
            <v>803758</v>
          </cell>
          <cell r="I3201">
            <v>129010</v>
          </cell>
          <cell r="J3201">
            <v>34617</v>
          </cell>
          <cell r="K3201">
            <v>967385</v>
          </cell>
          <cell r="L3201">
            <v>313917</v>
          </cell>
          <cell r="M3201">
            <v>289210</v>
          </cell>
          <cell r="N3201">
            <v>7028</v>
          </cell>
          <cell r="O3201">
            <v>0</v>
          </cell>
          <cell r="P3201">
            <v>0</v>
          </cell>
          <cell r="Q3201">
            <v>0</v>
          </cell>
          <cell r="R3201">
            <v>0</v>
          </cell>
          <cell r="S3201">
            <v>5307</v>
          </cell>
          <cell r="T3201">
            <v>0</v>
          </cell>
          <cell r="U3201">
            <v>5307</v>
          </cell>
          <cell r="V3201">
            <v>0</v>
          </cell>
          <cell r="W3201">
            <v>0</v>
          </cell>
        </row>
        <row r="3202">
          <cell r="A3202" t="str">
            <v>450197</v>
          </cell>
          <cell r="B3202" t="str">
            <v>1251</v>
          </cell>
          <cell r="C3202" t="str">
            <v>12</v>
          </cell>
          <cell r="D3202" t="str">
            <v>21</v>
          </cell>
          <cell r="E3202">
            <v>17</v>
          </cell>
          <cell r="G3202">
            <v>551414</v>
          </cell>
          <cell r="H3202">
            <v>0</v>
          </cell>
          <cell r="I3202">
            <v>0</v>
          </cell>
          <cell r="J3202">
            <v>0</v>
          </cell>
          <cell r="K3202">
            <v>0</v>
          </cell>
          <cell r="L3202">
            <v>0</v>
          </cell>
          <cell r="M3202">
            <v>0</v>
          </cell>
          <cell r="N3202">
            <v>0</v>
          </cell>
          <cell r="O3202">
            <v>0</v>
          </cell>
          <cell r="P3202">
            <v>0</v>
          </cell>
          <cell r="Q3202">
            <v>0</v>
          </cell>
          <cell r="R3202">
            <v>0</v>
          </cell>
          <cell r="S3202">
            <v>0</v>
          </cell>
          <cell r="T3202">
            <v>0</v>
          </cell>
          <cell r="U3202">
            <v>0</v>
          </cell>
          <cell r="V3202">
            <v>0</v>
          </cell>
          <cell r="W3202">
            <v>0</v>
          </cell>
        </row>
        <row r="3203">
          <cell r="A3203" t="str">
            <v>450197</v>
          </cell>
          <cell r="B3203" t="str">
            <v>1251</v>
          </cell>
          <cell r="C3203" t="str">
            <v>12</v>
          </cell>
          <cell r="D3203" t="str">
            <v>21</v>
          </cell>
          <cell r="E3203">
            <v>17</v>
          </cell>
          <cell r="G3203">
            <v>552312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</row>
        <row r="3204">
          <cell r="A3204" t="str">
            <v>450197</v>
          </cell>
          <cell r="B3204" t="str">
            <v>1251</v>
          </cell>
          <cell r="C3204" t="str">
            <v>12</v>
          </cell>
          <cell r="D3204" t="str">
            <v>21</v>
          </cell>
          <cell r="E3204">
            <v>17</v>
          </cell>
          <cell r="G3204">
            <v>552323</v>
          </cell>
          <cell r="H3204">
            <v>0</v>
          </cell>
          <cell r="I3204">
            <v>0</v>
          </cell>
          <cell r="J3204">
            <v>0</v>
          </cell>
          <cell r="K3204">
            <v>0</v>
          </cell>
          <cell r="L3204">
            <v>0</v>
          </cell>
          <cell r="M3204">
            <v>0</v>
          </cell>
          <cell r="N3204">
            <v>0</v>
          </cell>
          <cell r="O3204">
            <v>0</v>
          </cell>
          <cell r="P3204">
            <v>0</v>
          </cell>
          <cell r="Q3204">
            <v>0</v>
          </cell>
          <cell r="R3204">
            <v>0</v>
          </cell>
          <cell r="S3204">
            <v>0</v>
          </cell>
          <cell r="T3204">
            <v>0</v>
          </cell>
          <cell r="U3204">
            <v>0</v>
          </cell>
          <cell r="V3204">
            <v>0</v>
          </cell>
          <cell r="W3204">
            <v>0</v>
          </cell>
        </row>
        <row r="3205">
          <cell r="A3205" t="str">
            <v>450197</v>
          </cell>
          <cell r="B3205" t="str">
            <v>1251</v>
          </cell>
          <cell r="C3205" t="str">
            <v>12</v>
          </cell>
          <cell r="D3205" t="str">
            <v>21</v>
          </cell>
          <cell r="E3205">
            <v>17</v>
          </cell>
          <cell r="G3205">
            <v>552411</v>
          </cell>
          <cell r="H3205">
            <v>0</v>
          </cell>
          <cell r="I3205">
            <v>0</v>
          </cell>
          <cell r="J3205">
            <v>0</v>
          </cell>
          <cell r="K3205">
            <v>0</v>
          </cell>
          <cell r="L3205">
            <v>0</v>
          </cell>
          <cell r="M3205">
            <v>0</v>
          </cell>
          <cell r="N3205">
            <v>0</v>
          </cell>
          <cell r="O3205">
            <v>0</v>
          </cell>
          <cell r="P3205">
            <v>0</v>
          </cell>
          <cell r="Q3205">
            <v>0</v>
          </cell>
          <cell r="R3205">
            <v>0</v>
          </cell>
          <cell r="S3205">
            <v>0</v>
          </cell>
          <cell r="T3205">
            <v>0</v>
          </cell>
          <cell r="U3205">
            <v>0</v>
          </cell>
          <cell r="V3205">
            <v>0</v>
          </cell>
          <cell r="W3205">
            <v>0</v>
          </cell>
        </row>
        <row r="3206">
          <cell r="A3206" t="str">
            <v>450197</v>
          </cell>
          <cell r="B3206" t="str">
            <v>1251</v>
          </cell>
          <cell r="C3206" t="str">
            <v>12</v>
          </cell>
          <cell r="D3206" t="str">
            <v>21</v>
          </cell>
          <cell r="E3206">
            <v>17</v>
          </cell>
          <cell r="G3206">
            <v>701015</v>
          </cell>
          <cell r="H3206">
            <v>0</v>
          </cell>
          <cell r="I3206">
            <v>0</v>
          </cell>
          <cell r="J3206">
            <v>0</v>
          </cell>
          <cell r="K3206">
            <v>0</v>
          </cell>
          <cell r="L3206">
            <v>0</v>
          </cell>
          <cell r="M3206">
            <v>0</v>
          </cell>
          <cell r="N3206">
            <v>0</v>
          </cell>
          <cell r="O3206">
            <v>0</v>
          </cell>
          <cell r="P3206">
            <v>0</v>
          </cell>
          <cell r="Q3206">
            <v>0</v>
          </cell>
          <cell r="R3206">
            <v>0</v>
          </cell>
          <cell r="S3206">
            <v>0</v>
          </cell>
          <cell r="T3206">
            <v>0</v>
          </cell>
          <cell r="U3206">
            <v>0</v>
          </cell>
          <cell r="V3206">
            <v>0</v>
          </cell>
          <cell r="W3206">
            <v>0</v>
          </cell>
        </row>
        <row r="3207">
          <cell r="A3207" t="str">
            <v>450197</v>
          </cell>
          <cell r="B3207" t="str">
            <v>1251</v>
          </cell>
          <cell r="C3207" t="str">
            <v>12</v>
          </cell>
          <cell r="D3207" t="str">
            <v>21</v>
          </cell>
          <cell r="E3207">
            <v>17</v>
          </cell>
          <cell r="G3207">
            <v>751757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L3207">
            <v>0</v>
          </cell>
          <cell r="M3207">
            <v>0</v>
          </cell>
          <cell r="N3207">
            <v>0</v>
          </cell>
          <cell r="O3207">
            <v>0</v>
          </cell>
          <cell r="P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</row>
        <row r="3208">
          <cell r="A3208" t="str">
            <v>450197</v>
          </cell>
          <cell r="B3208" t="str">
            <v>1251</v>
          </cell>
          <cell r="C3208" t="str">
            <v>12</v>
          </cell>
          <cell r="D3208" t="str">
            <v>21</v>
          </cell>
          <cell r="E3208">
            <v>17</v>
          </cell>
          <cell r="G3208">
            <v>751768</v>
          </cell>
          <cell r="H3208">
            <v>0</v>
          </cell>
          <cell r="I3208">
            <v>0</v>
          </cell>
          <cell r="J3208">
            <v>0</v>
          </cell>
          <cell r="K3208">
            <v>0</v>
          </cell>
          <cell r="L3208">
            <v>0</v>
          </cell>
          <cell r="M3208">
            <v>0</v>
          </cell>
          <cell r="N3208">
            <v>0</v>
          </cell>
          <cell r="O3208">
            <v>0</v>
          </cell>
          <cell r="P3208">
            <v>0</v>
          </cell>
          <cell r="Q3208">
            <v>0</v>
          </cell>
          <cell r="R3208">
            <v>0</v>
          </cell>
          <cell r="S3208">
            <v>0</v>
          </cell>
          <cell r="T3208">
            <v>0</v>
          </cell>
          <cell r="U3208">
            <v>0</v>
          </cell>
          <cell r="V3208">
            <v>0</v>
          </cell>
          <cell r="W3208">
            <v>0</v>
          </cell>
        </row>
        <row r="3209">
          <cell r="A3209" t="str">
            <v>450197</v>
          </cell>
          <cell r="B3209" t="str">
            <v>1251</v>
          </cell>
          <cell r="C3209" t="str">
            <v>12</v>
          </cell>
          <cell r="D3209" t="str">
            <v>21</v>
          </cell>
          <cell r="E3209">
            <v>17</v>
          </cell>
          <cell r="G3209">
            <v>751845</v>
          </cell>
          <cell r="H3209">
            <v>0</v>
          </cell>
          <cell r="I3209">
            <v>0</v>
          </cell>
          <cell r="J3209">
            <v>0</v>
          </cell>
          <cell r="K3209">
            <v>0</v>
          </cell>
          <cell r="L3209">
            <v>0</v>
          </cell>
          <cell r="M3209">
            <v>0</v>
          </cell>
          <cell r="N3209">
            <v>0</v>
          </cell>
          <cell r="O3209">
            <v>0</v>
          </cell>
          <cell r="P3209">
            <v>0</v>
          </cell>
          <cell r="Q3209">
            <v>0</v>
          </cell>
          <cell r="R3209">
            <v>0</v>
          </cell>
          <cell r="S3209">
            <v>0</v>
          </cell>
          <cell r="T3209">
            <v>0</v>
          </cell>
          <cell r="U3209">
            <v>0</v>
          </cell>
          <cell r="V3209">
            <v>0</v>
          </cell>
          <cell r="W3209">
            <v>0</v>
          </cell>
        </row>
        <row r="3210">
          <cell r="A3210" t="str">
            <v>450197</v>
          </cell>
          <cell r="B3210" t="str">
            <v>1251</v>
          </cell>
          <cell r="C3210" t="str">
            <v>12</v>
          </cell>
          <cell r="D3210" t="str">
            <v>21</v>
          </cell>
          <cell r="E3210">
            <v>17</v>
          </cell>
          <cell r="G3210">
            <v>801115</v>
          </cell>
          <cell r="H3210">
            <v>0</v>
          </cell>
          <cell r="I3210">
            <v>0</v>
          </cell>
          <cell r="J3210">
            <v>0</v>
          </cell>
          <cell r="K3210">
            <v>0</v>
          </cell>
          <cell r="L3210">
            <v>0</v>
          </cell>
          <cell r="M3210">
            <v>0</v>
          </cell>
          <cell r="N3210">
            <v>0</v>
          </cell>
          <cell r="O3210">
            <v>0</v>
          </cell>
          <cell r="P3210">
            <v>0</v>
          </cell>
          <cell r="Q3210">
            <v>0</v>
          </cell>
          <cell r="R3210">
            <v>0</v>
          </cell>
          <cell r="S3210">
            <v>0</v>
          </cell>
          <cell r="T3210">
            <v>0</v>
          </cell>
          <cell r="U3210">
            <v>0</v>
          </cell>
          <cell r="V3210">
            <v>0</v>
          </cell>
          <cell r="W3210">
            <v>0</v>
          </cell>
        </row>
        <row r="3211">
          <cell r="A3211" t="str">
            <v>450197</v>
          </cell>
          <cell r="B3211" t="str">
            <v>1251</v>
          </cell>
          <cell r="C3211" t="str">
            <v>12</v>
          </cell>
          <cell r="D3211" t="str">
            <v>21</v>
          </cell>
          <cell r="E3211">
            <v>17</v>
          </cell>
          <cell r="G3211">
            <v>801214</v>
          </cell>
          <cell r="H3211">
            <v>0</v>
          </cell>
          <cell r="I3211">
            <v>0</v>
          </cell>
          <cell r="J3211">
            <v>0</v>
          </cell>
          <cell r="K3211">
            <v>0</v>
          </cell>
          <cell r="L3211">
            <v>0</v>
          </cell>
          <cell r="M3211">
            <v>0</v>
          </cell>
          <cell r="N3211">
            <v>0</v>
          </cell>
          <cell r="O3211">
            <v>0</v>
          </cell>
          <cell r="P3211">
            <v>0</v>
          </cell>
          <cell r="Q3211">
            <v>0</v>
          </cell>
          <cell r="R3211">
            <v>0</v>
          </cell>
          <cell r="S3211">
            <v>0</v>
          </cell>
          <cell r="T3211">
            <v>0</v>
          </cell>
          <cell r="U3211">
            <v>0</v>
          </cell>
          <cell r="V3211">
            <v>0</v>
          </cell>
          <cell r="W3211">
            <v>0</v>
          </cell>
        </row>
        <row r="3212">
          <cell r="A3212" t="str">
            <v>450197</v>
          </cell>
          <cell r="B3212" t="str">
            <v>1251</v>
          </cell>
          <cell r="C3212" t="str">
            <v>12</v>
          </cell>
          <cell r="D3212" t="str">
            <v>21</v>
          </cell>
          <cell r="E3212">
            <v>17</v>
          </cell>
          <cell r="G3212">
            <v>801236</v>
          </cell>
          <cell r="H3212">
            <v>0</v>
          </cell>
          <cell r="I3212">
            <v>0</v>
          </cell>
          <cell r="J3212">
            <v>0</v>
          </cell>
          <cell r="K3212">
            <v>0</v>
          </cell>
          <cell r="L3212">
            <v>0</v>
          </cell>
          <cell r="M3212">
            <v>0</v>
          </cell>
          <cell r="N3212">
            <v>0</v>
          </cell>
          <cell r="O3212">
            <v>0</v>
          </cell>
          <cell r="P3212">
            <v>0</v>
          </cell>
          <cell r="Q3212">
            <v>0</v>
          </cell>
          <cell r="R3212">
            <v>0</v>
          </cell>
          <cell r="S3212">
            <v>0</v>
          </cell>
          <cell r="T3212">
            <v>0</v>
          </cell>
          <cell r="U3212">
            <v>0</v>
          </cell>
          <cell r="V3212">
            <v>0</v>
          </cell>
          <cell r="W3212">
            <v>0</v>
          </cell>
        </row>
        <row r="3213">
          <cell r="A3213" t="str">
            <v>450197</v>
          </cell>
          <cell r="B3213" t="str">
            <v>1251</v>
          </cell>
          <cell r="C3213" t="str">
            <v>12</v>
          </cell>
          <cell r="D3213" t="str">
            <v>21</v>
          </cell>
          <cell r="E3213">
            <v>17</v>
          </cell>
          <cell r="G3213">
            <v>802144</v>
          </cell>
          <cell r="H3213">
            <v>0</v>
          </cell>
          <cell r="I3213">
            <v>0</v>
          </cell>
          <cell r="J3213">
            <v>0</v>
          </cell>
          <cell r="K3213">
            <v>0</v>
          </cell>
          <cell r="L3213">
            <v>0</v>
          </cell>
          <cell r="M3213">
            <v>0</v>
          </cell>
          <cell r="N3213">
            <v>0</v>
          </cell>
          <cell r="O3213">
            <v>0</v>
          </cell>
          <cell r="P3213">
            <v>0</v>
          </cell>
          <cell r="Q3213">
            <v>0</v>
          </cell>
          <cell r="R3213">
            <v>0</v>
          </cell>
          <cell r="S3213">
            <v>0</v>
          </cell>
          <cell r="T3213">
            <v>0</v>
          </cell>
          <cell r="U3213">
            <v>0</v>
          </cell>
          <cell r="V3213">
            <v>0</v>
          </cell>
          <cell r="W3213">
            <v>0</v>
          </cell>
        </row>
        <row r="3214">
          <cell r="A3214" t="str">
            <v>450197</v>
          </cell>
          <cell r="B3214" t="str">
            <v>1251</v>
          </cell>
          <cell r="C3214" t="str">
            <v>12</v>
          </cell>
          <cell r="D3214" t="str">
            <v>21</v>
          </cell>
          <cell r="E3214">
            <v>17</v>
          </cell>
          <cell r="G3214">
            <v>802166</v>
          </cell>
          <cell r="H3214">
            <v>0</v>
          </cell>
          <cell r="I3214">
            <v>0</v>
          </cell>
          <cell r="J3214">
            <v>0</v>
          </cell>
          <cell r="K3214">
            <v>0</v>
          </cell>
          <cell r="L3214">
            <v>0</v>
          </cell>
          <cell r="M3214">
            <v>0</v>
          </cell>
          <cell r="N3214">
            <v>0</v>
          </cell>
          <cell r="O3214">
            <v>0</v>
          </cell>
          <cell r="P3214">
            <v>0</v>
          </cell>
          <cell r="Q3214">
            <v>0</v>
          </cell>
          <cell r="R3214">
            <v>0</v>
          </cell>
          <cell r="S3214">
            <v>0</v>
          </cell>
          <cell r="T3214">
            <v>0</v>
          </cell>
          <cell r="U3214">
            <v>0</v>
          </cell>
          <cell r="V3214">
            <v>0</v>
          </cell>
          <cell r="W3214">
            <v>0</v>
          </cell>
        </row>
        <row r="3215">
          <cell r="A3215" t="str">
            <v>450197</v>
          </cell>
          <cell r="B3215" t="str">
            <v>1251</v>
          </cell>
          <cell r="C3215" t="str">
            <v>12</v>
          </cell>
          <cell r="D3215" t="str">
            <v>21</v>
          </cell>
          <cell r="E3215">
            <v>17</v>
          </cell>
          <cell r="G3215">
            <v>802177</v>
          </cell>
          <cell r="H3215">
            <v>0</v>
          </cell>
          <cell r="I3215">
            <v>0</v>
          </cell>
          <cell r="J3215">
            <v>0</v>
          </cell>
          <cell r="K3215">
            <v>0</v>
          </cell>
          <cell r="L3215">
            <v>0</v>
          </cell>
          <cell r="M3215">
            <v>0</v>
          </cell>
          <cell r="N3215">
            <v>0</v>
          </cell>
          <cell r="O3215">
            <v>0</v>
          </cell>
          <cell r="P3215">
            <v>0</v>
          </cell>
          <cell r="Q3215">
            <v>0</v>
          </cell>
          <cell r="R3215">
            <v>0</v>
          </cell>
          <cell r="S3215">
            <v>0</v>
          </cell>
          <cell r="T3215">
            <v>0</v>
          </cell>
          <cell r="U3215">
            <v>0</v>
          </cell>
          <cell r="V3215">
            <v>0</v>
          </cell>
          <cell r="W3215">
            <v>0</v>
          </cell>
        </row>
        <row r="3216">
          <cell r="A3216" t="str">
            <v>450197</v>
          </cell>
          <cell r="B3216" t="str">
            <v>1251</v>
          </cell>
          <cell r="C3216" t="str">
            <v>12</v>
          </cell>
          <cell r="D3216" t="str">
            <v>21</v>
          </cell>
          <cell r="E3216">
            <v>17</v>
          </cell>
          <cell r="G3216">
            <v>802199</v>
          </cell>
          <cell r="H3216">
            <v>0</v>
          </cell>
          <cell r="I3216">
            <v>0</v>
          </cell>
          <cell r="J3216">
            <v>0</v>
          </cell>
          <cell r="K3216">
            <v>0</v>
          </cell>
          <cell r="L3216">
            <v>0</v>
          </cell>
          <cell r="M3216">
            <v>0</v>
          </cell>
          <cell r="N3216">
            <v>0</v>
          </cell>
          <cell r="O3216">
            <v>0</v>
          </cell>
          <cell r="P3216">
            <v>0</v>
          </cell>
          <cell r="Q3216">
            <v>0</v>
          </cell>
          <cell r="R3216">
            <v>0</v>
          </cell>
          <cell r="S3216">
            <v>0</v>
          </cell>
          <cell r="T3216">
            <v>0</v>
          </cell>
          <cell r="U3216">
            <v>0</v>
          </cell>
          <cell r="V3216">
            <v>0</v>
          </cell>
          <cell r="W3216">
            <v>0</v>
          </cell>
        </row>
        <row r="3217">
          <cell r="A3217" t="str">
            <v>450197</v>
          </cell>
          <cell r="B3217" t="str">
            <v>1251</v>
          </cell>
          <cell r="C3217" t="str">
            <v>12</v>
          </cell>
          <cell r="D3217" t="str">
            <v>21</v>
          </cell>
          <cell r="E3217">
            <v>17</v>
          </cell>
          <cell r="G3217">
            <v>802263</v>
          </cell>
          <cell r="H3217">
            <v>0</v>
          </cell>
          <cell r="I3217">
            <v>0</v>
          </cell>
          <cell r="J3217">
            <v>0</v>
          </cell>
          <cell r="K3217">
            <v>0</v>
          </cell>
          <cell r="L3217">
            <v>0</v>
          </cell>
          <cell r="M3217">
            <v>0</v>
          </cell>
          <cell r="N3217">
            <v>5307</v>
          </cell>
          <cell r="O3217">
            <v>0</v>
          </cell>
          <cell r="P3217">
            <v>0</v>
          </cell>
          <cell r="Q3217">
            <v>0</v>
          </cell>
          <cell r="R3217">
            <v>0</v>
          </cell>
          <cell r="S3217">
            <v>0</v>
          </cell>
          <cell r="T3217">
            <v>0</v>
          </cell>
          <cell r="U3217">
            <v>0</v>
          </cell>
          <cell r="V3217">
            <v>0</v>
          </cell>
          <cell r="W3217">
            <v>0</v>
          </cell>
        </row>
        <row r="3218">
          <cell r="A3218" t="str">
            <v>450197</v>
          </cell>
          <cell r="B3218" t="str">
            <v>1251</v>
          </cell>
          <cell r="C3218" t="str">
            <v>12</v>
          </cell>
          <cell r="D3218" t="str">
            <v>21</v>
          </cell>
          <cell r="E3218">
            <v>17</v>
          </cell>
          <cell r="G3218">
            <v>804028</v>
          </cell>
          <cell r="H3218">
            <v>0</v>
          </cell>
          <cell r="I3218">
            <v>0</v>
          </cell>
          <cell r="J3218">
            <v>0</v>
          </cell>
          <cell r="K3218">
            <v>0</v>
          </cell>
          <cell r="L3218">
            <v>0</v>
          </cell>
          <cell r="M3218">
            <v>0</v>
          </cell>
          <cell r="N3218">
            <v>0</v>
          </cell>
          <cell r="O3218">
            <v>0</v>
          </cell>
          <cell r="P3218">
            <v>0</v>
          </cell>
          <cell r="Q3218">
            <v>0</v>
          </cell>
          <cell r="R3218">
            <v>0</v>
          </cell>
          <cell r="S3218">
            <v>0</v>
          </cell>
          <cell r="T3218">
            <v>0</v>
          </cell>
          <cell r="U3218">
            <v>0</v>
          </cell>
          <cell r="V3218">
            <v>0</v>
          </cell>
          <cell r="W3218">
            <v>0</v>
          </cell>
        </row>
        <row r="3219">
          <cell r="A3219" t="str">
            <v>450197</v>
          </cell>
          <cell r="B3219" t="str">
            <v>1251</v>
          </cell>
          <cell r="C3219" t="str">
            <v>12</v>
          </cell>
          <cell r="D3219" t="str">
            <v>21</v>
          </cell>
          <cell r="E3219">
            <v>17</v>
          </cell>
          <cell r="G3219">
            <v>805113</v>
          </cell>
          <cell r="H3219">
            <v>0</v>
          </cell>
          <cell r="I3219">
            <v>0</v>
          </cell>
          <cell r="J3219">
            <v>0</v>
          </cell>
          <cell r="K3219">
            <v>0</v>
          </cell>
          <cell r="L3219">
            <v>0</v>
          </cell>
          <cell r="M3219">
            <v>0</v>
          </cell>
          <cell r="N3219">
            <v>0</v>
          </cell>
          <cell r="O3219">
            <v>0</v>
          </cell>
          <cell r="P3219">
            <v>0</v>
          </cell>
          <cell r="Q3219">
            <v>0</v>
          </cell>
          <cell r="R3219">
            <v>0</v>
          </cell>
          <cell r="S3219">
            <v>0</v>
          </cell>
          <cell r="T3219">
            <v>0</v>
          </cell>
          <cell r="U3219">
            <v>0</v>
          </cell>
          <cell r="V3219">
            <v>0</v>
          </cell>
          <cell r="W3219">
            <v>0</v>
          </cell>
        </row>
        <row r="3220">
          <cell r="A3220" t="str">
            <v>450197</v>
          </cell>
          <cell r="B3220" t="str">
            <v>1251</v>
          </cell>
          <cell r="C3220" t="str">
            <v>12</v>
          </cell>
          <cell r="D3220" t="str">
            <v>21</v>
          </cell>
          <cell r="E3220">
            <v>17</v>
          </cell>
          <cell r="G3220">
            <v>851297</v>
          </cell>
          <cell r="H3220">
            <v>0</v>
          </cell>
          <cell r="I3220">
            <v>0</v>
          </cell>
          <cell r="J3220">
            <v>0</v>
          </cell>
          <cell r="K3220">
            <v>0</v>
          </cell>
          <cell r="L3220">
            <v>0</v>
          </cell>
          <cell r="M3220">
            <v>0</v>
          </cell>
          <cell r="N3220">
            <v>0</v>
          </cell>
          <cell r="O3220">
            <v>0</v>
          </cell>
          <cell r="P3220">
            <v>0</v>
          </cell>
          <cell r="Q3220">
            <v>0</v>
          </cell>
          <cell r="R3220">
            <v>0</v>
          </cell>
          <cell r="S3220">
            <v>0</v>
          </cell>
          <cell r="T3220">
            <v>0</v>
          </cell>
          <cell r="U3220">
            <v>0</v>
          </cell>
          <cell r="V3220">
            <v>0</v>
          </cell>
          <cell r="W3220">
            <v>0</v>
          </cell>
        </row>
        <row r="3221">
          <cell r="A3221" t="str">
            <v>450197</v>
          </cell>
          <cell r="B3221" t="str">
            <v>1251</v>
          </cell>
          <cell r="C3221" t="str">
            <v>12</v>
          </cell>
          <cell r="D3221" t="str">
            <v>21</v>
          </cell>
          <cell r="E3221">
            <v>17</v>
          </cell>
          <cell r="G3221">
            <v>851912</v>
          </cell>
          <cell r="H3221">
            <v>0</v>
          </cell>
          <cell r="I3221">
            <v>0</v>
          </cell>
          <cell r="J3221">
            <v>0</v>
          </cell>
          <cell r="K3221">
            <v>0</v>
          </cell>
          <cell r="L3221">
            <v>0</v>
          </cell>
          <cell r="M3221">
            <v>0</v>
          </cell>
          <cell r="N3221">
            <v>0</v>
          </cell>
          <cell r="O3221">
            <v>0</v>
          </cell>
          <cell r="P3221">
            <v>0</v>
          </cell>
          <cell r="Q3221">
            <v>0</v>
          </cell>
          <cell r="R3221">
            <v>0</v>
          </cell>
          <cell r="S3221">
            <v>0</v>
          </cell>
          <cell r="T3221">
            <v>0</v>
          </cell>
          <cell r="U3221">
            <v>0</v>
          </cell>
          <cell r="V3221">
            <v>0</v>
          </cell>
          <cell r="W3221">
            <v>0</v>
          </cell>
        </row>
        <row r="3222">
          <cell r="A3222" t="str">
            <v>450197</v>
          </cell>
          <cell r="B3222" t="str">
            <v>1251</v>
          </cell>
          <cell r="C3222" t="str">
            <v>12</v>
          </cell>
          <cell r="D3222" t="str">
            <v>21</v>
          </cell>
          <cell r="E3222">
            <v>17</v>
          </cell>
          <cell r="G3222">
            <v>853211</v>
          </cell>
          <cell r="H3222">
            <v>0</v>
          </cell>
          <cell r="I3222">
            <v>0</v>
          </cell>
          <cell r="J3222">
            <v>0</v>
          </cell>
          <cell r="K3222">
            <v>0</v>
          </cell>
          <cell r="L3222">
            <v>0</v>
          </cell>
          <cell r="M3222">
            <v>0</v>
          </cell>
          <cell r="N3222">
            <v>0</v>
          </cell>
          <cell r="O3222">
            <v>0</v>
          </cell>
          <cell r="P3222">
            <v>0</v>
          </cell>
          <cell r="Q3222">
            <v>0</v>
          </cell>
          <cell r="R3222">
            <v>0</v>
          </cell>
          <cell r="S3222">
            <v>0</v>
          </cell>
          <cell r="T3222">
            <v>0</v>
          </cell>
          <cell r="U3222">
            <v>0</v>
          </cell>
          <cell r="V3222">
            <v>0</v>
          </cell>
          <cell r="W3222">
            <v>0</v>
          </cell>
        </row>
        <row r="3223">
          <cell r="A3223" t="str">
            <v>450197</v>
          </cell>
          <cell r="B3223" t="str">
            <v>1251</v>
          </cell>
          <cell r="C3223" t="str">
            <v>12</v>
          </cell>
          <cell r="D3223" t="str">
            <v>21</v>
          </cell>
          <cell r="E3223">
            <v>17</v>
          </cell>
          <cell r="G3223">
            <v>853244</v>
          </cell>
          <cell r="H3223">
            <v>0</v>
          </cell>
          <cell r="I3223">
            <v>0</v>
          </cell>
          <cell r="J3223">
            <v>0</v>
          </cell>
          <cell r="K3223">
            <v>0</v>
          </cell>
          <cell r="L3223">
            <v>0</v>
          </cell>
          <cell r="M3223">
            <v>0</v>
          </cell>
          <cell r="N3223">
            <v>0</v>
          </cell>
          <cell r="O3223">
            <v>0</v>
          </cell>
          <cell r="P3223">
            <v>0</v>
          </cell>
          <cell r="Q3223">
            <v>0</v>
          </cell>
          <cell r="R3223">
            <v>0</v>
          </cell>
          <cell r="S3223">
            <v>0</v>
          </cell>
          <cell r="T3223">
            <v>0</v>
          </cell>
          <cell r="U3223">
            <v>0</v>
          </cell>
          <cell r="V3223">
            <v>0</v>
          </cell>
          <cell r="W3223">
            <v>0</v>
          </cell>
        </row>
        <row r="3224">
          <cell r="A3224" t="str">
            <v>450197</v>
          </cell>
          <cell r="B3224" t="str">
            <v>1251</v>
          </cell>
          <cell r="C3224" t="str">
            <v>12</v>
          </cell>
          <cell r="D3224" t="str">
            <v>21</v>
          </cell>
          <cell r="E3224">
            <v>17</v>
          </cell>
          <cell r="G3224">
            <v>921815</v>
          </cell>
          <cell r="H3224">
            <v>0</v>
          </cell>
          <cell r="I3224">
            <v>0</v>
          </cell>
          <cell r="J3224">
            <v>0</v>
          </cell>
          <cell r="K3224">
            <v>0</v>
          </cell>
          <cell r="L3224">
            <v>0</v>
          </cell>
          <cell r="M3224">
            <v>0</v>
          </cell>
          <cell r="N3224">
            <v>0</v>
          </cell>
          <cell r="O3224">
            <v>0</v>
          </cell>
          <cell r="P3224">
            <v>0</v>
          </cell>
          <cell r="Q3224">
            <v>0</v>
          </cell>
          <cell r="R3224">
            <v>0</v>
          </cell>
          <cell r="S3224">
            <v>0</v>
          </cell>
          <cell r="T3224">
            <v>0</v>
          </cell>
          <cell r="U3224">
            <v>0</v>
          </cell>
          <cell r="V3224">
            <v>0</v>
          </cell>
          <cell r="W3224">
            <v>0</v>
          </cell>
        </row>
        <row r="3225">
          <cell r="A3225" t="str">
            <v>450197</v>
          </cell>
          <cell r="B3225" t="str">
            <v>1251</v>
          </cell>
          <cell r="C3225" t="str">
            <v>12</v>
          </cell>
          <cell r="D3225" t="str">
            <v>21</v>
          </cell>
          <cell r="E3225">
            <v>17</v>
          </cell>
          <cell r="G3225">
            <v>923127</v>
          </cell>
          <cell r="H3225">
            <v>0</v>
          </cell>
          <cell r="I3225">
            <v>0</v>
          </cell>
          <cell r="J3225">
            <v>0</v>
          </cell>
          <cell r="K3225">
            <v>0</v>
          </cell>
          <cell r="L3225">
            <v>0</v>
          </cell>
          <cell r="M3225">
            <v>0</v>
          </cell>
          <cell r="N3225">
            <v>0</v>
          </cell>
          <cell r="O3225">
            <v>0</v>
          </cell>
          <cell r="P3225">
            <v>0</v>
          </cell>
          <cell r="Q3225">
            <v>0</v>
          </cell>
          <cell r="R3225">
            <v>0</v>
          </cell>
          <cell r="S3225">
            <v>0</v>
          </cell>
          <cell r="T3225">
            <v>0</v>
          </cell>
          <cell r="U3225">
            <v>0</v>
          </cell>
          <cell r="V3225">
            <v>0</v>
          </cell>
          <cell r="W3225">
            <v>0</v>
          </cell>
        </row>
        <row r="3226">
          <cell r="A3226" t="str">
            <v>450197</v>
          </cell>
          <cell r="B3226" t="str">
            <v>1251</v>
          </cell>
          <cell r="C3226" t="str">
            <v>12</v>
          </cell>
          <cell r="D3226" t="str">
            <v>21</v>
          </cell>
          <cell r="E3226">
            <v>17</v>
          </cell>
          <cell r="G3226">
            <v>924014</v>
          </cell>
          <cell r="H3226">
            <v>0</v>
          </cell>
          <cell r="I3226">
            <v>0</v>
          </cell>
          <cell r="J3226">
            <v>0</v>
          </cell>
          <cell r="K3226">
            <v>0</v>
          </cell>
          <cell r="L3226">
            <v>0</v>
          </cell>
          <cell r="M3226">
            <v>0</v>
          </cell>
          <cell r="N3226">
            <v>0</v>
          </cell>
          <cell r="O3226">
            <v>0</v>
          </cell>
          <cell r="P3226">
            <v>0</v>
          </cell>
          <cell r="Q3226">
            <v>0</v>
          </cell>
          <cell r="R3226">
            <v>0</v>
          </cell>
          <cell r="S3226">
            <v>0</v>
          </cell>
          <cell r="T3226">
            <v>0</v>
          </cell>
          <cell r="U3226">
            <v>0</v>
          </cell>
          <cell r="V3226">
            <v>0</v>
          </cell>
          <cell r="W3226">
            <v>0</v>
          </cell>
        </row>
        <row r="3227">
          <cell r="A3227" t="str">
            <v>450197</v>
          </cell>
          <cell r="B3227" t="str">
            <v>1251</v>
          </cell>
          <cell r="C3227" t="str">
            <v>12</v>
          </cell>
          <cell r="D3227" t="str">
            <v>21</v>
          </cell>
          <cell r="E3227">
            <v>17</v>
          </cell>
          <cell r="G3227">
            <v>926018</v>
          </cell>
          <cell r="H3227">
            <v>0</v>
          </cell>
          <cell r="I3227">
            <v>0</v>
          </cell>
          <cell r="J3227">
            <v>0</v>
          </cell>
          <cell r="K3227">
            <v>0</v>
          </cell>
          <cell r="L3227">
            <v>0</v>
          </cell>
          <cell r="M3227">
            <v>0</v>
          </cell>
          <cell r="N3227">
            <v>0</v>
          </cell>
          <cell r="O3227">
            <v>0</v>
          </cell>
          <cell r="P3227">
            <v>0</v>
          </cell>
          <cell r="Q3227">
            <v>0</v>
          </cell>
          <cell r="R3227">
            <v>0</v>
          </cell>
          <cell r="S3227">
            <v>0</v>
          </cell>
          <cell r="T3227">
            <v>0</v>
          </cell>
          <cell r="U3227">
            <v>0</v>
          </cell>
          <cell r="V3227">
            <v>0</v>
          </cell>
          <cell r="W3227">
            <v>0</v>
          </cell>
        </row>
        <row r="3228">
          <cell r="A3228" t="str">
            <v>450197</v>
          </cell>
          <cell r="B3228" t="str">
            <v>1251</v>
          </cell>
          <cell r="C3228" t="str">
            <v>12</v>
          </cell>
          <cell r="D3228" t="str">
            <v>21</v>
          </cell>
          <cell r="E3228">
            <v>17</v>
          </cell>
          <cell r="G3228">
            <v>930910</v>
          </cell>
          <cell r="H3228">
            <v>0</v>
          </cell>
          <cell r="I3228">
            <v>0</v>
          </cell>
          <cell r="J3228">
            <v>0</v>
          </cell>
          <cell r="K3228">
            <v>0</v>
          </cell>
          <cell r="L3228">
            <v>0</v>
          </cell>
          <cell r="M3228">
            <v>0</v>
          </cell>
          <cell r="N3228">
            <v>0</v>
          </cell>
          <cell r="O3228">
            <v>0</v>
          </cell>
          <cell r="P3228">
            <v>0</v>
          </cell>
          <cell r="Q3228">
            <v>0</v>
          </cell>
          <cell r="R3228">
            <v>0</v>
          </cell>
          <cell r="S3228">
            <v>0</v>
          </cell>
          <cell r="T3228">
            <v>0</v>
          </cell>
          <cell r="U3228">
            <v>0</v>
          </cell>
          <cell r="V3228">
            <v>0</v>
          </cell>
          <cell r="W3228">
            <v>0</v>
          </cell>
        </row>
        <row r="3229">
          <cell r="A3229" t="str">
            <v>450197</v>
          </cell>
          <cell r="B3229" t="str">
            <v>1251</v>
          </cell>
          <cell r="C3229" t="str">
            <v>12</v>
          </cell>
          <cell r="D3229" t="str">
            <v>21</v>
          </cell>
          <cell r="E3229">
            <v>17</v>
          </cell>
          <cell r="G3229">
            <v>999999</v>
          </cell>
          <cell r="H3229">
            <v>0</v>
          </cell>
          <cell r="I3229">
            <v>0</v>
          </cell>
          <cell r="J3229">
            <v>0</v>
          </cell>
          <cell r="K3229">
            <v>0</v>
          </cell>
          <cell r="L3229">
            <v>0</v>
          </cell>
          <cell r="M3229">
            <v>0</v>
          </cell>
          <cell r="N3229">
            <v>5307</v>
          </cell>
          <cell r="O3229">
            <v>0</v>
          </cell>
          <cell r="P3229">
            <v>0</v>
          </cell>
          <cell r="Q3229">
            <v>0</v>
          </cell>
          <cell r="R3229">
            <v>0</v>
          </cell>
          <cell r="S3229">
            <v>0</v>
          </cell>
          <cell r="T3229">
            <v>0</v>
          </cell>
          <cell r="U3229">
            <v>0</v>
          </cell>
          <cell r="V3229">
            <v>0</v>
          </cell>
          <cell r="W3229">
            <v>0</v>
          </cell>
        </row>
        <row r="3230">
          <cell r="A3230" t="str">
            <v>450197</v>
          </cell>
          <cell r="B3230" t="str">
            <v>1251</v>
          </cell>
          <cell r="C3230" t="str">
            <v>12</v>
          </cell>
          <cell r="D3230" t="str">
            <v>21</v>
          </cell>
          <cell r="E3230">
            <v>33</v>
          </cell>
          <cell r="G3230">
            <v>551414</v>
          </cell>
          <cell r="H3230">
            <v>0</v>
          </cell>
          <cell r="I3230">
            <v>0</v>
          </cell>
          <cell r="J3230">
            <v>0</v>
          </cell>
          <cell r="K3230">
            <v>0</v>
          </cell>
          <cell r="L3230">
            <v>0</v>
          </cell>
          <cell r="M3230">
            <v>0</v>
          </cell>
          <cell r="N3230">
            <v>0</v>
          </cell>
          <cell r="O3230">
            <v>0</v>
          </cell>
          <cell r="P3230">
            <v>0</v>
          </cell>
          <cell r="Q3230">
            <v>0</v>
          </cell>
          <cell r="R3230">
            <v>0</v>
          </cell>
          <cell r="S3230">
            <v>0</v>
          </cell>
          <cell r="T3230">
            <v>0</v>
          </cell>
          <cell r="U3230">
            <v>0</v>
          </cell>
          <cell r="V3230">
            <v>0</v>
          </cell>
          <cell r="W3230">
            <v>0</v>
          </cell>
        </row>
        <row r="3231">
          <cell r="A3231" t="str">
            <v>450197</v>
          </cell>
          <cell r="B3231" t="str">
            <v>1251</v>
          </cell>
          <cell r="C3231" t="str">
            <v>12</v>
          </cell>
          <cell r="D3231" t="str">
            <v>21</v>
          </cell>
          <cell r="E3231">
            <v>33</v>
          </cell>
          <cell r="G3231">
            <v>552312</v>
          </cell>
          <cell r="H3231">
            <v>0</v>
          </cell>
          <cell r="I3231">
            <v>0</v>
          </cell>
          <cell r="J3231">
            <v>0</v>
          </cell>
          <cell r="K3231">
            <v>0</v>
          </cell>
          <cell r="L3231">
            <v>0</v>
          </cell>
          <cell r="M3231">
            <v>0</v>
          </cell>
          <cell r="N3231">
            <v>0</v>
          </cell>
          <cell r="O3231">
            <v>0</v>
          </cell>
          <cell r="P3231">
            <v>0</v>
          </cell>
          <cell r="Q3231">
            <v>0</v>
          </cell>
          <cell r="R3231">
            <v>0</v>
          </cell>
          <cell r="S3231">
            <v>0</v>
          </cell>
          <cell r="T3231">
            <v>0</v>
          </cell>
          <cell r="U3231">
            <v>0</v>
          </cell>
          <cell r="V3231">
            <v>0</v>
          </cell>
          <cell r="W3231">
            <v>0</v>
          </cell>
        </row>
        <row r="3232">
          <cell r="A3232" t="str">
            <v>450197</v>
          </cell>
          <cell r="B3232" t="str">
            <v>1251</v>
          </cell>
          <cell r="C3232" t="str">
            <v>12</v>
          </cell>
          <cell r="D3232" t="str">
            <v>21</v>
          </cell>
          <cell r="E3232">
            <v>33</v>
          </cell>
          <cell r="G3232">
            <v>552323</v>
          </cell>
          <cell r="H3232">
            <v>0</v>
          </cell>
          <cell r="I3232">
            <v>0</v>
          </cell>
          <cell r="J3232">
            <v>0</v>
          </cell>
          <cell r="K3232">
            <v>0</v>
          </cell>
          <cell r="L3232">
            <v>0</v>
          </cell>
          <cell r="M3232">
            <v>0</v>
          </cell>
          <cell r="N3232">
            <v>0</v>
          </cell>
          <cell r="O3232">
            <v>0</v>
          </cell>
          <cell r="P3232">
            <v>0</v>
          </cell>
          <cell r="Q3232">
            <v>0</v>
          </cell>
          <cell r="R3232">
            <v>0</v>
          </cell>
          <cell r="S3232">
            <v>0</v>
          </cell>
          <cell r="T3232">
            <v>0</v>
          </cell>
          <cell r="U3232">
            <v>0</v>
          </cell>
          <cell r="V3232">
            <v>0</v>
          </cell>
          <cell r="W3232">
            <v>0</v>
          </cell>
        </row>
        <row r="3233">
          <cell r="A3233" t="str">
            <v>450197</v>
          </cell>
          <cell r="B3233" t="str">
            <v>1251</v>
          </cell>
          <cell r="C3233" t="str">
            <v>12</v>
          </cell>
          <cell r="D3233" t="str">
            <v>21</v>
          </cell>
          <cell r="E3233">
            <v>33</v>
          </cell>
          <cell r="G3233">
            <v>552411</v>
          </cell>
          <cell r="H3233">
            <v>0</v>
          </cell>
          <cell r="I3233">
            <v>0</v>
          </cell>
          <cell r="J3233">
            <v>0</v>
          </cell>
          <cell r="K3233">
            <v>0</v>
          </cell>
          <cell r="L3233">
            <v>0</v>
          </cell>
          <cell r="M3233">
            <v>0</v>
          </cell>
          <cell r="N3233">
            <v>0</v>
          </cell>
          <cell r="O3233">
            <v>0</v>
          </cell>
          <cell r="P3233">
            <v>0</v>
          </cell>
          <cell r="Q3233">
            <v>0</v>
          </cell>
          <cell r="R3233">
            <v>0</v>
          </cell>
          <cell r="S3233">
            <v>0</v>
          </cell>
          <cell r="T3233">
            <v>0</v>
          </cell>
          <cell r="U3233">
            <v>0</v>
          </cell>
          <cell r="V3233">
            <v>0</v>
          </cell>
          <cell r="W3233">
            <v>0</v>
          </cell>
        </row>
        <row r="3234">
          <cell r="A3234" t="str">
            <v>450197</v>
          </cell>
          <cell r="B3234" t="str">
            <v>1251</v>
          </cell>
          <cell r="C3234" t="str">
            <v>12</v>
          </cell>
          <cell r="D3234" t="str">
            <v>21</v>
          </cell>
          <cell r="E3234">
            <v>33</v>
          </cell>
          <cell r="G3234">
            <v>701015</v>
          </cell>
          <cell r="H3234">
            <v>0</v>
          </cell>
          <cell r="I3234">
            <v>0</v>
          </cell>
          <cell r="J3234">
            <v>0</v>
          </cell>
          <cell r="K3234">
            <v>0</v>
          </cell>
          <cell r="L3234">
            <v>0</v>
          </cell>
          <cell r="M3234">
            <v>0</v>
          </cell>
          <cell r="N3234">
            <v>0</v>
          </cell>
          <cell r="O3234">
            <v>0</v>
          </cell>
          <cell r="P3234">
            <v>0</v>
          </cell>
          <cell r="Q3234">
            <v>0</v>
          </cell>
          <cell r="R3234">
            <v>0</v>
          </cell>
          <cell r="S3234">
            <v>0</v>
          </cell>
          <cell r="T3234">
            <v>0</v>
          </cell>
          <cell r="U3234">
            <v>0</v>
          </cell>
          <cell r="V3234">
            <v>0</v>
          </cell>
          <cell r="W3234">
            <v>0</v>
          </cell>
        </row>
        <row r="3235">
          <cell r="A3235" t="str">
            <v>450197</v>
          </cell>
          <cell r="B3235" t="str">
            <v>1251</v>
          </cell>
          <cell r="C3235" t="str">
            <v>12</v>
          </cell>
          <cell r="D3235" t="str">
            <v>21</v>
          </cell>
          <cell r="E3235">
            <v>33</v>
          </cell>
          <cell r="G3235">
            <v>751757</v>
          </cell>
          <cell r="H3235">
            <v>0</v>
          </cell>
          <cell r="I3235">
            <v>0</v>
          </cell>
          <cell r="J3235">
            <v>0</v>
          </cell>
          <cell r="K3235">
            <v>0</v>
          </cell>
          <cell r="L3235">
            <v>0</v>
          </cell>
          <cell r="M3235">
            <v>0</v>
          </cell>
          <cell r="N3235">
            <v>0</v>
          </cell>
          <cell r="O3235">
            <v>0</v>
          </cell>
          <cell r="P3235">
            <v>0</v>
          </cell>
          <cell r="Q3235">
            <v>0</v>
          </cell>
          <cell r="R3235">
            <v>0</v>
          </cell>
          <cell r="S3235">
            <v>0</v>
          </cell>
          <cell r="T3235">
            <v>0</v>
          </cell>
          <cell r="U3235">
            <v>0</v>
          </cell>
          <cell r="V3235">
            <v>0</v>
          </cell>
          <cell r="W3235">
            <v>0</v>
          </cell>
        </row>
        <row r="3236">
          <cell r="A3236" t="str">
            <v>450197</v>
          </cell>
          <cell r="B3236" t="str">
            <v>1251</v>
          </cell>
          <cell r="C3236" t="str">
            <v>12</v>
          </cell>
          <cell r="D3236" t="str">
            <v>21</v>
          </cell>
          <cell r="E3236">
            <v>33</v>
          </cell>
          <cell r="G3236">
            <v>751768</v>
          </cell>
          <cell r="H3236">
            <v>0</v>
          </cell>
          <cell r="I3236">
            <v>0</v>
          </cell>
          <cell r="J3236">
            <v>0</v>
          </cell>
          <cell r="K3236">
            <v>0</v>
          </cell>
          <cell r="L3236">
            <v>0</v>
          </cell>
          <cell r="M3236">
            <v>0</v>
          </cell>
          <cell r="N3236">
            <v>0</v>
          </cell>
          <cell r="O3236">
            <v>0</v>
          </cell>
          <cell r="P3236">
            <v>0</v>
          </cell>
          <cell r="Q3236">
            <v>0</v>
          </cell>
          <cell r="R3236">
            <v>0</v>
          </cell>
          <cell r="S3236">
            <v>0</v>
          </cell>
          <cell r="T3236">
            <v>0</v>
          </cell>
          <cell r="U3236">
            <v>0</v>
          </cell>
          <cell r="V3236">
            <v>0</v>
          </cell>
          <cell r="W3236">
            <v>0</v>
          </cell>
        </row>
        <row r="3237">
          <cell r="A3237" t="str">
            <v>450197</v>
          </cell>
          <cell r="B3237" t="str">
            <v>1251</v>
          </cell>
          <cell r="C3237" t="str">
            <v>12</v>
          </cell>
          <cell r="D3237" t="str">
            <v>21</v>
          </cell>
          <cell r="E3237">
            <v>33</v>
          </cell>
          <cell r="G3237">
            <v>751845</v>
          </cell>
          <cell r="H3237">
            <v>0</v>
          </cell>
          <cell r="I3237">
            <v>0</v>
          </cell>
          <cell r="J3237">
            <v>0</v>
          </cell>
          <cell r="K3237">
            <v>0</v>
          </cell>
          <cell r="L3237">
            <v>0</v>
          </cell>
          <cell r="M3237">
            <v>0</v>
          </cell>
          <cell r="N3237">
            <v>0</v>
          </cell>
          <cell r="O3237">
            <v>0</v>
          </cell>
          <cell r="P3237">
            <v>0</v>
          </cell>
          <cell r="Q3237">
            <v>0</v>
          </cell>
          <cell r="R3237">
            <v>0</v>
          </cell>
          <cell r="S3237">
            <v>0</v>
          </cell>
          <cell r="T3237">
            <v>0</v>
          </cell>
          <cell r="U3237">
            <v>0</v>
          </cell>
          <cell r="V3237">
            <v>0</v>
          </cell>
          <cell r="W3237">
            <v>0</v>
          </cell>
        </row>
        <row r="3238">
          <cell r="A3238" t="str">
            <v>450197</v>
          </cell>
          <cell r="B3238" t="str">
            <v>1251</v>
          </cell>
          <cell r="C3238" t="str">
            <v>12</v>
          </cell>
          <cell r="D3238" t="str">
            <v>21</v>
          </cell>
          <cell r="E3238">
            <v>33</v>
          </cell>
          <cell r="G3238">
            <v>801115</v>
          </cell>
          <cell r="H3238">
            <v>0</v>
          </cell>
          <cell r="I3238">
            <v>0</v>
          </cell>
          <cell r="J3238">
            <v>0</v>
          </cell>
          <cell r="K3238">
            <v>0</v>
          </cell>
          <cell r="L3238">
            <v>0</v>
          </cell>
          <cell r="M3238">
            <v>0</v>
          </cell>
          <cell r="N3238">
            <v>0</v>
          </cell>
          <cell r="O3238">
            <v>0</v>
          </cell>
          <cell r="P3238">
            <v>0</v>
          </cell>
          <cell r="Q3238">
            <v>0</v>
          </cell>
          <cell r="R3238">
            <v>0</v>
          </cell>
          <cell r="S3238">
            <v>0</v>
          </cell>
          <cell r="T3238">
            <v>0</v>
          </cell>
          <cell r="U3238">
            <v>0</v>
          </cell>
          <cell r="V3238">
            <v>0</v>
          </cell>
          <cell r="W3238">
            <v>0</v>
          </cell>
        </row>
        <row r="3239">
          <cell r="A3239" t="str">
            <v>450197</v>
          </cell>
          <cell r="B3239" t="str">
            <v>1251</v>
          </cell>
          <cell r="C3239" t="str">
            <v>12</v>
          </cell>
          <cell r="D3239" t="str">
            <v>21</v>
          </cell>
          <cell r="E3239">
            <v>33</v>
          </cell>
          <cell r="G3239">
            <v>801214</v>
          </cell>
          <cell r="H3239">
            <v>0</v>
          </cell>
          <cell r="I3239">
            <v>0</v>
          </cell>
          <cell r="J3239">
            <v>0</v>
          </cell>
          <cell r="K3239">
            <v>0</v>
          </cell>
          <cell r="L3239">
            <v>0</v>
          </cell>
          <cell r="M3239">
            <v>0</v>
          </cell>
          <cell r="N3239">
            <v>0</v>
          </cell>
          <cell r="O3239">
            <v>0</v>
          </cell>
          <cell r="P3239">
            <v>0</v>
          </cell>
          <cell r="Q3239">
            <v>0</v>
          </cell>
          <cell r="R3239">
            <v>0</v>
          </cell>
          <cell r="S3239">
            <v>0</v>
          </cell>
          <cell r="T3239">
            <v>0</v>
          </cell>
          <cell r="U3239">
            <v>0</v>
          </cell>
          <cell r="V3239">
            <v>0</v>
          </cell>
          <cell r="W3239">
            <v>0</v>
          </cell>
        </row>
        <row r="3240">
          <cell r="A3240" t="str">
            <v>450197</v>
          </cell>
          <cell r="B3240" t="str">
            <v>1251</v>
          </cell>
          <cell r="C3240" t="str">
            <v>12</v>
          </cell>
          <cell r="D3240" t="str">
            <v>21</v>
          </cell>
          <cell r="E3240">
            <v>33</v>
          </cell>
          <cell r="G3240">
            <v>801236</v>
          </cell>
          <cell r="H3240">
            <v>0</v>
          </cell>
          <cell r="I3240">
            <v>0</v>
          </cell>
          <cell r="J3240">
            <v>0</v>
          </cell>
          <cell r="K3240">
            <v>0</v>
          </cell>
          <cell r="L3240">
            <v>0</v>
          </cell>
          <cell r="M3240">
            <v>0</v>
          </cell>
          <cell r="N3240">
            <v>0</v>
          </cell>
          <cell r="O3240">
            <v>0</v>
          </cell>
          <cell r="P3240">
            <v>0</v>
          </cell>
          <cell r="Q3240">
            <v>0</v>
          </cell>
          <cell r="R3240">
            <v>0</v>
          </cell>
          <cell r="S3240">
            <v>0</v>
          </cell>
          <cell r="T3240">
            <v>0</v>
          </cell>
          <cell r="U3240">
            <v>0</v>
          </cell>
          <cell r="V3240">
            <v>0</v>
          </cell>
          <cell r="W3240">
            <v>0</v>
          </cell>
        </row>
        <row r="3241">
          <cell r="A3241" t="str">
            <v>450197</v>
          </cell>
          <cell r="B3241" t="str">
            <v>1251</v>
          </cell>
          <cell r="C3241" t="str">
            <v>12</v>
          </cell>
          <cell r="D3241" t="str">
            <v>21</v>
          </cell>
          <cell r="E3241">
            <v>33</v>
          </cell>
          <cell r="G3241">
            <v>802144</v>
          </cell>
          <cell r="H3241">
            <v>0</v>
          </cell>
          <cell r="I3241">
            <v>0</v>
          </cell>
          <cell r="J3241">
            <v>0</v>
          </cell>
          <cell r="K3241">
            <v>0</v>
          </cell>
          <cell r="L3241">
            <v>0</v>
          </cell>
          <cell r="M3241">
            <v>0</v>
          </cell>
          <cell r="N3241">
            <v>0</v>
          </cell>
          <cell r="O3241">
            <v>0</v>
          </cell>
          <cell r="P3241">
            <v>0</v>
          </cell>
          <cell r="Q3241">
            <v>0</v>
          </cell>
          <cell r="R3241">
            <v>0</v>
          </cell>
          <cell r="S3241">
            <v>0</v>
          </cell>
          <cell r="T3241">
            <v>0</v>
          </cell>
          <cell r="U3241">
            <v>0</v>
          </cell>
          <cell r="V3241">
            <v>0</v>
          </cell>
          <cell r="W3241">
            <v>0</v>
          </cell>
        </row>
        <row r="3242">
          <cell r="A3242" t="str">
            <v>450197</v>
          </cell>
          <cell r="B3242" t="str">
            <v>1251</v>
          </cell>
          <cell r="C3242" t="str">
            <v>12</v>
          </cell>
          <cell r="D3242" t="str">
            <v>21</v>
          </cell>
          <cell r="E3242">
            <v>33</v>
          </cell>
          <cell r="G3242">
            <v>802166</v>
          </cell>
          <cell r="H3242">
            <v>0</v>
          </cell>
          <cell r="I3242">
            <v>0</v>
          </cell>
          <cell r="J3242">
            <v>0</v>
          </cell>
          <cell r="K3242">
            <v>0</v>
          </cell>
          <cell r="L3242">
            <v>0</v>
          </cell>
          <cell r="M3242">
            <v>0</v>
          </cell>
          <cell r="N3242">
            <v>0</v>
          </cell>
          <cell r="O3242">
            <v>0</v>
          </cell>
          <cell r="P3242">
            <v>0</v>
          </cell>
          <cell r="Q3242">
            <v>0</v>
          </cell>
          <cell r="R3242">
            <v>0</v>
          </cell>
          <cell r="S3242">
            <v>0</v>
          </cell>
          <cell r="T3242">
            <v>0</v>
          </cell>
          <cell r="U3242">
            <v>0</v>
          </cell>
          <cell r="V3242">
            <v>0</v>
          </cell>
          <cell r="W3242">
            <v>0</v>
          </cell>
        </row>
        <row r="3243">
          <cell r="A3243" t="str">
            <v>450197</v>
          </cell>
          <cell r="B3243" t="str">
            <v>1251</v>
          </cell>
          <cell r="C3243" t="str">
            <v>12</v>
          </cell>
          <cell r="D3243" t="str">
            <v>21</v>
          </cell>
          <cell r="E3243">
            <v>33</v>
          </cell>
          <cell r="G3243">
            <v>802177</v>
          </cell>
          <cell r="H3243">
            <v>0</v>
          </cell>
          <cell r="I3243">
            <v>0</v>
          </cell>
          <cell r="J3243">
            <v>0</v>
          </cell>
          <cell r="K3243">
            <v>0</v>
          </cell>
          <cell r="L3243">
            <v>0</v>
          </cell>
          <cell r="M3243">
            <v>0</v>
          </cell>
          <cell r="N3243">
            <v>0</v>
          </cell>
          <cell r="O3243">
            <v>0</v>
          </cell>
          <cell r="P3243">
            <v>0</v>
          </cell>
          <cell r="Q3243">
            <v>0</v>
          </cell>
          <cell r="R3243">
            <v>0</v>
          </cell>
          <cell r="S3243">
            <v>0</v>
          </cell>
          <cell r="T3243">
            <v>0</v>
          </cell>
          <cell r="U3243">
            <v>0</v>
          </cell>
          <cell r="V3243">
            <v>0</v>
          </cell>
          <cell r="W3243">
            <v>0</v>
          </cell>
        </row>
        <row r="3244">
          <cell r="A3244" t="str">
            <v>450197</v>
          </cell>
          <cell r="B3244" t="str">
            <v>1251</v>
          </cell>
          <cell r="C3244" t="str">
            <v>12</v>
          </cell>
          <cell r="D3244" t="str">
            <v>21</v>
          </cell>
          <cell r="E3244">
            <v>33</v>
          </cell>
          <cell r="G3244">
            <v>802199</v>
          </cell>
          <cell r="H3244">
            <v>0</v>
          </cell>
          <cell r="I3244">
            <v>0</v>
          </cell>
          <cell r="J3244">
            <v>0</v>
          </cell>
          <cell r="K3244">
            <v>0</v>
          </cell>
          <cell r="L3244">
            <v>0</v>
          </cell>
          <cell r="M3244">
            <v>0</v>
          </cell>
          <cell r="N3244">
            <v>0</v>
          </cell>
          <cell r="O3244">
            <v>0</v>
          </cell>
          <cell r="P3244">
            <v>0</v>
          </cell>
          <cell r="Q3244">
            <v>0</v>
          </cell>
          <cell r="R3244">
            <v>0</v>
          </cell>
          <cell r="S3244">
            <v>0</v>
          </cell>
          <cell r="T3244">
            <v>0</v>
          </cell>
          <cell r="U3244">
            <v>0</v>
          </cell>
          <cell r="V3244">
            <v>0</v>
          </cell>
          <cell r="W3244">
            <v>0</v>
          </cell>
        </row>
        <row r="3245">
          <cell r="A3245" t="str">
            <v>450197</v>
          </cell>
          <cell r="B3245" t="str">
            <v>1251</v>
          </cell>
          <cell r="C3245" t="str">
            <v>12</v>
          </cell>
          <cell r="D3245" t="str">
            <v>21</v>
          </cell>
          <cell r="E3245">
            <v>33</v>
          </cell>
          <cell r="G3245">
            <v>802263</v>
          </cell>
          <cell r="H3245">
            <v>0</v>
          </cell>
          <cell r="I3245">
            <v>0</v>
          </cell>
          <cell r="J3245">
            <v>0</v>
          </cell>
          <cell r="K3245">
            <v>0</v>
          </cell>
          <cell r="L3245">
            <v>0</v>
          </cell>
          <cell r="M3245">
            <v>0</v>
          </cell>
          <cell r="N3245">
            <v>0</v>
          </cell>
          <cell r="O3245">
            <v>0</v>
          </cell>
          <cell r="P3245">
            <v>0</v>
          </cell>
          <cell r="Q3245">
            <v>0</v>
          </cell>
          <cell r="R3245">
            <v>0</v>
          </cell>
          <cell r="S3245">
            <v>0</v>
          </cell>
          <cell r="T3245">
            <v>0</v>
          </cell>
          <cell r="U3245">
            <v>0</v>
          </cell>
          <cell r="V3245">
            <v>0</v>
          </cell>
          <cell r="W3245">
            <v>0</v>
          </cell>
        </row>
        <row r="3246">
          <cell r="A3246" t="str">
            <v>450197</v>
          </cell>
          <cell r="B3246" t="str">
            <v>1251</v>
          </cell>
          <cell r="C3246" t="str">
            <v>12</v>
          </cell>
          <cell r="D3246" t="str">
            <v>21</v>
          </cell>
          <cell r="E3246">
            <v>33</v>
          </cell>
          <cell r="G3246">
            <v>804028</v>
          </cell>
          <cell r="H3246">
            <v>0</v>
          </cell>
          <cell r="I3246">
            <v>0</v>
          </cell>
          <cell r="J3246">
            <v>0</v>
          </cell>
          <cell r="K3246">
            <v>0</v>
          </cell>
          <cell r="L3246">
            <v>0</v>
          </cell>
          <cell r="M3246">
            <v>0</v>
          </cell>
          <cell r="N3246">
            <v>0</v>
          </cell>
          <cell r="O3246">
            <v>0</v>
          </cell>
          <cell r="P3246">
            <v>0</v>
          </cell>
          <cell r="Q3246">
            <v>0</v>
          </cell>
          <cell r="R3246">
            <v>0</v>
          </cell>
          <cell r="S3246">
            <v>0</v>
          </cell>
          <cell r="T3246">
            <v>0</v>
          </cell>
          <cell r="U3246">
            <v>0</v>
          </cell>
          <cell r="V3246">
            <v>0</v>
          </cell>
          <cell r="W3246">
            <v>0</v>
          </cell>
        </row>
        <row r="3247">
          <cell r="A3247" t="str">
            <v>450197</v>
          </cell>
          <cell r="B3247" t="str">
            <v>1251</v>
          </cell>
          <cell r="C3247" t="str">
            <v>12</v>
          </cell>
          <cell r="D3247" t="str">
            <v>21</v>
          </cell>
          <cell r="E3247">
            <v>33</v>
          </cell>
          <cell r="G3247">
            <v>805113</v>
          </cell>
          <cell r="H3247">
            <v>0</v>
          </cell>
          <cell r="I3247">
            <v>0</v>
          </cell>
          <cell r="J3247">
            <v>0</v>
          </cell>
          <cell r="K3247">
            <v>0</v>
          </cell>
          <cell r="L3247">
            <v>0</v>
          </cell>
          <cell r="M3247">
            <v>0</v>
          </cell>
          <cell r="N3247">
            <v>0</v>
          </cell>
          <cell r="O3247">
            <v>0</v>
          </cell>
          <cell r="P3247">
            <v>0</v>
          </cell>
          <cell r="Q3247">
            <v>0</v>
          </cell>
          <cell r="R3247">
            <v>0</v>
          </cell>
          <cell r="S3247">
            <v>0</v>
          </cell>
          <cell r="T3247">
            <v>0</v>
          </cell>
          <cell r="U3247">
            <v>0</v>
          </cell>
          <cell r="V3247">
            <v>0</v>
          </cell>
          <cell r="W3247">
            <v>0</v>
          </cell>
        </row>
        <row r="3248">
          <cell r="A3248" t="str">
            <v>450197</v>
          </cell>
          <cell r="B3248" t="str">
            <v>1251</v>
          </cell>
          <cell r="C3248" t="str">
            <v>12</v>
          </cell>
          <cell r="D3248" t="str">
            <v>21</v>
          </cell>
          <cell r="E3248">
            <v>33</v>
          </cell>
          <cell r="G3248">
            <v>851297</v>
          </cell>
          <cell r="H3248">
            <v>0</v>
          </cell>
          <cell r="I3248">
            <v>0</v>
          </cell>
          <cell r="J3248">
            <v>0</v>
          </cell>
          <cell r="K3248">
            <v>0</v>
          </cell>
          <cell r="L3248">
            <v>0</v>
          </cell>
          <cell r="M3248">
            <v>0</v>
          </cell>
          <cell r="N3248">
            <v>0</v>
          </cell>
          <cell r="O3248">
            <v>0</v>
          </cell>
          <cell r="P3248">
            <v>0</v>
          </cell>
          <cell r="Q3248">
            <v>0</v>
          </cell>
          <cell r="R3248">
            <v>0</v>
          </cell>
          <cell r="S3248">
            <v>0</v>
          </cell>
          <cell r="T3248">
            <v>0</v>
          </cell>
          <cell r="U3248">
            <v>0</v>
          </cell>
          <cell r="V3248">
            <v>0</v>
          </cell>
          <cell r="W3248">
            <v>0</v>
          </cell>
        </row>
        <row r="3249">
          <cell r="A3249" t="str">
            <v>450197</v>
          </cell>
          <cell r="B3249" t="str">
            <v>1251</v>
          </cell>
          <cell r="C3249" t="str">
            <v>12</v>
          </cell>
          <cell r="D3249" t="str">
            <v>21</v>
          </cell>
          <cell r="E3249">
            <v>33</v>
          </cell>
          <cell r="G3249">
            <v>851912</v>
          </cell>
          <cell r="H3249">
            <v>0</v>
          </cell>
          <cell r="I3249">
            <v>0</v>
          </cell>
          <cell r="J3249">
            <v>0</v>
          </cell>
          <cell r="K3249">
            <v>0</v>
          </cell>
          <cell r="L3249">
            <v>0</v>
          </cell>
          <cell r="M3249">
            <v>0</v>
          </cell>
          <cell r="N3249">
            <v>0</v>
          </cell>
          <cell r="O3249">
            <v>0</v>
          </cell>
          <cell r="P3249">
            <v>0</v>
          </cell>
          <cell r="Q3249">
            <v>0</v>
          </cell>
          <cell r="R3249">
            <v>0</v>
          </cell>
          <cell r="S3249">
            <v>0</v>
          </cell>
          <cell r="T3249">
            <v>0</v>
          </cell>
          <cell r="U3249">
            <v>0</v>
          </cell>
          <cell r="V3249">
            <v>0</v>
          </cell>
          <cell r="W3249">
            <v>0</v>
          </cell>
        </row>
        <row r="3250">
          <cell r="A3250" t="str">
            <v>450197</v>
          </cell>
          <cell r="B3250" t="str">
            <v>1251</v>
          </cell>
          <cell r="C3250" t="str">
            <v>12</v>
          </cell>
          <cell r="D3250" t="str">
            <v>21</v>
          </cell>
          <cell r="E3250">
            <v>33</v>
          </cell>
          <cell r="G3250">
            <v>853211</v>
          </cell>
          <cell r="H3250">
            <v>0</v>
          </cell>
          <cell r="I3250">
            <v>0</v>
          </cell>
          <cell r="J3250">
            <v>0</v>
          </cell>
          <cell r="K3250">
            <v>0</v>
          </cell>
          <cell r="L3250">
            <v>0</v>
          </cell>
          <cell r="M3250">
            <v>0</v>
          </cell>
          <cell r="N3250">
            <v>0</v>
          </cell>
          <cell r="O3250">
            <v>0</v>
          </cell>
          <cell r="P3250">
            <v>0</v>
          </cell>
          <cell r="Q3250">
            <v>0</v>
          </cell>
          <cell r="R3250">
            <v>0</v>
          </cell>
          <cell r="S3250">
            <v>0</v>
          </cell>
          <cell r="T3250">
            <v>0</v>
          </cell>
          <cell r="U3250">
            <v>0</v>
          </cell>
          <cell r="V3250">
            <v>0</v>
          </cell>
          <cell r="W3250">
            <v>0</v>
          </cell>
        </row>
        <row r="3251">
          <cell r="A3251" t="str">
            <v>450197</v>
          </cell>
          <cell r="B3251" t="str">
            <v>1251</v>
          </cell>
          <cell r="C3251" t="str">
            <v>12</v>
          </cell>
          <cell r="D3251" t="str">
            <v>21</v>
          </cell>
          <cell r="E3251">
            <v>33</v>
          </cell>
          <cell r="G3251">
            <v>853244</v>
          </cell>
          <cell r="H3251">
            <v>0</v>
          </cell>
          <cell r="I3251">
            <v>0</v>
          </cell>
          <cell r="J3251">
            <v>0</v>
          </cell>
          <cell r="K3251">
            <v>0</v>
          </cell>
          <cell r="L3251">
            <v>0</v>
          </cell>
          <cell r="M3251">
            <v>0</v>
          </cell>
          <cell r="N3251">
            <v>0</v>
          </cell>
          <cell r="O3251">
            <v>0</v>
          </cell>
          <cell r="P3251">
            <v>0</v>
          </cell>
          <cell r="Q3251">
            <v>0</v>
          </cell>
          <cell r="R3251">
            <v>0</v>
          </cell>
          <cell r="S3251">
            <v>0</v>
          </cell>
          <cell r="T3251">
            <v>0</v>
          </cell>
          <cell r="U3251">
            <v>0</v>
          </cell>
          <cell r="V3251">
            <v>0</v>
          </cell>
          <cell r="W3251">
            <v>0</v>
          </cell>
        </row>
        <row r="3252">
          <cell r="A3252" t="str">
            <v>450197</v>
          </cell>
          <cell r="B3252" t="str">
            <v>1251</v>
          </cell>
          <cell r="C3252" t="str">
            <v>12</v>
          </cell>
          <cell r="D3252" t="str">
            <v>21</v>
          </cell>
          <cell r="E3252">
            <v>33</v>
          </cell>
          <cell r="G3252">
            <v>921815</v>
          </cell>
          <cell r="H3252">
            <v>0</v>
          </cell>
          <cell r="I3252">
            <v>0</v>
          </cell>
          <cell r="J3252">
            <v>0</v>
          </cell>
          <cell r="K3252">
            <v>0</v>
          </cell>
          <cell r="L3252">
            <v>0</v>
          </cell>
          <cell r="M3252">
            <v>0</v>
          </cell>
          <cell r="N3252">
            <v>0</v>
          </cell>
          <cell r="O3252">
            <v>0</v>
          </cell>
          <cell r="P3252">
            <v>0</v>
          </cell>
          <cell r="Q3252">
            <v>0</v>
          </cell>
          <cell r="R3252">
            <v>0</v>
          </cell>
          <cell r="S3252">
            <v>0</v>
          </cell>
          <cell r="T3252">
            <v>0</v>
          </cell>
          <cell r="U3252">
            <v>0</v>
          </cell>
          <cell r="V3252">
            <v>0</v>
          </cell>
          <cell r="W3252">
            <v>0</v>
          </cell>
        </row>
        <row r="3253">
          <cell r="A3253" t="str">
            <v>450197</v>
          </cell>
          <cell r="B3253" t="str">
            <v>1251</v>
          </cell>
          <cell r="C3253" t="str">
            <v>12</v>
          </cell>
          <cell r="D3253" t="str">
            <v>21</v>
          </cell>
          <cell r="E3253">
            <v>33</v>
          </cell>
          <cell r="G3253">
            <v>923127</v>
          </cell>
          <cell r="H3253">
            <v>0</v>
          </cell>
          <cell r="I3253">
            <v>0</v>
          </cell>
          <cell r="J3253">
            <v>0</v>
          </cell>
          <cell r="K3253">
            <v>0</v>
          </cell>
          <cell r="L3253">
            <v>0</v>
          </cell>
          <cell r="M3253">
            <v>0</v>
          </cell>
          <cell r="N3253">
            <v>0</v>
          </cell>
          <cell r="O3253">
            <v>0</v>
          </cell>
          <cell r="P3253">
            <v>0</v>
          </cell>
          <cell r="Q3253">
            <v>0</v>
          </cell>
          <cell r="R3253">
            <v>0</v>
          </cell>
          <cell r="S3253">
            <v>0</v>
          </cell>
          <cell r="T3253">
            <v>0</v>
          </cell>
          <cell r="U3253">
            <v>0</v>
          </cell>
          <cell r="V3253">
            <v>0</v>
          </cell>
          <cell r="W3253">
            <v>0</v>
          </cell>
        </row>
        <row r="3254">
          <cell r="A3254" t="str">
            <v>450197</v>
          </cell>
          <cell r="B3254" t="str">
            <v>1251</v>
          </cell>
          <cell r="C3254" t="str">
            <v>12</v>
          </cell>
          <cell r="D3254" t="str">
            <v>21</v>
          </cell>
          <cell r="E3254">
            <v>33</v>
          </cell>
          <cell r="G3254">
            <v>924014</v>
          </cell>
          <cell r="H3254">
            <v>0</v>
          </cell>
          <cell r="I3254">
            <v>0</v>
          </cell>
          <cell r="J3254">
            <v>0</v>
          </cell>
          <cell r="K3254">
            <v>0</v>
          </cell>
          <cell r="L3254">
            <v>0</v>
          </cell>
          <cell r="M3254">
            <v>0</v>
          </cell>
          <cell r="N3254">
            <v>0</v>
          </cell>
          <cell r="O3254">
            <v>0</v>
          </cell>
          <cell r="P3254">
            <v>0</v>
          </cell>
          <cell r="Q3254">
            <v>0</v>
          </cell>
          <cell r="R3254">
            <v>0</v>
          </cell>
          <cell r="S3254">
            <v>0</v>
          </cell>
          <cell r="T3254">
            <v>0</v>
          </cell>
          <cell r="U3254">
            <v>0</v>
          </cell>
          <cell r="V3254">
            <v>0</v>
          </cell>
          <cell r="W3254">
            <v>0</v>
          </cell>
        </row>
        <row r="3255">
          <cell r="A3255" t="str">
            <v>450197</v>
          </cell>
          <cell r="B3255" t="str">
            <v>1251</v>
          </cell>
          <cell r="C3255" t="str">
            <v>12</v>
          </cell>
          <cell r="D3255" t="str">
            <v>21</v>
          </cell>
          <cell r="E3255">
            <v>33</v>
          </cell>
          <cell r="G3255">
            <v>926018</v>
          </cell>
          <cell r="H3255">
            <v>0</v>
          </cell>
          <cell r="I3255">
            <v>0</v>
          </cell>
          <cell r="J3255">
            <v>0</v>
          </cell>
          <cell r="K3255">
            <v>0</v>
          </cell>
          <cell r="L3255">
            <v>0</v>
          </cell>
          <cell r="M3255">
            <v>0</v>
          </cell>
          <cell r="N3255">
            <v>0</v>
          </cell>
          <cell r="O3255">
            <v>0</v>
          </cell>
          <cell r="P3255">
            <v>0</v>
          </cell>
          <cell r="Q3255">
            <v>0</v>
          </cell>
          <cell r="R3255">
            <v>0</v>
          </cell>
          <cell r="S3255">
            <v>0</v>
          </cell>
          <cell r="T3255">
            <v>0</v>
          </cell>
          <cell r="U3255">
            <v>0</v>
          </cell>
          <cell r="V3255">
            <v>0</v>
          </cell>
          <cell r="W3255">
            <v>0</v>
          </cell>
        </row>
        <row r="3256">
          <cell r="A3256" t="str">
            <v>450197</v>
          </cell>
          <cell r="B3256" t="str">
            <v>1251</v>
          </cell>
          <cell r="C3256" t="str">
            <v>12</v>
          </cell>
          <cell r="D3256" t="str">
            <v>21</v>
          </cell>
          <cell r="E3256">
            <v>33</v>
          </cell>
          <cell r="G3256">
            <v>930910</v>
          </cell>
          <cell r="H3256">
            <v>0</v>
          </cell>
          <cell r="I3256">
            <v>0</v>
          </cell>
          <cell r="J3256">
            <v>0</v>
          </cell>
          <cell r="K3256">
            <v>0</v>
          </cell>
          <cell r="L3256">
            <v>0</v>
          </cell>
          <cell r="M3256">
            <v>0</v>
          </cell>
          <cell r="N3256">
            <v>0</v>
          </cell>
          <cell r="O3256">
            <v>0</v>
          </cell>
          <cell r="P3256">
            <v>0</v>
          </cell>
          <cell r="Q3256">
            <v>0</v>
          </cell>
          <cell r="R3256">
            <v>0</v>
          </cell>
          <cell r="S3256">
            <v>0</v>
          </cell>
          <cell r="T3256">
            <v>0</v>
          </cell>
          <cell r="U3256">
            <v>0</v>
          </cell>
          <cell r="V3256">
            <v>0</v>
          </cell>
          <cell r="W3256">
            <v>0</v>
          </cell>
        </row>
        <row r="3257">
          <cell r="A3257" t="str">
            <v>450197</v>
          </cell>
          <cell r="B3257" t="str">
            <v>1251</v>
          </cell>
          <cell r="C3257" t="str">
            <v>12</v>
          </cell>
          <cell r="D3257" t="str">
            <v>21</v>
          </cell>
          <cell r="E3257">
            <v>33</v>
          </cell>
          <cell r="G3257">
            <v>999999</v>
          </cell>
          <cell r="H3257">
            <v>0</v>
          </cell>
          <cell r="I3257">
            <v>0</v>
          </cell>
          <cell r="J3257">
            <v>0</v>
          </cell>
          <cell r="K3257">
            <v>0</v>
          </cell>
          <cell r="L3257">
            <v>0</v>
          </cell>
          <cell r="M3257">
            <v>0</v>
          </cell>
          <cell r="N3257">
            <v>0</v>
          </cell>
          <cell r="O3257">
            <v>0</v>
          </cell>
          <cell r="P3257">
            <v>0</v>
          </cell>
          <cell r="Q3257">
            <v>0</v>
          </cell>
          <cell r="R3257">
            <v>0</v>
          </cell>
          <cell r="S3257">
            <v>0</v>
          </cell>
          <cell r="T3257">
            <v>0</v>
          </cell>
          <cell r="U3257">
            <v>0</v>
          </cell>
          <cell r="V3257">
            <v>0</v>
          </cell>
          <cell r="W3257">
            <v>0</v>
          </cell>
        </row>
        <row r="3258">
          <cell r="A3258" t="str">
            <v>450197</v>
          </cell>
          <cell r="B3258" t="str">
            <v>1251</v>
          </cell>
          <cell r="C3258" t="str">
            <v>12</v>
          </cell>
          <cell r="D3258" t="str">
            <v>21</v>
          </cell>
          <cell r="E3258">
            <v>49</v>
          </cell>
          <cell r="G3258">
            <v>551414</v>
          </cell>
          <cell r="H3258">
            <v>0</v>
          </cell>
          <cell r="I3258">
            <v>0</v>
          </cell>
          <cell r="J3258">
            <v>0</v>
          </cell>
          <cell r="K3258">
            <v>0</v>
          </cell>
          <cell r="L3258">
            <v>0</v>
          </cell>
          <cell r="M3258">
            <v>0</v>
          </cell>
          <cell r="N3258">
            <v>0</v>
          </cell>
          <cell r="O3258">
            <v>0</v>
          </cell>
          <cell r="P3258">
            <v>0</v>
          </cell>
          <cell r="Q3258">
            <v>0</v>
          </cell>
          <cell r="R3258">
            <v>0</v>
          </cell>
          <cell r="S3258">
            <v>0</v>
          </cell>
          <cell r="T3258">
            <v>0</v>
          </cell>
          <cell r="U3258">
            <v>0</v>
          </cell>
          <cell r="V3258">
            <v>0</v>
          </cell>
          <cell r="W3258">
            <v>0</v>
          </cell>
        </row>
        <row r="3259">
          <cell r="A3259" t="str">
            <v>450197</v>
          </cell>
          <cell r="B3259" t="str">
            <v>1251</v>
          </cell>
          <cell r="C3259" t="str">
            <v>12</v>
          </cell>
          <cell r="D3259" t="str">
            <v>21</v>
          </cell>
          <cell r="E3259">
            <v>49</v>
          </cell>
          <cell r="G3259">
            <v>552312</v>
          </cell>
          <cell r="H3259">
            <v>0</v>
          </cell>
          <cell r="I3259">
            <v>0</v>
          </cell>
          <cell r="J3259">
            <v>0</v>
          </cell>
          <cell r="K3259">
            <v>0</v>
          </cell>
          <cell r="L3259">
            <v>0</v>
          </cell>
          <cell r="M3259">
            <v>0</v>
          </cell>
          <cell r="N3259">
            <v>0</v>
          </cell>
          <cell r="O3259">
            <v>0</v>
          </cell>
          <cell r="P3259">
            <v>0</v>
          </cell>
          <cell r="Q3259">
            <v>0</v>
          </cell>
          <cell r="R3259">
            <v>0</v>
          </cell>
          <cell r="S3259">
            <v>0</v>
          </cell>
          <cell r="T3259">
            <v>0</v>
          </cell>
          <cell r="U3259">
            <v>0</v>
          </cell>
          <cell r="V3259">
            <v>0</v>
          </cell>
          <cell r="W3259">
            <v>5238</v>
          </cell>
        </row>
        <row r="3260">
          <cell r="A3260" t="str">
            <v>450197</v>
          </cell>
          <cell r="B3260" t="str">
            <v>1251</v>
          </cell>
          <cell r="C3260" t="str">
            <v>12</v>
          </cell>
          <cell r="D3260" t="str">
            <v>21</v>
          </cell>
          <cell r="E3260">
            <v>49</v>
          </cell>
          <cell r="G3260">
            <v>552323</v>
          </cell>
          <cell r="H3260">
            <v>0</v>
          </cell>
          <cell r="I3260">
            <v>0</v>
          </cell>
          <cell r="J3260">
            <v>0</v>
          </cell>
          <cell r="K3260">
            <v>0</v>
          </cell>
          <cell r="L3260">
            <v>0</v>
          </cell>
          <cell r="M3260">
            <v>0</v>
          </cell>
          <cell r="N3260">
            <v>0</v>
          </cell>
          <cell r="O3260">
            <v>0</v>
          </cell>
          <cell r="P3260">
            <v>0</v>
          </cell>
          <cell r="Q3260">
            <v>0</v>
          </cell>
          <cell r="R3260">
            <v>0</v>
          </cell>
          <cell r="S3260">
            <v>0</v>
          </cell>
          <cell r="T3260">
            <v>0</v>
          </cell>
          <cell r="U3260">
            <v>0</v>
          </cell>
          <cell r="V3260">
            <v>0</v>
          </cell>
          <cell r="W3260">
            <v>0</v>
          </cell>
        </row>
        <row r="3261">
          <cell r="A3261" t="str">
            <v>450197</v>
          </cell>
          <cell r="B3261" t="str">
            <v>1251</v>
          </cell>
          <cell r="C3261" t="str">
            <v>12</v>
          </cell>
          <cell r="D3261" t="str">
            <v>21</v>
          </cell>
          <cell r="E3261">
            <v>49</v>
          </cell>
          <cell r="G3261">
            <v>552411</v>
          </cell>
          <cell r="H3261">
            <v>0</v>
          </cell>
          <cell r="I3261">
            <v>0</v>
          </cell>
          <cell r="J3261">
            <v>0</v>
          </cell>
          <cell r="K3261">
            <v>0</v>
          </cell>
          <cell r="L3261">
            <v>0</v>
          </cell>
          <cell r="M3261">
            <v>0</v>
          </cell>
          <cell r="N3261">
            <v>0</v>
          </cell>
          <cell r="O3261">
            <v>0</v>
          </cell>
          <cell r="P3261">
            <v>0</v>
          </cell>
          <cell r="Q3261">
            <v>0</v>
          </cell>
          <cell r="R3261">
            <v>0</v>
          </cell>
          <cell r="S3261">
            <v>0</v>
          </cell>
          <cell r="T3261">
            <v>0</v>
          </cell>
          <cell r="U3261">
            <v>0</v>
          </cell>
          <cell r="V3261">
            <v>0</v>
          </cell>
          <cell r="W3261">
            <v>0</v>
          </cell>
        </row>
        <row r="3262">
          <cell r="A3262" t="str">
            <v>450197</v>
          </cell>
          <cell r="B3262" t="str">
            <v>1251</v>
          </cell>
          <cell r="C3262" t="str">
            <v>12</v>
          </cell>
          <cell r="D3262" t="str">
            <v>21</v>
          </cell>
          <cell r="E3262">
            <v>49</v>
          </cell>
          <cell r="G3262">
            <v>701015</v>
          </cell>
          <cell r="H3262">
            <v>0</v>
          </cell>
          <cell r="I3262">
            <v>0</v>
          </cell>
          <cell r="J3262">
            <v>0</v>
          </cell>
          <cell r="K3262">
            <v>0</v>
          </cell>
          <cell r="L3262">
            <v>0</v>
          </cell>
          <cell r="M3262">
            <v>0</v>
          </cell>
          <cell r="N3262">
            <v>0</v>
          </cell>
          <cell r="O3262">
            <v>0</v>
          </cell>
          <cell r="P3262">
            <v>0</v>
          </cell>
          <cell r="Q3262">
            <v>0</v>
          </cell>
          <cell r="R3262">
            <v>0</v>
          </cell>
          <cell r="S3262">
            <v>0</v>
          </cell>
          <cell r="T3262">
            <v>0</v>
          </cell>
          <cell r="U3262">
            <v>0</v>
          </cell>
          <cell r="V3262">
            <v>0</v>
          </cell>
          <cell r="W3262">
            <v>0</v>
          </cell>
        </row>
        <row r="3263">
          <cell r="A3263" t="str">
            <v>450197</v>
          </cell>
          <cell r="B3263" t="str">
            <v>1251</v>
          </cell>
          <cell r="C3263" t="str">
            <v>12</v>
          </cell>
          <cell r="D3263" t="str">
            <v>21</v>
          </cell>
          <cell r="E3263">
            <v>49</v>
          </cell>
          <cell r="G3263">
            <v>751757</v>
          </cell>
          <cell r="H3263">
            <v>0</v>
          </cell>
          <cell r="I3263">
            <v>0</v>
          </cell>
          <cell r="J3263">
            <v>0</v>
          </cell>
          <cell r="K3263">
            <v>0</v>
          </cell>
          <cell r="L3263">
            <v>0</v>
          </cell>
          <cell r="M3263">
            <v>0</v>
          </cell>
          <cell r="N3263">
            <v>0</v>
          </cell>
          <cell r="O3263">
            <v>0</v>
          </cell>
          <cell r="P3263">
            <v>0</v>
          </cell>
          <cell r="Q3263">
            <v>0</v>
          </cell>
          <cell r="R3263">
            <v>0</v>
          </cell>
          <cell r="S3263">
            <v>0</v>
          </cell>
          <cell r="T3263">
            <v>0</v>
          </cell>
          <cell r="U3263">
            <v>0</v>
          </cell>
          <cell r="V3263">
            <v>0</v>
          </cell>
          <cell r="W3263">
            <v>84</v>
          </cell>
        </row>
        <row r="3264">
          <cell r="A3264" t="str">
            <v>450197</v>
          </cell>
          <cell r="B3264" t="str">
            <v>1251</v>
          </cell>
          <cell r="C3264" t="str">
            <v>12</v>
          </cell>
          <cell r="D3264" t="str">
            <v>21</v>
          </cell>
          <cell r="E3264">
            <v>49</v>
          </cell>
          <cell r="G3264">
            <v>751768</v>
          </cell>
          <cell r="H3264">
            <v>0</v>
          </cell>
          <cell r="I3264">
            <v>0</v>
          </cell>
          <cell r="J3264">
            <v>0</v>
          </cell>
          <cell r="K3264">
            <v>0</v>
          </cell>
          <cell r="L3264">
            <v>0</v>
          </cell>
          <cell r="M3264">
            <v>0</v>
          </cell>
          <cell r="N3264">
            <v>0</v>
          </cell>
          <cell r="O3264">
            <v>0</v>
          </cell>
          <cell r="P3264">
            <v>0</v>
          </cell>
          <cell r="Q3264">
            <v>0</v>
          </cell>
          <cell r="R3264">
            <v>0</v>
          </cell>
          <cell r="S3264">
            <v>0</v>
          </cell>
          <cell r="T3264">
            <v>0</v>
          </cell>
          <cell r="U3264">
            <v>0</v>
          </cell>
          <cell r="V3264">
            <v>0</v>
          </cell>
          <cell r="W3264">
            <v>0</v>
          </cell>
        </row>
        <row r="3265">
          <cell r="A3265" t="str">
            <v>450197</v>
          </cell>
          <cell r="B3265" t="str">
            <v>1251</v>
          </cell>
          <cell r="C3265" t="str">
            <v>12</v>
          </cell>
          <cell r="D3265" t="str">
            <v>21</v>
          </cell>
          <cell r="E3265">
            <v>49</v>
          </cell>
          <cell r="G3265">
            <v>751845</v>
          </cell>
          <cell r="H3265">
            <v>0</v>
          </cell>
          <cell r="I3265">
            <v>0</v>
          </cell>
          <cell r="J3265">
            <v>0</v>
          </cell>
          <cell r="K3265">
            <v>0</v>
          </cell>
          <cell r="L3265">
            <v>0</v>
          </cell>
          <cell r="M3265">
            <v>0</v>
          </cell>
          <cell r="N3265">
            <v>0</v>
          </cell>
          <cell r="O3265">
            <v>0</v>
          </cell>
          <cell r="P3265">
            <v>0</v>
          </cell>
          <cell r="Q3265">
            <v>0</v>
          </cell>
          <cell r="R3265">
            <v>0</v>
          </cell>
          <cell r="S3265">
            <v>0</v>
          </cell>
          <cell r="T3265">
            <v>0</v>
          </cell>
          <cell r="U3265">
            <v>0</v>
          </cell>
          <cell r="V3265">
            <v>0</v>
          </cell>
          <cell r="W3265">
            <v>0</v>
          </cell>
        </row>
        <row r="3266">
          <cell r="A3266" t="str">
            <v>450197</v>
          </cell>
          <cell r="B3266" t="str">
            <v>1251</v>
          </cell>
          <cell r="C3266" t="str">
            <v>12</v>
          </cell>
          <cell r="D3266" t="str">
            <v>21</v>
          </cell>
          <cell r="E3266">
            <v>49</v>
          </cell>
          <cell r="G3266">
            <v>801115</v>
          </cell>
          <cell r="H3266">
            <v>0</v>
          </cell>
          <cell r="I3266">
            <v>0</v>
          </cell>
          <cell r="J3266">
            <v>0</v>
          </cell>
          <cell r="K3266">
            <v>0</v>
          </cell>
          <cell r="L3266">
            <v>0</v>
          </cell>
          <cell r="M3266">
            <v>0</v>
          </cell>
          <cell r="N3266">
            <v>0</v>
          </cell>
          <cell r="O3266">
            <v>0</v>
          </cell>
          <cell r="P3266">
            <v>0</v>
          </cell>
          <cell r="Q3266">
            <v>0</v>
          </cell>
          <cell r="R3266">
            <v>0</v>
          </cell>
          <cell r="S3266">
            <v>0</v>
          </cell>
          <cell r="T3266">
            <v>0</v>
          </cell>
          <cell r="U3266">
            <v>0</v>
          </cell>
          <cell r="V3266">
            <v>0</v>
          </cell>
          <cell r="W3266">
            <v>0</v>
          </cell>
        </row>
        <row r="3267">
          <cell r="A3267" t="str">
            <v>450197</v>
          </cell>
          <cell r="B3267" t="str">
            <v>1251</v>
          </cell>
          <cell r="C3267" t="str">
            <v>12</v>
          </cell>
          <cell r="D3267" t="str">
            <v>21</v>
          </cell>
          <cell r="E3267">
            <v>49</v>
          </cell>
          <cell r="G3267">
            <v>801214</v>
          </cell>
          <cell r="H3267">
            <v>0</v>
          </cell>
          <cell r="I3267">
            <v>0</v>
          </cell>
          <cell r="J3267">
            <v>0</v>
          </cell>
          <cell r="K3267">
            <v>0</v>
          </cell>
          <cell r="L3267">
            <v>0</v>
          </cell>
          <cell r="M3267">
            <v>0</v>
          </cell>
          <cell r="N3267">
            <v>0</v>
          </cell>
          <cell r="O3267">
            <v>0</v>
          </cell>
          <cell r="P3267">
            <v>0</v>
          </cell>
          <cell r="Q3267">
            <v>0</v>
          </cell>
          <cell r="R3267">
            <v>0</v>
          </cell>
          <cell r="S3267">
            <v>0</v>
          </cell>
          <cell r="T3267">
            <v>0</v>
          </cell>
          <cell r="U3267">
            <v>0</v>
          </cell>
          <cell r="V3267">
            <v>0</v>
          </cell>
          <cell r="W3267">
            <v>0</v>
          </cell>
        </row>
        <row r="3268">
          <cell r="A3268" t="str">
            <v>450197</v>
          </cell>
          <cell r="B3268" t="str">
            <v>1251</v>
          </cell>
          <cell r="C3268" t="str">
            <v>12</v>
          </cell>
          <cell r="D3268" t="str">
            <v>21</v>
          </cell>
          <cell r="E3268">
            <v>49</v>
          </cell>
          <cell r="G3268">
            <v>801236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</row>
        <row r="3269">
          <cell r="A3269" t="str">
            <v>450197</v>
          </cell>
          <cell r="B3269" t="str">
            <v>1251</v>
          </cell>
          <cell r="C3269" t="str">
            <v>12</v>
          </cell>
          <cell r="D3269" t="str">
            <v>21</v>
          </cell>
          <cell r="E3269">
            <v>49</v>
          </cell>
          <cell r="G3269">
            <v>802144</v>
          </cell>
          <cell r="H3269">
            <v>0</v>
          </cell>
          <cell r="I3269">
            <v>0</v>
          </cell>
          <cell r="J3269">
            <v>0</v>
          </cell>
          <cell r="K3269">
            <v>0</v>
          </cell>
          <cell r="L3269">
            <v>0</v>
          </cell>
          <cell r="M3269">
            <v>0</v>
          </cell>
          <cell r="N3269">
            <v>0</v>
          </cell>
          <cell r="O3269">
            <v>0</v>
          </cell>
          <cell r="P3269">
            <v>0</v>
          </cell>
          <cell r="Q3269">
            <v>0</v>
          </cell>
          <cell r="R3269">
            <v>0</v>
          </cell>
          <cell r="S3269">
            <v>0</v>
          </cell>
          <cell r="T3269">
            <v>0</v>
          </cell>
          <cell r="U3269">
            <v>92</v>
          </cell>
          <cell r="V3269">
            <v>0</v>
          </cell>
          <cell r="W3269">
            <v>1420</v>
          </cell>
        </row>
        <row r="3270">
          <cell r="A3270" t="str">
            <v>450197</v>
          </cell>
          <cell r="B3270" t="str">
            <v>1251</v>
          </cell>
          <cell r="C3270" t="str">
            <v>12</v>
          </cell>
          <cell r="D3270" t="str">
            <v>21</v>
          </cell>
          <cell r="E3270">
            <v>49</v>
          </cell>
          <cell r="G3270">
            <v>802166</v>
          </cell>
          <cell r="H3270">
            <v>0</v>
          </cell>
          <cell r="I3270">
            <v>0</v>
          </cell>
          <cell r="J3270">
            <v>0</v>
          </cell>
          <cell r="K3270">
            <v>0</v>
          </cell>
          <cell r="L3270">
            <v>0</v>
          </cell>
          <cell r="M3270">
            <v>0</v>
          </cell>
          <cell r="N3270">
            <v>0</v>
          </cell>
          <cell r="O3270">
            <v>0</v>
          </cell>
          <cell r="P3270">
            <v>0</v>
          </cell>
          <cell r="Q3270">
            <v>0</v>
          </cell>
          <cell r="R3270">
            <v>0</v>
          </cell>
          <cell r="S3270">
            <v>0</v>
          </cell>
          <cell r="T3270">
            <v>0</v>
          </cell>
          <cell r="U3270">
            <v>0</v>
          </cell>
          <cell r="V3270">
            <v>0</v>
          </cell>
          <cell r="W3270">
            <v>0</v>
          </cell>
        </row>
        <row r="3271">
          <cell r="A3271" t="str">
            <v>450197</v>
          </cell>
          <cell r="B3271" t="str">
            <v>1251</v>
          </cell>
          <cell r="C3271" t="str">
            <v>12</v>
          </cell>
          <cell r="D3271" t="str">
            <v>21</v>
          </cell>
          <cell r="E3271">
            <v>49</v>
          </cell>
          <cell r="G3271">
            <v>802177</v>
          </cell>
          <cell r="H3271">
            <v>0</v>
          </cell>
          <cell r="I3271">
            <v>0</v>
          </cell>
          <cell r="J3271">
            <v>0</v>
          </cell>
          <cell r="K3271">
            <v>0</v>
          </cell>
          <cell r="L3271">
            <v>0</v>
          </cell>
          <cell r="M3271">
            <v>0</v>
          </cell>
          <cell r="N3271">
            <v>0</v>
          </cell>
          <cell r="O3271">
            <v>0</v>
          </cell>
          <cell r="P3271">
            <v>0</v>
          </cell>
          <cell r="Q3271">
            <v>0</v>
          </cell>
          <cell r="R3271">
            <v>0</v>
          </cell>
          <cell r="S3271">
            <v>0</v>
          </cell>
          <cell r="T3271">
            <v>0</v>
          </cell>
          <cell r="U3271">
            <v>9</v>
          </cell>
          <cell r="V3271">
            <v>0</v>
          </cell>
          <cell r="W3271">
            <v>680</v>
          </cell>
        </row>
        <row r="3272">
          <cell r="A3272" t="str">
            <v>450197</v>
          </cell>
          <cell r="B3272" t="str">
            <v>1251</v>
          </cell>
          <cell r="C3272" t="str">
            <v>12</v>
          </cell>
          <cell r="D3272" t="str">
            <v>21</v>
          </cell>
          <cell r="E3272">
            <v>49</v>
          </cell>
          <cell r="G3272">
            <v>802199</v>
          </cell>
          <cell r="H3272">
            <v>0</v>
          </cell>
          <cell r="I3272">
            <v>0</v>
          </cell>
          <cell r="J3272">
            <v>0</v>
          </cell>
          <cell r="K3272">
            <v>0</v>
          </cell>
          <cell r="L3272">
            <v>0</v>
          </cell>
          <cell r="M3272">
            <v>0</v>
          </cell>
          <cell r="N3272">
            <v>0</v>
          </cell>
          <cell r="O3272">
            <v>0</v>
          </cell>
          <cell r="P3272">
            <v>0</v>
          </cell>
          <cell r="Q3272">
            <v>0</v>
          </cell>
          <cell r="R3272">
            <v>0</v>
          </cell>
          <cell r="S3272">
            <v>0</v>
          </cell>
          <cell r="T3272">
            <v>0</v>
          </cell>
          <cell r="U3272">
            <v>0</v>
          </cell>
          <cell r="V3272">
            <v>0</v>
          </cell>
          <cell r="W3272">
            <v>0</v>
          </cell>
        </row>
        <row r="3273">
          <cell r="A3273" t="str">
            <v>450197</v>
          </cell>
          <cell r="B3273" t="str">
            <v>1251</v>
          </cell>
          <cell r="C3273" t="str">
            <v>12</v>
          </cell>
          <cell r="D3273" t="str">
            <v>21</v>
          </cell>
          <cell r="E3273">
            <v>49</v>
          </cell>
          <cell r="G3273">
            <v>802263</v>
          </cell>
          <cell r="H3273">
            <v>0</v>
          </cell>
          <cell r="I3273">
            <v>0</v>
          </cell>
          <cell r="J3273">
            <v>0</v>
          </cell>
          <cell r="K3273">
            <v>0</v>
          </cell>
          <cell r="L3273">
            <v>0</v>
          </cell>
          <cell r="M3273">
            <v>0</v>
          </cell>
          <cell r="N3273">
            <v>0</v>
          </cell>
          <cell r="O3273">
            <v>0</v>
          </cell>
          <cell r="P3273">
            <v>0</v>
          </cell>
          <cell r="Q3273">
            <v>0</v>
          </cell>
          <cell r="R3273">
            <v>0</v>
          </cell>
          <cell r="S3273">
            <v>0</v>
          </cell>
          <cell r="T3273">
            <v>0</v>
          </cell>
          <cell r="U3273">
            <v>0</v>
          </cell>
          <cell r="V3273">
            <v>0</v>
          </cell>
          <cell r="W3273">
            <v>5914</v>
          </cell>
        </row>
        <row r="3274">
          <cell r="A3274" t="str">
            <v>450197</v>
          </cell>
          <cell r="B3274" t="str">
            <v>1251</v>
          </cell>
          <cell r="C3274" t="str">
            <v>12</v>
          </cell>
          <cell r="D3274" t="str">
            <v>21</v>
          </cell>
          <cell r="E3274">
            <v>49</v>
          </cell>
          <cell r="G3274">
            <v>804028</v>
          </cell>
          <cell r="H3274">
            <v>0</v>
          </cell>
          <cell r="I3274">
            <v>0</v>
          </cell>
          <cell r="J3274">
            <v>0</v>
          </cell>
          <cell r="K3274">
            <v>0</v>
          </cell>
          <cell r="L3274">
            <v>0</v>
          </cell>
          <cell r="M3274">
            <v>0</v>
          </cell>
          <cell r="N3274">
            <v>0</v>
          </cell>
          <cell r="O3274">
            <v>0</v>
          </cell>
          <cell r="P3274">
            <v>0</v>
          </cell>
          <cell r="Q3274">
            <v>0</v>
          </cell>
          <cell r="R3274">
            <v>0</v>
          </cell>
          <cell r="S3274">
            <v>0</v>
          </cell>
          <cell r="T3274">
            <v>0</v>
          </cell>
          <cell r="U3274">
            <v>0</v>
          </cell>
          <cell r="V3274">
            <v>0</v>
          </cell>
          <cell r="W3274">
            <v>0</v>
          </cell>
        </row>
        <row r="3275">
          <cell r="A3275" t="str">
            <v>450197</v>
          </cell>
          <cell r="B3275" t="str">
            <v>1251</v>
          </cell>
          <cell r="C3275" t="str">
            <v>12</v>
          </cell>
          <cell r="D3275" t="str">
            <v>21</v>
          </cell>
          <cell r="E3275">
            <v>49</v>
          </cell>
          <cell r="G3275">
            <v>805113</v>
          </cell>
          <cell r="H3275">
            <v>0</v>
          </cell>
          <cell r="I3275">
            <v>0</v>
          </cell>
          <cell r="J3275">
            <v>0</v>
          </cell>
          <cell r="K3275">
            <v>0</v>
          </cell>
          <cell r="L3275">
            <v>0</v>
          </cell>
          <cell r="M3275">
            <v>0</v>
          </cell>
          <cell r="N3275">
            <v>0</v>
          </cell>
          <cell r="O3275">
            <v>0</v>
          </cell>
          <cell r="P3275">
            <v>0</v>
          </cell>
          <cell r="Q3275">
            <v>0</v>
          </cell>
          <cell r="R3275">
            <v>0</v>
          </cell>
          <cell r="S3275">
            <v>0</v>
          </cell>
          <cell r="T3275">
            <v>0</v>
          </cell>
          <cell r="U3275">
            <v>0</v>
          </cell>
          <cell r="V3275">
            <v>0</v>
          </cell>
          <cell r="W3275">
            <v>0</v>
          </cell>
        </row>
        <row r="3276">
          <cell r="A3276" t="str">
            <v>450197</v>
          </cell>
          <cell r="B3276" t="str">
            <v>1251</v>
          </cell>
          <cell r="C3276" t="str">
            <v>12</v>
          </cell>
          <cell r="D3276" t="str">
            <v>21</v>
          </cell>
          <cell r="E3276">
            <v>49</v>
          </cell>
          <cell r="G3276">
            <v>851297</v>
          </cell>
          <cell r="H3276">
            <v>0</v>
          </cell>
          <cell r="I3276">
            <v>0</v>
          </cell>
          <cell r="J3276">
            <v>0</v>
          </cell>
          <cell r="K3276">
            <v>0</v>
          </cell>
          <cell r="L3276">
            <v>0</v>
          </cell>
          <cell r="M3276">
            <v>0</v>
          </cell>
          <cell r="N3276">
            <v>0</v>
          </cell>
          <cell r="O3276">
            <v>0</v>
          </cell>
          <cell r="P3276">
            <v>0</v>
          </cell>
          <cell r="Q3276">
            <v>0</v>
          </cell>
          <cell r="R3276">
            <v>0</v>
          </cell>
          <cell r="S3276">
            <v>0</v>
          </cell>
          <cell r="T3276">
            <v>0</v>
          </cell>
          <cell r="U3276">
            <v>0</v>
          </cell>
          <cell r="V3276">
            <v>0</v>
          </cell>
          <cell r="W3276">
            <v>0</v>
          </cell>
        </row>
        <row r="3277">
          <cell r="A3277" t="str">
            <v>450197</v>
          </cell>
          <cell r="B3277" t="str">
            <v>1251</v>
          </cell>
          <cell r="C3277" t="str">
            <v>12</v>
          </cell>
          <cell r="D3277" t="str">
            <v>21</v>
          </cell>
          <cell r="E3277">
            <v>49</v>
          </cell>
          <cell r="G3277">
            <v>851912</v>
          </cell>
          <cell r="H3277">
            <v>0</v>
          </cell>
          <cell r="I3277">
            <v>0</v>
          </cell>
          <cell r="J3277">
            <v>0</v>
          </cell>
          <cell r="K3277">
            <v>0</v>
          </cell>
          <cell r="L3277">
            <v>0</v>
          </cell>
          <cell r="M3277">
            <v>0</v>
          </cell>
          <cell r="N3277">
            <v>0</v>
          </cell>
          <cell r="O3277">
            <v>0</v>
          </cell>
          <cell r="P3277">
            <v>0</v>
          </cell>
          <cell r="Q3277">
            <v>0</v>
          </cell>
          <cell r="R3277">
            <v>0</v>
          </cell>
          <cell r="S3277">
            <v>0</v>
          </cell>
          <cell r="T3277">
            <v>0</v>
          </cell>
          <cell r="U3277">
            <v>0</v>
          </cell>
          <cell r="V3277">
            <v>0</v>
          </cell>
          <cell r="W3277">
            <v>0</v>
          </cell>
        </row>
        <row r="3278">
          <cell r="A3278" t="str">
            <v>450197</v>
          </cell>
          <cell r="B3278" t="str">
            <v>1251</v>
          </cell>
          <cell r="C3278" t="str">
            <v>12</v>
          </cell>
          <cell r="D3278" t="str">
            <v>21</v>
          </cell>
          <cell r="E3278">
            <v>49</v>
          </cell>
          <cell r="G3278">
            <v>853211</v>
          </cell>
          <cell r="H3278">
            <v>0</v>
          </cell>
          <cell r="I3278">
            <v>0</v>
          </cell>
          <cell r="J3278">
            <v>0</v>
          </cell>
          <cell r="K3278">
            <v>0</v>
          </cell>
          <cell r="L3278">
            <v>0</v>
          </cell>
          <cell r="M3278">
            <v>0</v>
          </cell>
          <cell r="N3278">
            <v>0</v>
          </cell>
          <cell r="O3278">
            <v>0</v>
          </cell>
          <cell r="P3278">
            <v>0</v>
          </cell>
          <cell r="Q3278">
            <v>0</v>
          </cell>
          <cell r="R3278">
            <v>0</v>
          </cell>
          <cell r="S3278">
            <v>0</v>
          </cell>
          <cell r="T3278">
            <v>0</v>
          </cell>
          <cell r="U3278">
            <v>0</v>
          </cell>
          <cell r="V3278">
            <v>0</v>
          </cell>
          <cell r="W3278">
            <v>0</v>
          </cell>
        </row>
        <row r="3279">
          <cell r="A3279" t="str">
            <v>450197</v>
          </cell>
          <cell r="B3279" t="str">
            <v>1251</v>
          </cell>
          <cell r="C3279" t="str">
            <v>12</v>
          </cell>
          <cell r="D3279" t="str">
            <v>21</v>
          </cell>
          <cell r="E3279">
            <v>49</v>
          </cell>
          <cell r="G3279">
            <v>853244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0</v>
          </cell>
          <cell r="S3279">
            <v>0</v>
          </cell>
          <cell r="T3279">
            <v>0</v>
          </cell>
          <cell r="U3279">
            <v>0</v>
          </cell>
          <cell r="V3279">
            <v>0</v>
          </cell>
          <cell r="W3279">
            <v>376</v>
          </cell>
        </row>
        <row r="3280">
          <cell r="A3280" t="str">
            <v>450197</v>
          </cell>
          <cell r="B3280" t="str">
            <v>1251</v>
          </cell>
          <cell r="C3280" t="str">
            <v>12</v>
          </cell>
          <cell r="D3280" t="str">
            <v>21</v>
          </cell>
          <cell r="E3280">
            <v>49</v>
          </cell>
          <cell r="G3280">
            <v>921815</v>
          </cell>
          <cell r="H3280">
            <v>0</v>
          </cell>
          <cell r="I3280">
            <v>0</v>
          </cell>
          <cell r="J3280">
            <v>0</v>
          </cell>
          <cell r="K3280">
            <v>0</v>
          </cell>
          <cell r="L3280">
            <v>0</v>
          </cell>
          <cell r="M3280">
            <v>0</v>
          </cell>
          <cell r="N3280">
            <v>0</v>
          </cell>
          <cell r="O3280">
            <v>0</v>
          </cell>
          <cell r="P3280">
            <v>0</v>
          </cell>
          <cell r="Q3280">
            <v>0</v>
          </cell>
          <cell r="R3280">
            <v>0</v>
          </cell>
          <cell r="S3280">
            <v>0</v>
          </cell>
          <cell r="T3280">
            <v>0</v>
          </cell>
          <cell r="U3280">
            <v>0</v>
          </cell>
          <cell r="V3280">
            <v>0</v>
          </cell>
          <cell r="W3280">
            <v>840</v>
          </cell>
        </row>
        <row r="3281">
          <cell r="A3281" t="str">
            <v>450197</v>
          </cell>
          <cell r="B3281" t="str">
            <v>1251</v>
          </cell>
          <cell r="C3281" t="str">
            <v>12</v>
          </cell>
          <cell r="D3281" t="str">
            <v>21</v>
          </cell>
          <cell r="E3281">
            <v>49</v>
          </cell>
          <cell r="G3281">
            <v>923127</v>
          </cell>
          <cell r="H3281">
            <v>0</v>
          </cell>
          <cell r="I3281">
            <v>0</v>
          </cell>
          <cell r="J3281">
            <v>0</v>
          </cell>
          <cell r="K3281">
            <v>0</v>
          </cell>
          <cell r="L3281">
            <v>0</v>
          </cell>
          <cell r="M3281">
            <v>0</v>
          </cell>
          <cell r="N3281">
            <v>0</v>
          </cell>
          <cell r="O3281">
            <v>0</v>
          </cell>
          <cell r="P3281">
            <v>0</v>
          </cell>
          <cell r="Q3281">
            <v>0</v>
          </cell>
          <cell r="R3281">
            <v>0</v>
          </cell>
          <cell r="S3281">
            <v>0</v>
          </cell>
          <cell r="T3281">
            <v>0</v>
          </cell>
          <cell r="U3281">
            <v>0</v>
          </cell>
          <cell r="V3281">
            <v>0</v>
          </cell>
          <cell r="W3281">
            <v>1128</v>
          </cell>
        </row>
        <row r="3282">
          <cell r="A3282" t="str">
            <v>450197</v>
          </cell>
          <cell r="B3282" t="str">
            <v>1251</v>
          </cell>
          <cell r="C3282" t="str">
            <v>12</v>
          </cell>
          <cell r="D3282" t="str">
            <v>21</v>
          </cell>
          <cell r="E3282">
            <v>49</v>
          </cell>
          <cell r="G3282">
            <v>924014</v>
          </cell>
          <cell r="H3282">
            <v>0</v>
          </cell>
          <cell r="I3282">
            <v>0</v>
          </cell>
          <cell r="J3282">
            <v>0</v>
          </cell>
          <cell r="K3282">
            <v>0</v>
          </cell>
          <cell r="L3282">
            <v>0</v>
          </cell>
          <cell r="M3282">
            <v>0</v>
          </cell>
          <cell r="N3282">
            <v>0</v>
          </cell>
          <cell r="O3282">
            <v>0</v>
          </cell>
          <cell r="P3282">
            <v>0</v>
          </cell>
          <cell r="Q3282">
            <v>0</v>
          </cell>
          <cell r="R3282">
            <v>0</v>
          </cell>
          <cell r="S3282">
            <v>0</v>
          </cell>
          <cell r="T3282">
            <v>0</v>
          </cell>
          <cell r="U3282">
            <v>0</v>
          </cell>
          <cell r="V3282">
            <v>0</v>
          </cell>
          <cell r="W3282">
            <v>99</v>
          </cell>
        </row>
        <row r="3283">
          <cell r="A3283" t="str">
            <v>450197</v>
          </cell>
          <cell r="B3283" t="str">
            <v>1251</v>
          </cell>
          <cell r="C3283" t="str">
            <v>12</v>
          </cell>
          <cell r="D3283" t="str">
            <v>21</v>
          </cell>
          <cell r="E3283">
            <v>49</v>
          </cell>
          <cell r="G3283">
            <v>926018</v>
          </cell>
          <cell r="H3283">
            <v>0</v>
          </cell>
          <cell r="I3283">
            <v>0</v>
          </cell>
          <cell r="J3283">
            <v>0</v>
          </cell>
          <cell r="K3283">
            <v>0</v>
          </cell>
          <cell r="L3283">
            <v>0</v>
          </cell>
          <cell r="M3283">
            <v>0</v>
          </cell>
          <cell r="N3283">
            <v>0</v>
          </cell>
          <cell r="O3283">
            <v>0</v>
          </cell>
          <cell r="P3283">
            <v>0</v>
          </cell>
          <cell r="Q3283">
            <v>0</v>
          </cell>
          <cell r="R3283">
            <v>0</v>
          </cell>
          <cell r="S3283">
            <v>0</v>
          </cell>
          <cell r="T3283">
            <v>0</v>
          </cell>
          <cell r="U3283">
            <v>0</v>
          </cell>
          <cell r="V3283">
            <v>0</v>
          </cell>
          <cell r="W3283">
            <v>0</v>
          </cell>
        </row>
        <row r="3284">
          <cell r="A3284" t="str">
            <v>450197</v>
          </cell>
          <cell r="B3284" t="str">
            <v>1251</v>
          </cell>
          <cell r="C3284" t="str">
            <v>12</v>
          </cell>
          <cell r="D3284" t="str">
            <v>21</v>
          </cell>
          <cell r="E3284">
            <v>49</v>
          </cell>
          <cell r="G3284">
            <v>930910</v>
          </cell>
          <cell r="H3284">
            <v>0</v>
          </cell>
          <cell r="I3284">
            <v>0</v>
          </cell>
          <cell r="J3284">
            <v>0</v>
          </cell>
          <cell r="K3284">
            <v>0</v>
          </cell>
          <cell r="L3284">
            <v>0</v>
          </cell>
          <cell r="M3284">
            <v>0</v>
          </cell>
          <cell r="N3284">
            <v>0</v>
          </cell>
          <cell r="O3284">
            <v>0</v>
          </cell>
          <cell r="P3284">
            <v>0</v>
          </cell>
          <cell r="Q3284">
            <v>0</v>
          </cell>
          <cell r="R3284">
            <v>0</v>
          </cell>
          <cell r="S3284">
            <v>0</v>
          </cell>
          <cell r="T3284">
            <v>0</v>
          </cell>
          <cell r="U3284">
            <v>0</v>
          </cell>
          <cell r="V3284">
            <v>0</v>
          </cell>
          <cell r="W3284">
            <v>0</v>
          </cell>
        </row>
        <row r="3285">
          <cell r="A3285" t="str">
            <v>450197</v>
          </cell>
          <cell r="B3285" t="str">
            <v>1251</v>
          </cell>
          <cell r="C3285" t="str">
            <v>12</v>
          </cell>
          <cell r="D3285" t="str">
            <v>21</v>
          </cell>
          <cell r="E3285">
            <v>49</v>
          </cell>
          <cell r="G3285">
            <v>999999</v>
          </cell>
          <cell r="H3285">
            <v>0</v>
          </cell>
          <cell r="I3285">
            <v>0</v>
          </cell>
          <cell r="J3285">
            <v>0</v>
          </cell>
          <cell r="K3285">
            <v>0</v>
          </cell>
          <cell r="L3285">
            <v>0</v>
          </cell>
          <cell r="M3285">
            <v>0</v>
          </cell>
          <cell r="N3285">
            <v>0</v>
          </cell>
          <cell r="O3285">
            <v>0</v>
          </cell>
          <cell r="P3285">
            <v>0</v>
          </cell>
          <cell r="Q3285">
            <v>0</v>
          </cell>
          <cell r="R3285">
            <v>0</v>
          </cell>
          <cell r="S3285">
            <v>0</v>
          </cell>
          <cell r="T3285">
            <v>0</v>
          </cell>
          <cell r="U3285">
            <v>101</v>
          </cell>
          <cell r="V3285">
            <v>0</v>
          </cell>
          <cell r="W3285">
            <v>15779</v>
          </cell>
        </row>
        <row r="3286">
          <cell r="A3286" t="str">
            <v>450197</v>
          </cell>
          <cell r="B3286" t="str">
            <v>1251</v>
          </cell>
          <cell r="C3286" t="str">
            <v>12</v>
          </cell>
          <cell r="D3286" t="str">
            <v>21</v>
          </cell>
          <cell r="E3286">
            <v>65</v>
          </cell>
          <cell r="G3286">
            <v>551414</v>
          </cell>
          <cell r="H3286">
            <v>0</v>
          </cell>
          <cell r="I3286">
            <v>0</v>
          </cell>
          <cell r="J3286">
            <v>0</v>
          </cell>
          <cell r="K3286">
            <v>0</v>
          </cell>
          <cell r="L3286">
            <v>220</v>
          </cell>
          <cell r="M3286">
            <v>0</v>
          </cell>
          <cell r="N3286">
            <v>220</v>
          </cell>
          <cell r="O3286">
            <v>0</v>
          </cell>
          <cell r="P3286">
            <v>220</v>
          </cell>
          <cell r="Q3286">
            <v>0</v>
          </cell>
          <cell r="R3286">
            <v>0</v>
          </cell>
          <cell r="S3286">
            <v>0</v>
          </cell>
          <cell r="T3286">
            <v>0</v>
          </cell>
          <cell r="U3286">
            <v>0</v>
          </cell>
          <cell r="V3286">
            <v>0</v>
          </cell>
          <cell r="W3286">
            <v>0</v>
          </cell>
        </row>
        <row r="3287">
          <cell r="A3287" t="str">
            <v>450197</v>
          </cell>
          <cell r="B3287" t="str">
            <v>1251</v>
          </cell>
          <cell r="C3287" t="str">
            <v>12</v>
          </cell>
          <cell r="D3287" t="str">
            <v>21</v>
          </cell>
          <cell r="E3287">
            <v>65</v>
          </cell>
          <cell r="G3287">
            <v>552312</v>
          </cell>
          <cell r="H3287">
            <v>0</v>
          </cell>
          <cell r="I3287">
            <v>1047</v>
          </cell>
          <cell r="J3287">
            <v>0</v>
          </cell>
          <cell r="K3287">
            <v>0</v>
          </cell>
          <cell r="L3287">
            <v>59092</v>
          </cell>
          <cell r="M3287">
            <v>0</v>
          </cell>
          <cell r="N3287">
            <v>59092</v>
          </cell>
          <cell r="O3287">
            <v>0</v>
          </cell>
          <cell r="P3287">
            <v>59092</v>
          </cell>
          <cell r="Q3287">
            <v>12</v>
          </cell>
          <cell r="R3287">
            <v>12</v>
          </cell>
          <cell r="S3287">
            <v>3</v>
          </cell>
          <cell r="T3287">
            <v>3</v>
          </cell>
          <cell r="U3287">
            <v>0</v>
          </cell>
          <cell r="V3287">
            <v>0</v>
          </cell>
          <cell r="W3287">
            <v>0</v>
          </cell>
        </row>
        <row r="3288">
          <cell r="A3288" t="str">
            <v>450197</v>
          </cell>
          <cell r="B3288" t="str">
            <v>1251</v>
          </cell>
          <cell r="C3288" t="str">
            <v>12</v>
          </cell>
          <cell r="D3288" t="str">
            <v>21</v>
          </cell>
          <cell r="E3288">
            <v>65</v>
          </cell>
          <cell r="G3288">
            <v>552323</v>
          </cell>
          <cell r="H3288">
            <v>0</v>
          </cell>
          <cell r="I3288">
            <v>0</v>
          </cell>
          <cell r="J3288">
            <v>0</v>
          </cell>
          <cell r="K3288">
            <v>0</v>
          </cell>
          <cell r="L3288">
            <v>12251</v>
          </cell>
          <cell r="M3288">
            <v>0</v>
          </cell>
          <cell r="N3288">
            <v>12251</v>
          </cell>
          <cell r="O3288">
            <v>0</v>
          </cell>
          <cell r="P3288">
            <v>12251</v>
          </cell>
          <cell r="Q3288">
            <v>1</v>
          </cell>
          <cell r="R3288">
            <v>1</v>
          </cell>
          <cell r="S3288">
            <v>0</v>
          </cell>
          <cell r="T3288">
            <v>0</v>
          </cell>
          <cell r="U3288">
            <v>0</v>
          </cell>
          <cell r="V3288">
            <v>0</v>
          </cell>
          <cell r="W3288">
            <v>0</v>
          </cell>
        </row>
        <row r="3289">
          <cell r="A3289" t="str">
            <v>450197</v>
          </cell>
          <cell r="B3289" t="str">
            <v>1251</v>
          </cell>
          <cell r="C3289" t="str">
            <v>12</v>
          </cell>
          <cell r="D3289" t="str">
            <v>21</v>
          </cell>
          <cell r="E3289">
            <v>65</v>
          </cell>
          <cell r="G3289">
            <v>552411</v>
          </cell>
          <cell r="H3289">
            <v>0</v>
          </cell>
          <cell r="I3289">
            <v>0</v>
          </cell>
          <cell r="J3289">
            <v>0</v>
          </cell>
          <cell r="K3289">
            <v>0</v>
          </cell>
          <cell r="L3289">
            <v>8454</v>
          </cell>
          <cell r="M3289">
            <v>0</v>
          </cell>
          <cell r="N3289">
            <v>8454</v>
          </cell>
          <cell r="O3289">
            <v>0</v>
          </cell>
          <cell r="P3289">
            <v>8454</v>
          </cell>
          <cell r="Q3289">
            <v>0</v>
          </cell>
          <cell r="R3289">
            <v>0</v>
          </cell>
          <cell r="S3289">
            <v>0</v>
          </cell>
          <cell r="T3289">
            <v>0</v>
          </cell>
          <cell r="U3289">
            <v>0</v>
          </cell>
          <cell r="V3289">
            <v>0</v>
          </cell>
          <cell r="W3289">
            <v>0</v>
          </cell>
        </row>
        <row r="3290">
          <cell r="A3290" t="str">
            <v>450197</v>
          </cell>
          <cell r="B3290" t="str">
            <v>1251</v>
          </cell>
          <cell r="C3290" t="str">
            <v>12</v>
          </cell>
          <cell r="D3290" t="str">
            <v>21</v>
          </cell>
          <cell r="E3290">
            <v>65</v>
          </cell>
          <cell r="G3290">
            <v>701015</v>
          </cell>
          <cell r="H3290">
            <v>0</v>
          </cell>
          <cell r="I3290">
            <v>0</v>
          </cell>
          <cell r="J3290">
            <v>0</v>
          </cell>
          <cell r="K3290">
            <v>0</v>
          </cell>
          <cell r="L3290">
            <v>1807</v>
          </cell>
          <cell r="M3290">
            <v>0</v>
          </cell>
          <cell r="N3290">
            <v>1807</v>
          </cell>
          <cell r="O3290">
            <v>0</v>
          </cell>
          <cell r="P3290">
            <v>1807</v>
          </cell>
          <cell r="Q3290">
            <v>0</v>
          </cell>
          <cell r="R3290">
            <v>0</v>
          </cell>
          <cell r="S3290">
            <v>0</v>
          </cell>
          <cell r="T3290">
            <v>0</v>
          </cell>
          <cell r="U3290">
            <v>0</v>
          </cell>
          <cell r="V3290">
            <v>0</v>
          </cell>
          <cell r="W3290">
            <v>0</v>
          </cell>
        </row>
        <row r="3291">
          <cell r="A3291" t="str">
            <v>450197</v>
          </cell>
          <cell r="B3291" t="str">
            <v>1251</v>
          </cell>
          <cell r="C3291" t="str">
            <v>12</v>
          </cell>
          <cell r="D3291" t="str">
            <v>21</v>
          </cell>
          <cell r="E3291">
            <v>65</v>
          </cell>
          <cell r="G3291">
            <v>751757</v>
          </cell>
          <cell r="H3291">
            <v>0</v>
          </cell>
          <cell r="I3291">
            <v>17</v>
          </cell>
          <cell r="J3291">
            <v>0</v>
          </cell>
          <cell r="K3291">
            <v>0</v>
          </cell>
          <cell r="L3291">
            <v>94162</v>
          </cell>
          <cell r="M3291">
            <v>0</v>
          </cell>
          <cell r="N3291">
            <v>94162</v>
          </cell>
          <cell r="O3291">
            <v>0</v>
          </cell>
          <cell r="P3291">
            <v>94162</v>
          </cell>
          <cell r="Q3291">
            <v>12</v>
          </cell>
          <cell r="R3291">
            <v>12</v>
          </cell>
          <cell r="S3291">
            <v>18</v>
          </cell>
          <cell r="T3291">
            <v>13</v>
          </cell>
          <cell r="U3291">
            <v>0</v>
          </cell>
          <cell r="V3291">
            <v>0</v>
          </cell>
          <cell r="W3291">
            <v>0</v>
          </cell>
        </row>
        <row r="3292">
          <cell r="A3292" t="str">
            <v>450197</v>
          </cell>
          <cell r="B3292" t="str">
            <v>1251</v>
          </cell>
          <cell r="C3292" t="str">
            <v>12</v>
          </cell>
          <cell r="D3292" t="str">
            <v>21</v>
          </cell>
          <cell r="E3292">
            <v>65</v>
          </cell>
          <cell r="G3292">
            <v>751768</v>
          </cell>
          <cell r="H3292">
            <v>0</v>
          </cell>
          <cell r="I3292">
            <v>0</v>
          </cell>
          <cell r="J3292">
            <v>0</v>
          </cell>
          <cell r="K3292">
            <v>0</v>
          </cell>
          <cell r="L3292">
            <v>135774</v>
          </cell>
          <cell r="M3292">
            <v>0</v>
          </cell>
          <cell r="N3292">
            <v>135774</v>
          </cell>
          <cell r="O3292">
            <v>0</v>
          </cell>
          <cell r="P3292">
            <v>135774</v>
          </cell>
          <cell r="Q3292">
            <v>27</v>
          </cell>
          <cell r="R3292">
            <v>27</v>
          </cell>
          <cell r="S3292">
            <v>0</v>
          </cell>
          <cell r="T3292">
            <v>0</v>
          </cell>
          <cell r="U3292">
            <v>0</v>
          </cell>
          <cell r="V3292">
            <v>0</v>
          </cell>
          <cell r="W3292">
            <v>0</v>
          </cell>
        </row>
        <row r="3293">
          <cell r="A3293" t="str">
            <v>450197</v>
          </cell>
          <cell r="B3293" t="str">
            <v>1251</v>
          </cell>
          <cell r="C3293" t="str">
            <v>12</v>
          </cell>
          <cell r="D3293" t="str">
            <v>21</v>
          </cell>
          <cell r="E3293">
            <v>65</v>
          </cell>
          <cell r="G3293">
            <v>751845</v>
          </cell>
          <cell r="H3293">
            <v>0</v>
          </cell>
          <cell r="I3293">
            <v>0</v>
          </cell>
          <cell r="J3293">
            <v>0</v>
          </cell>
          <cell r="K3293">
            <v>0</v>
          </cell>
          <cell r="L3293">
            <v>1383</v>
          </cell>
          <cell r="M3293">
            <v>0</v>
          </cell>
          <cell r="N3293">
            <v>1383</v>
          </cell>
          <cell r="O3293">
            <v>0</v>
          </cell>
          <cell r="P3293">
            <v>1383</v>
          </cell>
          <cell r="Q3293">
            <v>0</v>
          </cell>
          <cell r="R3293">
            <v>0</v>
          </cell>
          <cell r="S3293">
            <v>0</v>
          </cell>
          <cell r="T3293">
            <v>0</v>
          </cell>
          <cell r="U3293">
            <v>0</v>
          </cell>
          <cell r="V3293">
            <v>0</v>
          </cell>
          <cell r="W3293">
            <v>0</v>
          </cell>
        </row>
        <row r="3294">
          <cell r="A3294" t="str">
            <v>450197</v>
          </cell>
          <cell r="B3294" t="str">
            <v>1251</v>
          </cell>
          <cell r="C3294" t="str">
            <v>12</v>
          </cell>
          <cell r="D3294" t="str">
            <v>21</v>
          </cell>
          <cell r="E3294">
            <v>65</v>
          </cell>
          <cell r="G3294">
            <v>801115</v>
          </cell>
          <cell r="H3294">
            <v>0</v>
          </cell>
          <cell r="I3294">
            <v>0</v>
          </cell>
          <cell r="J3294">
            <v>0</v>
          </cell>
          <cell r="K3294">
            <v>0</v>
          </cell>
          <cell r="L3294">
            <v>267324</v>
          </cell>
          <cell r="M3294">
            <v>0</v>
          </cell>
          <cell r="N3294">
            <v>267324</v>
          </cell>
          <cell r="O3294">
            <v>0</v>
          </cell>
          <cell r="P3294">
            <v>267324</v>
          </cell>
          <cell r="Q3294">
            <v>23</v>
          </cell>
          <cell r="R3294">
            <v>23</v>
          </cell>
          <cell r="S3294">
            <v>66</v>
          </cell>
          <cell r="T3294">
            <v>64</v>
          </cell>
          <cell r="U3294">
            <v>0</v>
          </cell>
          <cell r="V3294">
            <v>0</v>
          </cell>
          <cell r="W3294">
            <v>0</v>
          </cell>
        </row>
        <row r="3295">
          <cell r="A3295" t="str">
            <v>450197</v>
          </cell>
          <cell r="B3295" t="str">
            <v>1251</v>
          </cell>
          <cell r="C3295" t="str">
            <v>12</v>
          </cell>
          <cell r="D3295" t="str">
            <v>21</v>
          </cell>
          <cell r="E3295">
            <v>65</v>
          </cell>
          <cell r="G3295">
            <v>801214</v>
          </cell>
          <cell r="H3295">
            <v>0</v>
          </cell>
          <cell r="I3295">
            <v>0</v>
          </cell>
          <cell r="J3295">
            <v>0</v>
          </cell>
          <cell r="K3295">
            <v>0</v>
          </cell>
          <cell r="L3295">
            <v>414697</v>
          </cell>
          <cell r="M3295">
            <v>0</v>
          </cell>
          <cell r="N3295">
            <v>414697</v>
          </cell>
          <cell r="O3295">
            <v>0</v>
          </cell>
          <cell r="P3295">
            <v>414697</v>
          </cell>
          <cell r="Q3295">
            <v>29</v>
          </cell>
          <cell r="R3295">
            <v>29</v>
          </cell>
          <cell r="S3295">
            <v>123</v>
          </cell>
          <cell r="T3295">
            <v>102</v>
          </cell>
          <cell r="U3295">
            <v>0</v>
          </cell>
          <cell r="V3295">
            <v>0</v>
          </cell>
          <cell r="W3295">
            <v>0</v>
          </cell>
        </row>
        <row r="3296">
          <cell r="A3296" t="str">
            <v>450197</v>
          </cell>
          <cell r="B3296" t="str">
            <v>1251</v>
          </cell>
          <cell r="C3296" t="str">
            <v>12</v>
          </cell>
          <cell r="D3296" t="str">
            <v>21</v>
          </cell>
          <cell r="E3296">
            <v>65</v>
          </cell>
          <cell r="G3296">
            <v>801236</v>
          </cell>
          <cell r="H3296">
            <v>0</v>
          </cell>
          <cell r="I3296">
            <v>0</v>
          </cell>
          <cell r="J3296">
            <v>0</v>
          </cell>
          <cell r="K3296">
            <v>0</v>
          </cell>
          <cell r="L3296">
            <v>5305</v>
          </cell>
          <cell r="M3296">
            <v>0</v>
          </cell>
          <cell r="N3296">
            <v>5305</v>
          </cell>
          <cell r="O3296">
            <v>0</v>
          </cell>
          <cell r="P3296">
            <v>5305</v>
          </cell>
          <cell r="Q3296">
            <v>0</v>
          </cell>
          <cell r="R3296">
            <v>0</v>
          </cell>
          <cell r="S3296">
            <v>1</v>
          </cell>
          <cell r="T3296">
            <v>1</v>
          </cell>
          <cell r="U3296">
            <v>0</v>
          </cell>
          <cell r="V3296">
            <v>0</v>
          </cell>
          <cell r="W3296">
            <v>0</v>
          </cell>
        </row>
        <row r="3297">
          <cell r="A3297" t="str">
            <v>450197</v>
          </cell>
          <cell r="B3297" t="str">
            <v>1251</v>
          </cell>
          <cell r="C3297" t="str">
            <v>12</v>
          </cell>
          <cell r="D3297" t="str">
            <v>21</v>
          </cell>
          <cell r="E3297">
            <v>65</v>
          </cell>
          <cell r="G3297">
            <v>802144</v>
          </cell>
          <cell r="H3297">
            <v>0</v>
          </cell>
          <cell r="I3297">
            <v>284</v>
          </cell>
          <cell r="J3297">
            <v>0</v>
          </cell>
          <cell r="K3297">
            <v>0</v>
          </cell>
          <cell r="L3297">
            <v>118106</v>
          </cell>
          <cell r="M3297">
            <v>0</v>
          </cell>
          <cell r="N3297">
            <v>118106</v>
          </cell>
          <cell r="O3297">
            <v>0</v>
          </cell>
          <cell r="P3297">
            <v>118106</v>
          </cell>
          <cell r="Q3297">
            <v>0</v>
          </cell>
          <cell r="R3297">
            <v>0</v>
          </cell>
          <cell r="S3297">
            <v>37</v>
          </cell>
          <cell r="T3297">
            <v>30</v>
          </cell>
          <cell r="U3297">
            <v>0</v>
          </cell>
          <cell r="V3297">
            <v>0</v>
          </cell>
          <cell r="W3297">
            <v>0</v>
          </cell>
        </row>
        <row r="3298">
          <cell r="A3298" t="str">
            <v>450197</v>
          </cell>
          <cell r="B3298" t="str">
            <v>1251</v>
          </cell>
          <cell r="C3298" t="str">
            <v>12</v>
          </cell>
          <cell r="D3298" t="str">
            <v>21</v>
          </cell>
          <cell r="E3298">
            <v>65</v>
          </cell>
          <cell r="G3298">
            <v>802166</v>
          </cell>
          <cell r="H3298">
            <v>0</v>
          </cell>
          <cell r="I3298">
            <v>0</v>
          </cell>
          <cell r="J3298">
            <v>0</v>
          </cell>
          <cell r="K3298">
            <v>0</v>
          </cell>
          <cell r="L3298">
            <v>55066</v>
          </cell>
          <cell r="M3298">
            <v>0</v>
          </cell>
          <cell r="N3298">
            <v>55066</v>
          </cell>
          <cell r="O3298">
            <v>0</v>
          </cell>
          <cell r="P3298">
            <v>55066</v>
          </cell>
          <cell r="Q3298">
            <v>0</v>
          </cell>
          <cell r="R3298">
            <v>0</v>
          </cell>
          <cell r="S3298">
            <v>0</v>
          </cell>
          <cell r="T3298">
            <v>0</v>
          </cell>
          <cell r="U3298">
            <v>0</v>
          </cell>
          <cell r="V3298">
            <v>0</v>
          </cell>
          <cell r="W3298">
            <v>0</v>
          </cell>
        </row>
        <row r="3299">
          <cell r="A3299" t="str">
            <v>450197</v>
          </cell>
          <cell r="B3299" t="str">
            <v>1251</v>
          </cell>
          <cell r="C3299" t="str">
            <v>12</v>
          </cell>
          <cell r="D3299" t="str">
            <v>21</v>
          </cell>
          <cell r="E3299">
            <v>65</v>
          </cell>
          <cell r="G3299">
            <v>802177</v>
          </cell>
          <cell r="H3299">
            <v>0</v>
          </cell>
          <cell r="I3299">
            <v>136</v>
          </cell>
          <cell r="J3299">
            <v>0</v>
          </cell>
          <cell r="K3299">
            <v>0</v>
          </cell>
          <cell r="L3299">
            <v>38046</v>
          </cell>
          <cell r="M3299">
            <v>0</v>
          </cell>
          <cell r="N3299">
            <v>38046</v>
          </cell>
          <cell r="O3299">
            <v>0</v>
          </cell>
          <cell r="P3299">
            <v>38046</v>
          </cell>
          <cell r="Q3299">
            <v>0</v>
          </cell>
          <cell r="R3299">
            <v>0</v>
          </cell>
          <cell r="S3299">
            <v>11</v>
          </cell>
          <cell r="T3299">
            <v>6</v>
          </cell>
          <cell r="U3299">
            <v>0</v>
          </cell>
          <cell r="V3299">
            <v>0</v>
          </cell>
          <cell r="W3299">
            <v>0</v>
          </cell>
        </row>
        <row r="3300">
          <cell r="A3300" t="str">
            <v>450197</v>
          </cell>
          <cell r="B3300" t="str">
            <v>1251</v>
          </cell>
          <cell r="C3300" t="str">
            <v>12</v>
          </cell>
          <cell r="D3300" t="str">
            <v>21</v>
          </cell>
          <cell r="E3300">
            <v>65</v>
          </cell>
          <cell r="G3300">
            <v>802199</v>
          </cell>
          <cell r="H3300">
            <v>0</v>
          </cell>
          <cell r="I3300">
            <v>0</v>
          </cell>
          <cell r="J3300">
            <v>0</v>
          </cell>
          <cell r="K3300">
            <v>0</v>
          </cell>
          <cell r="L3300">
            <v>693</v>
          </cell>
          <cell r="M3300">
            <v>0</v>
          </cell>
          <cell r="N3300">
            <v>693</v>
          </cell>
          <cell r="O3300">
            <v>0</v>
          </cell>
          <cell r="P3300">
            <v>693</v>
          </cell>
          <cell r="Q3300">
            <v>0</v>
          </cell>
          <cell r="R3300">
            <v>0</v>
          </cell>
          <cell r="S3300">
            <v>0</v>
          </cell>
          <cell r="T3300">
            <v>0</v>
          </cell>
          <cell r="U3300">
            <v>0</v>
          </cell>
          <cell r="V3300">
            <v>0</v>
          </cell>
          <cell r="W3300">
            <v>0</v>
          </cell>
        </row>
        <row r="3301">
          <cell r="A3301" t="str">
            <v>450197</v>
          </cell>
          <cell r="B3301" t="str">
            <v>1251</v>
          </cell>
          <cell r="C3301" t="str">
            <v>12</v>
          </cell>
          <cell r="D3301" t="str">
            <v>21</v>
          </cell>
          <cell r="E3301">
            <v>65</v>
          </cell>
          <cell r="G3301">
            <v>802263</v>
          </cell>
          <cell r="H3301">
            <v>0</v>
          </cell>
          <cell r="I3301">
            <v>1183</v>
          </cell>
          <cell r="J3301">
            <v>0</v>
          </cell>
          <cell r="K3301">
            <v>0</v>
          </cell>
          <cell r="L3301">
            <v>20190</v>
          </cell>
          <cell r="M3301">
            <v>0</v>
          </cell>
          <cell r="N3301">
            <v>20190</v>
          </cell>
          <cell r="O3301">
            <v>0</v>
          </cell>
          <cell r="P3301">
            <v>20190</v>
          </cell>
          <cell r="Q3301">
            <v>0</v>
          </cell>
          <cell r="R3301">
            <v>0</v>
          </cell>
          <cell r="S3301">
            <v>0</v>
          </cell>
          <cell r="T3301">
            <v>0</v>
          </cell>
          <cell r="U3301">
            <v>0</v>
          </cell>
          <cell r="V3301">
            <v>0</v>
          </cell>
          <cell r="W3301">
            <v>0</v>
          </cell>
        </row>
        <row r="3302">
          <cell r="A3302" t="str">
            <v>450197</v>
          </cell>
          <cell r="B3302" t="str">
            <v>1251</v>
          </cell>
          <cell r="C3302" t="str">
            <v>12</v>
          </cell>
          <cell r="D3302" t="str">
            <v>21</v>
          </cell>
          <cell r="E3302">
            <v>65</v>
          </cell>
          <cell r="G3302">
            <v>804028</v>
          </cell>
          <cell r="H3302">
            <v>0</v>
          </cell>
          <cell r="I3302">
            <v>0</v>
          </cell>
          <cell r="J3302">
            <v>0</v>
          </cell>
          <cell r="K3302">
            <v>0</v>
          </cell>
          <cell r="L3302">
            <v>2601</v>
          </cell>
          <cell r="M3302">
            <v>0</v>
          </cell>
          <cell r="N3302">
            <v>2601</v>
          </cell>
          <cell r="O3302">
            <v>0</v>
          </cell>
          <cell r="P3302">
            <v>2601</v>
          </cell>
          <cell r="Q3302">
            <v>0</v>
          </cell>
          <cell r="R3302">
            <v>0</v>
          </cell>
          <cell r="S3302">
            <v>0</v>
          </cell>
          <cell r="T3302">
            <v>0</v>
          </cell>
          <cell r="U3302">
            <v>0</v>
          </cell>
          <cell r="V3302">
            <v>0</v>
          </cell>
          <cell r="W3302">
            <v>0</v>
          </cell>
        </row>
        <row r="3303">
          <cell r="A3303" t="str">
            <v>450197</v>
          </cell>
          <cell r="B3303" t="str">
            <v>1251</v>
          </cell>
          <cell r="C3303" t="str">
            <v>12</v>
          </cell>
          <cell r="D3303" t="str">
            <v>21</v>
          </cell>
          <cell r="E3303">
            <v>65</v>
          </cell>
          <cell r="G3303">
            <v>805113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85144</v>
          </cell>
          <cell r="M3303">
            <v>0</v>
          </cell>
          <cell r="N3303">
            <v>85144</v>
          </cell>
          <cell r="O3303">
            <v>0</v>
          </cell>
          <cell r="P3303">
            <v>85144</v>
          </cell>
          <cell r="Q3303">
            <v>1</v>
          </cell>
          <cell r="R3303">
            <v>1</v>
          </cell>
          <cell r="S3303">
            <v>29</v>
          </cell>
          <cell r="T3303">
            <v>29</v>
          </cell>
          <cell r="U3303">
            <v>0</v>
          </cell>
          <cell r="V3303">
            <v>0</v>
          </cell>
          <cell r="W3303">
            <v>0</v>
          </cell>
        </row>
        <row r="3304">
          <cell r="A3304" t="str">
            <v>450197</v>
          </cell>
          <cell r="B3304" t="str">
            <v>1251</v>
          </cell>
          <cell r="C3304" t="str">
            <v>12</v>
          </cell>
          <cell r="D3304" t="str">
            <v>21</v>
          </cell>
          <cell r="E3304">
            <v>65</v>
          </cell>
          <cell r="G3304">
            <v>851297</v>
          </cell>
          <cell r="H3304">
            <v>0</v>
          </cell>
          <cell r="I3304">
            <v>0</v>
          </cell>
          <cell r="J3304">
            <v>0</v>
          </cell>
          <cell r="K3304">
            <v>0</v>
          </cell>
          <cell r="L3304">
            <v>31202</v>
          </cell>
          <cell r="M3304">
            <v>0</v>
          </cell>
          <cell r="N3304">
            <v>31202</v>
          </cell>
          <cell r="O3304">
            <v>0</v>
          </cell>
          <cell r="P3304">
            <v>31202</v>
          </cell>
          <cell r="Q3304">
            <v>1</v>
          </cell>
          <cell r="R3304">
            <v>1</v>
          </cell>
          <cell r="S3304">
            <v>12</v>
          </cell>
          <cell r="T3304">
            <v>11</v>
          </cell>
          <cell r="U3304">
            <v>0</v>
          </cell>
          <cell r="V3304">
            <v>0</v>
          </cell>
          <cell r="W3304">
            <v>0</v>
          </cell>
        </row>
        <row r="3305">
          <cell r="A3305" t="str">
            <v>450197</v>
          </cell>
          <cell r="B3305" t="str">
            <v>1251</v>
          </cell>
          <cell r="C3305" t="str">
            <v>12</v>
          </cell>
          <cell r="D3305" t="str">
            <v>21</v>
          </cell>
          <cell r="E3305">
            <v>65</v>
          </cell>
          <cell r="G3305">
            <v>851912</v>
          </cell>
          <cell r="H3305">
            <v>0</v>
          </cell>
          <cell r="I3305">
            <v>0</v>
          </cell>
          <cell r="J3305">
            <v>0</v>
          </cell>
          <cell r="K3305">
            <v>0</v>
          </cell>
          <cell r="L3305">
            <v>12555</v>
          </cell>
          <cell r="M3305">
            <v>0</v>
          </cell>
          <cell r="N3305">
            <v>12555</v>
          </cell>
          <cell r="O3305">
            <v>0</v>
          </cell>
          <cell r="P3305">
            <v>12555</v>
          </cell>
          <cell r="Q3305">
            <v>0</v>
          </cell>
          <cell r="R3305">
            <v>0</v>
          </cell>
          <cell r="S3305">
            <v>2</v>
          </cell>
          <cell r="T3305">
            <v>4</v>
          </cell>
          <cell r="U3305">
            <v>0</v>
          </cell>
          <cell r="V3305">
            <v>0</v>
          </cell>
          <cell r="W3305">
            <v>0</v>
          </cell>
        </row>
        <row r="3306">
          <cell r="A3306" t="str">
            <v>450197</v>
          </cell>
          <cell r="B3306" t="str">
            <v>1251</v>
          </cell>
          <cell r="C3306" t="str">
            <v>12</v>
          </cell>
          <cell r="D3306" t="str">
            <v>21</v>
          </cell>
          <cell r="E3306">
            <v>65</v>
          </cell>
          <cell r="G3306">
            <v>853211</v>
          </cell>
          <cell r="H3306">
            <v>0</v>
          </cell>
          <cell r="I3306">
            <v>0</v>
          </cell>
          <cell r="J3306">
            <v>0</v>
          </cell>
          <cell r="K3306">
            <v>0</v>
          </cell>
          <cell r="L3306">
            <v>42261</v>
          </cell>
          <cell r="M3306">
            <v>0</v>
          </cell>
          <cell r="N3306">
            <v>42261</v>
          </cell>
          <cell r="O3306">
            <v>0</v>
          </cell>
          <cell r="P3306">
            <v>42261</v>
          </cell>
          <cell r="Q3306">
            <v>6</v>
          </cell>
          <cell r="R3306">
            <v>6</v>
          </cell>
          <cell r="S3306">
            <v>14</v>
          </cell>
          <cell r="T3306">
            <v>14</v>
          </cell>
          <cell r="U3306">
            <v>0</v>
          </cell>
          <cell r="V3306">
            <v>0</v>
          </cell>
          <cell r="W3306">
            <v>0</v>
          </cell>
        </row>
        <row r="3307">
          <cell r="A3307" t="str">
            <v>450197</v>
          </cell>
          <cell r="B3307" t="str">
            <v>1251</v>
          </cell>
          <cell r="C3307" t="str">
            <v>12</v>
          </cell>
          <cell r="D3307" t="str">
            <v>21</v>
          </cell>
          <cell r="E3307">
            <v>65</v>
          </cell>
          <cell r="G3307">
            <v>853244</v>
          </cell>
          <cell r="H3307">
            <v>0</v>
          </cell>
          <cell r="I3307">
            <v>75</v>
          </cell>
          <cell r="J3307">
            <v>0</v>
          </cell>
          <cell r="K3307">
            <v>0</v>
          </cell>
          <cell r="L3307">
            <v>19095</v>
          </cell>
          <cell r="M3307">
            <v>0</v>
          </cell>
          <cell r="N3307">
            <v>19095</v>
          </cell>
          <cell r="O3307">
            <v>0</v>
          </cell>
          <cell r="P3307">
            <v>19095</v>
          </cell>
          <cell r="Q3307">
            <v>0</v>
          </cell>
          <cell r="R3307">
            <v>0</v>
          </cell>
          <cell r="S3307">
            <v>6</v>
          </cell>
          <cell r="T3307">
            <v>6</v>
          </cell>
          <cell r="U3307">
            <v>0</v>
          </cell>
          <cell r="V3307">
            <v>0</v>
          </cell>
          <cell r="W3307">
            <v>0</v>
          </cell>
        </row>
        <row r="3308">
          <cell r="A3308" t="str">
            <v>450197</v>
          </cell>
          <cell r="B3308" t="str">
            <v>1251</v>
          </cell>
          <cell r="C3308" t="str">
            <v>12</v>
          </cell>
          <cell r="D3308" t="str">
            <v>21</v>
          </cell>
          <cell r="E3308">
            <v>65</v>
          </cell>
          <cell r="G3308">
            <v>921815</v>
          </cell>
          <cell r="H3308">
            <v>0</v>
          </cell>
          <cell r="I3308">
            <v>210</v>
          </cell>
          <cell r="J3308">
            <v>0</v>
          </cell>
          <cell r="K3308">
            <v>0</v>
          </cell>
          <cell r="L3308">
            <v>53443</v>
          </cell>
          <cell r="M3308">
            <v>0</v>
          </cell>
          <cell r="N3308">
            <v>53443</v>
          </cell>
          <cell r="O3308">
            <v>0</v>
          </cell>
          <cell r="P3308">
            <v>53443</v>
          </cell>
          <cell r="Q3308">
            <v>0</v>
          </cell>
          <cell r="R3308">
            <v>0</v>
          </cell>
          <cell r="S3308">
            <v>14</v>
          </cell>
          <cell r="T3308">
            <v>13</v>
          </cell>
          <cell r="U3308">
            <v>0</v>
          </cell>
          <cell r="V3308">
            <v>0</v>
          </cell>
          <cell r="W3308">
            <v>0</v>
          </cell>
        </row>
        <row r="3309">
          <cell r="A3309" t="str">
            <v>450197</v>
          </cell>
          <cell r="B3309" t="str">
            <v>1251</v>
          </cell>
          <cell r="C3309" t="str">
            <v>12</v>
          </cell>
          <cell r="D3309" t="str">
            <v>21</v>
          </cell>
          <cell r="E3309">
            <v>65</v>
          </cell>
          <cell r="G3309">
            <v>923127</v>
          </cell>
          <cell r="H3309">
            <v>0</v>
          </cell>
          <cell r="I3309">
            <v>268</v>
          </cell>
          <cell r="J3309">
            <v>0</v>
          </cell>
          <cell r="K3309">
            <v>0</v>
          </cell>
          <cell r="L3309">
            <v>73215</v>
          </cell>
          <cell r="M3309">
            <v>0</v>
          </cell>
          <cell r="N3309">
            <v>73215</v>
          </cell>
          <cell r="O3309">
            <v>0</v>
          </cell>
          <cell r="P3309">
            <v>73215</v>
          </cell>
          <cell r="Q3309">
            <v>1</v>
          </cell>
          <cell r="R3309">
            <v>1</v>
          </cell>
          <cell r="S3309">
            <v>22</v>
          </cell>
          <cell r="T3309">
            <v>21</v>
          </cell>
          <cell r="U3309">
            <v>0</v>
          </cell>
          <cell r="V3309">
            <v>0</v>
          </cell>
          <cell r="W3309">
            <v>0</v>
          </cell>
        </row>
        <row r="3310">
          <cell r="A3310" t="str">
            <v>450197</v>
          </cell>
          <cell r="B3310" t="str">
            <v>1251</v>
          </cell>
          <cell r="C3310" t="str">
            <v>12</v>
          </cell>
          <cell r="D3310" t="str">
            <v>21</v>
          </cell>
          <cell r="E3310">
            <v>65</v>
          </cell>
          <cell r="G3310">
            <v>924014</v>
          </cell>
          <cell r="H3310">
            <v>0</v>
          </cell>
          <cell r="I3310">
            <v>20</v>
          </cell>
          <cell r="J3310">
            <v>0</v>
          </cell>
          <cell r="K3310">
            <v>0</v>
          </cell>
          <cell r="L3310">
            <v>40972</v>
          </cell>
          <cell r="M3310">
            <v>0</v>
          </cell>
          <cell r="N3310">
            <v>40972</v>
          </cell>
          <cell r="O3310">
            <v>0</v>
          </cell>
          <cell r="P3310">
            <v>40972</v>
          </cell>
          <cell r="Q3310">
            <v>9</v>
          </cell>
          <cell r="R3310">
            <v>9</v>
          </cell>
          <cell r="S3310">
            <v>4</v>
          </cell>
          <cell r="T3310">
            <v>5</v>
          </cell>
          <cell r="U3310">
            <v>0</v>
          </cell>
          <cell r="V3310">
            <v>0</v>
          </cell>
          <cell r="W3310">
            <v>0</v>
          </cell>
        </row>
        <row r="3311">
          <cell r="A3311" t="str">
            <v>450197</v>
          </cell>
          <cell r="B3311" t="str">
            <v>1251</v>
          </cell>
          <cell r="C3311" t="str">
            <v>12</v>
          </cell>
          <cell r="D3311" t="str">
            <v>21</v>
          </cell>
          <cell r="E3311">
            <v>65</v>
          </cell>
          <cell r="G3311">
            <v>926018</v>
          </cell>
          <cell r="H3311">
            <v>0</v>
          </cell>
          <cell r="I3311">
            <v>0</v>
          </cell>
          <cell r="J3311">
            <v>0</v>
          </cell>
          <cell r="K3311">
            <v>0</v>
          </cell>
          <cell r="L3311">
            <v>2361</v>
          </cell>
          <cell r="M3311">
            <v>0</v>
          </cell>
          <cell r="N3311">
            <v>2361</v>
          </cell>
          <cell r="O3311">
            <v>0</v>
          </cell>
          <cell r="P3311">
            <v>2361</v>
          </cell>
          <cell r="Q3311">
            <v>1</v>
          </cell>
          <cell r="R3311">
            <v>1</v>
          </cell>
          <cell r="S3311">
            <v>0</v>
          </cell>
          <cell r="T3311">
            <v>0</v>
          </cell>
          <cell r="U3311">
            <v>0</v>
          </cell>
          <cell r="V3311">
            <v>0</v>
          </cell>
          <cell r="W3311">
            <v>0</v>
          </cell>
        </row>
        <row r="3312">
          <cell r="A3312" t="str">
            <v>450197</v>
          </cell>
          <cell r="B3312" t="str">
            <v>1251</v>
          </cell>
          <cell r="C3312" t="str">
            <v>12</v>
          </cell>
          <cell r="D3312" t="str">
            <v>21</v>
          </cell>
          <cell r="E3312">
            <v>65</v>
          </cell>
          <cell r="G3312">
            <v>930910</v>
          </cell>
          <cell r="H3312">
            <v>0</v>
          </cell>
          <cell r="I3312">
            <v>0</v>
          </cell>
          <cell r="J3312">
            <v>0</v>
          </cell>
          <cell r="K3312">
            <v>0</v>
          </cell>
          <cell r="L3312">
            <v>6548</v>
          </cell>
          <cell r="M3312">
            <v>0</v>
          </cell>
          <cell r="N3312">
            <v>6548</v>
          </cell>
          <cell r="O3312">
            <v>0</v>
          </cell>
          <cell r="P3312">
            <v>6548</v>
          </cell>
          <cell r="Q3312">
            <v>0</v>
          </cell>
          <cell r="R3312">
            <v>0</v>
          </cell>
          <cell r="S3312">
            <v>1</v>
          </cell>
          <cell r="T3312">
            <v>1</v>
          </cell>
          <cell r="U3312">
            <v>0</v>
          </cell>
          <cell r="V3312">
            <v>0</v>
          </cell>
          <cell r="W3312">
            <v>0</v>
          </cell>
        </row>
        <row r="3313">
          <cell r="A3313" t="str">
            <v>450197</v>
          </cell>
          <cell r="B3313" t="str">
            <v>1251</v>
          </cell>
          <cell r="C3313" t="str">
            <v>12</v>
          </cell>
          <cell r="D3313" t="str">
            <v>21</v>
          </cell>
          <cell r="E3313">
            <v>65</v>
          </cell>
          <cell r="G3313">
            <v>999999</v>
          </cell>
          <cell r="H3313">
            <v>0</v>
          </cell>
          <cell r="I3313">
            <v>3240</v>
          </cell>
          <cell r="J3313">
            <v>0</v>
          </cell>
          <cell r="K3313">
            <v>0</v>
          </cell>
          <cell r="L3313">
            <v>1601967</v>
          </cell>
          <cell r="M3313">
            <v>0</v>
          </cell>
          <cell r="N3313">
            <v>1601967</v>
          </cell>
          <cell r="O3313">
            <v>0</v>
          </cell>
          <cell r="P3313">
            <v>1601967</v>
          </cell>
          <cell r="Q3313">
            <v>123</v>
          </cell>
          <cell r="R3313">
            <v>123</v>
          </cell>
          <cell r="S3313">
            <v>363</v>
          </cell>
          <cell r="T3313">
            <v>323</v>
          </cell>
          <cell r="U3313">
            <v>0</v>
          </cell>
          <cell r="V3313">
            <v>0</v>
          </cell>
          <cell r="W3313">
            <v>0</v>
          </cell>
        </row>
        <row r="3314">
          <cell r="A3314" t="str">
            <v>450197</v>
          </cell>
          <cell r="B3314" t="str">
            <v>1251</v>
          </cell>
          <cell r="C3314" t="str">
            <v>12</v>
          </cell>
          <cell r="D3314" t="str">
            <v>22</v>
          </cell>
          <cell r="E3314">
            <v>1</v>
          </cell>
          <cell r="G3314">
            <v>551414</v>
          </cell>
          <cell r="H3314">
            <v>0</v>
          </cell>
          <cell r="I3314">
            <v>715</v>
          </cell>
          <cell r="J3314">
            <v>38</v>
          </cell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P3314">
            <v>0</v>
          </cell>
          <cell r="Q3314">
            <v>0</v>
          </cell>
          <cell r="R3314">
            <v>0</v>
          </cell>
          <cell r="S3314">
            <v>0</v>
          </cell>
          <cell r="T3314">
            <v>0</v>
          </cell>
          <cell r="U3314">
            <v>0</v>
          </cell>
          <cell r="V3314">
            <v>0</v>
          </cell>
          <cell r="W3314">
            <v>0</v>
          </cell>
        </row>
        <row r="3315">
          <cell r="A3315" t="str">
            <v>450197</v>
          </cell>
          <cell r="B3315" t="str">
            <v>1251</v>
          </cell>
          <cell r="C3315" t="str">
            <v>12</v>
          </cell>
          <cell r="D3315" t="str">
            <v>22</v>
          </cell>
          <cell r="E3315">
            <v>1</v>
          </cell>
          <cell r="G3315">
            <v>552312</v>
          </cell>
          <cell r="H3315">
            <v>0</v>
          </cell>
          <cell r="I3315">
            <v>12828</v>
          </cell>
          <cell r="J3315">
            <v>3066</v>
          </cell>
          <cell r="K3315">
            <v>0</v>
          </cell>
          <cell r="L3315">
            <v>0</v>
          </cell>
          <cell r="M3315">
            <v>0</v>
          </cell>
          <cell r="N3315">
            <v>0</v>
          </cell>
          <cell r="O3315">
            <v>0</v>
          </cell>
          <cell r="P3315">
            <v>0</v>
          </cell>
          <cell r="Q3315">
            <v>0</v>
          </cell>
          <cell r="R3315">
            <v>0</v>
          </cell>
          <cell r="S3315">
            <v>0</v>
          </cell>
          <cell r="T3315">
            <v>0</v>
          </cell>
          <cell r="U3315">
            <v>0</v>
          </cell>
          <cell r="V3315">
            <v>0</v>
          </cell>
          <cell r="W3315">
            <v>0</v>
          </cell>
        </row>
        <row r="3316">
          <cell r="A3316" t="str">
            <v>450197</v>
          </cell>
          <cell r="B3316" t="str">
            <v>1251</v>
          </cell>
          <cell r="C3316" t="str">
            <v>12</v>
          </cell>
          <cell r="D3316" t="str">
            <v>22</v>
          </cell>
          <cell r="E3316">
            <v>1</v>
          </cell>
          <cell r="G3316">
            <v>552323</v>
          </cell>
          <cell r="H3316">
            <v>0</v>
          </cell>
          <cell r="I3316">
            <v>6071</v>
          </cell>
          <cell r="J3316">
            <v>1160</v>
          </cell>
          <cell r="K3316">
            <v>0</v>
          </cell>
          <cell r="L3316">
            <v>0</v>
          </cell>
          <cell r="M3316">
            <v>0</v>
          </cell>
          <cell r="N3316">
            <v>0</v>
          </cell>
          <cell r="O3316">
            <v>0</v>
          </cell>
          <cell r="P3316">
            <v>0</v>
          </cell>
          <cell r="Q3316">
            <v>0</v>
          </cell>
          <cell r="R3316">
            <v>0</v>
          </cell>
          <cell r="S3316">
            <v>0</v>
          </cell>
          <cell r="T3316">
            <v>0</v>
          </cell>
          <cell r="U3316">
            <v>0</v>
          </cell>
          <cell r="V3316">
            <v>0</v>
          </cell>
          <cell r="W3316">
            <v>0</v>
          </cell>
        </row>
        <row r="3317">
          <cell r="A3317" t="str">
            <v>450197</v>
          </cell>
          <cell r="B3317" t="str">
            <v>1251</v>
          </cell>
          <cell r="C3317" t="str">
            <v>12</v>
          </cell>
          <cell r="D3317" t="str">
            <v>22</v>
          </cell>
          <cell r="E3317">
            <v>1</v>
          </cell>
          <cell r="G3317">
            <v>552411</v>
          </cell>
          <cell r="H3317">
            <v>0</v>
          </cell>
          <cell r="I3317">
            <v>15898</v>
          </cell>
          <cell r="J3317">
            <v>2651</v>
          </cell>
          <cell r="K3317">
            <v>0</v>
          </cell>
          <cell r="L3317">
            <v>0</v>
          </cell>
          <cell r="M3317">
            <v>0</v>
          </cell>
          <cell r="N3317">
            <v>0</v>
          </cell>
          <cell r="O3317">
            <v>0</v>
          </cell>
          <cell r="P3317">
            <v>0</v>
          </cell>
          <cell r="Q3317">
            <v>0</v>
          </cell>
          <cell r="R3317">
            <v>0</v>
          </cell>
          <cell r="S3317">
            <v>0</v>
          </cell>
          <cell r="T3317">
            <v>0</v>
          </cell>
          <cell r="U3317">
            <v>0</v>
          </cell>
          <cell r="V3317">
            <v>0</v>
          </cell>
          <cell r="W3317">
            <v>0</v>
          </cell>
        </row>
        <row r="3318">
          <cell r="A3318" t="str">
            <v>450197</v>
          </cell>
          <cell r="B3318" t="str">
            <v>1251</v>
          </cell>
          <cell r="C3318" t="str">
            <v>12</v>
          </cell>
          <cell r="D3318" t="str">
            <v>22</v>
          </cell>
          <cell r="E3318">
            <v>1</v>
          </cell>
          <cell r="G3318">
            <v>701015</v>
          </cell>
          <cell r="H3318">
            <v>0</v>
          </cell>
          <cell r="I3318">
            <v>1233</v>
          </cell>
          <cell r="J3318">
            <v>0</v>
          </cell>
          <cell r="K3318">
            <v>0</v>
          </cell>
          <cell r="L3318">
            <v>0</v>
          </cell>
          <cell r="M3318">
            <v>0</v>
          </cell>
          <cell r="N3318">
            <v>0</v>
          </cell>
          <cell r="O3318">
            <v>0</v>
          </cell>
          <cell r="P3318">
            <v>0</v>
          </cell>
          <cell r="Q3318">
            <v>0</v>
          </cell>
          <cell r="R3318">
            <v>0</v>
          </cell>
          <cell r="S3318">
            <v>0</v>
          </cell>
          <cell r="T3318">
            <v>0</v>
          </cell>
          <cell r="U3318">
            <v>0</v>
          </cell>
          <cell r="V3318">
            <v>0</v>
          </cell>
          <cell r="W3318">
            <v>0</v>
          </cell>
        </row>
        <row r="3319">
          <cell r="A3319" t="str">
            <v>450197</v>
          </cell>
          <cell r="B3319" t="str">
            <v>1251</v>
          </cell>
          <cell r="C3319" t="str">
            <v>12</v>
          </cell>
          <cell r="D3319" t="str">
            <v>22</v>
          </cell>
          <cell r="E3319">
            <v>1</v>
          </cell>
          <cell r="G3319">
            <v>751757</v>
          </cell>
          <cell r="H3319">
            <v>0</v>
          </cell>
          <cell r="I3319">
            <v>4200</v>
          </cell>
          <cell r="J3319">
            <v>892</v>
          </cell>
          <cell r="K3319">
            <v>3</v>
          </cell>
          <cell r="L3319">
            <v>665</v>
          </cell>
          <cell r="M3319">
            <v>0</v>
          </cell>
          <cell r="N3319">
            <v>0</v>
          </cell>
          <cell r="O3319">
            <v>0</v>
          </cell>
          <cell r="P3319">
            <v>0</v>
          </cell>
          <cell r="Q3319">
            <v>0</v>
          </cell>
          <cell r="R3319">
            <v>665</v>
          </cell>
          <cell r="S3319">
            <v>0</v>
          </cell>
          <cell r="T3319">
            <v>0</v>
          </cell>
          <cell r="U3319">
            <v>96</v>
          </cell>
          <cell r="V3319">
            <v>0</v>
          </cell>
          <cell r="W3319">
            <v>0</v>
          </cell>
        </row>
        <row r="3320">
          <cell r="A3320" t="str">
            <v>450197</v>
          </cell>
          <cell r="B3320" t="str">
            <v>1251</v>
          </cell>
          <cell r="C3320" t="str">
            <v>12</v>
          </cell>
          <cell r="D3320" t="str">
            <v>22</v>
          </cell>
          <cell r="E3320">
            <v>1</v>
          </cell>
          <cell r="G3320">
            <v>751768</v>
          </cell>
          <cell r="H3320">
            <v>0</v>
          </cell>
          <cell r="I3320">
            <v>3509</v>
          </cell>
          <cell r="J3320">
            <v>210</v>
          </cell>
          <cell r="K3320">
            <v>0</v>
          </cell>
          <cell r="L3320">
            <v>50</v>
          </cell>
          <cell r="M3320">
            <v>0</v>
          </cell>
          <cell r="N3320">
            <v>0</v>
          </cell>
          <cell r="O3320">
            <v>0</v>
          </cell>
          <cell r="P3320">
            <v>0</v>
          </cell>
          <cell r="Q3320">
            <v>0</v>
          </cell>
          <cell r="R3320">
            <v>50</v>
          </cell>
          <cell r="S3320">
            <v>0</v>
          </cell>
          <cell r="T3320">
            <v>0</v>
          </cell>
          <cell r="U3320">
            <v>0</v>
          </cell>
          <cell r="V3320">
            <v>0</v>
          </cell>
          <cell r="W3320">
            <v>0</v>
          </cell>
        </row>
        <row r="3321">
          <cell r="A3321" t="str">
            <v>450197</v>
          </cell>
          <cell r="B3321" t="str">
            <v>1251</v>
          </cell>
          <cell r="C3321" t="str">
            <v>12</v>
          </cell>
          <cell r="D3321" t="str">
            <v>22</v>
          </cell>
          <cell r="E3321">
            <v>1</v>
          </cell>
          <cell r="G3321">
            <v>751845</v>
          </cell>
          <cell r="H3321">
            <v>0</v>
          </cell>
          <cell r="I3321">
            <v>6902</v>
          </cell>
          <cell r="J3321">
            <v>0</v>
          </cell>
          <cell r="K3321">
            <v>0</v>
          </cell>
          <cell r="L3321">
            <v>0</v>
          </cell>
          <cell r="M3321">
            <v>0</v>
          </cell>
          <cell r="N3321">
            <v>0</v>
          </cell>
          <cell r="O3321">
            <v>0</v>
          </cell>
          <cell r="P3321">
            <v>0</v>
          </cell>
          <cell r="Q3321">
            <v>0</v>
          </cell>
          <cell r="R3321">
            <v>0</v>
          </cell>
          <cell r="S3321">
            <v>0</v>
          </cell>
          <cell r="T3321">
            <v>0</v>
          </cell>
          <cell r="U3321">
            <v>0</v>
          </cell>
          <cell r="V3321">
            <v>0</v>
          </cell>
          <cell r="W3321">
            <v>0</v>
          </cell>
        </row>
        <row r="3322">
          <cell r="A3322" t="str">
            <v>450197</v>
          </cell>
          <cell r="B3322" t="str">
            <v>1251</v>
          </cell>
          <cell r="C3322" t="str">
            <v>12</v>
          </cell>
          <cell r="D3322" t="str">
            <v>22</v>
          </cell>
          <cell r="E3322">
            <v>1</v>
          </cell>
          <cell r="G3322">
            <v>751922</v>
          </cell>
          <cell r="H3322">
            <v>0</v>
          </cell>
          <cell r="I3322">
            <v>0</v>
          </cell>
          <cell r="J3322">
            <v>0</v>
          </cell>
          <cell r="K3322">
            <v>0</v>
          </cell>
          <cell r="L3322">
            <v>0</v>
          </cell>
          <cell r="M3322">
            <v>0</v>
          </cell>
          <cell r="N3322">
            <v>0</v>
          </cell>
          <cell r="O3322">
            <v>0</v>
          </cell>
          <cell r="P3322">
            <v>0</v>
          </cell>
          <cell r="Q3322">
            <v>0</v>
          </cell>
          <cell r="R3322">
            <v>0</v>
          </cell>
          <cell r="S3322">
            <v>0</v>
          </cell>
          <cell r="T3322">
            <v>0</v>
          </cell>
          <cell r="U3322">
            <v>0</v>
          </cell>
          <cell r="V3322">
            <v>0</v>
          </cell>
          <cell r="W3322">
            <v>0</v>
          </cell>
        </row>
        <row r="3323">
          <cell r="A3323" t="str">
            <v>450197</v>
          </cell>
          <cell r="B3323" t="str">
            <v>1251</v>
          </cell>
          <cell r="C3323" t="str">
            <v>12</v>
          </cell>
          <cell r="D3323" t="str">
            <v>22</v>
          </cell>
          <cell r="E3323">
            <v>1</v>
          </cell>
          <cell r="G3323">
            <v>801115</v>
          </cell>
          <cell r="H3323">
            <v>0</v>
          </cell>
          <cell r="I3323">
            <v>3</v>
          </cell>
          <cell r="J3323">
            <v>0</v>
          </cell>
          <cell r="K3323">
            <v>0</v>
          </cell>
          <cell r="L3323">
            <v>218</v>
          </cell>
          <cell r="M3323">
            <v>716</v>
          </cell>
          <cell r="N3323">
            <v>0</v>
          </cell>
          <cell r="O3323">
            <v>0</v>
          </cell>
          <cell r="P3323">
            <v>30</v>
          </cell>
          <cell r="Q3323">
            <v>0</v>
          </cell>
          <cell r="R3323">
            <v>964</v>
          </cell>
          <cell r="S3323">
            <v>0</v>
          </cell>
          <cell r="T3323">
            <v>10</v>
          </cell>
          <cell r="U3323">
            <v>0</v>
          </cell>
          <cell r="V3323">
            <v>796</v>
          </cell>
          <cell r="W3323">
            <v>0</v>
          </cell>
        </row>
        <row r="3324">
          <cell r="A3324" t="str">
            <v>450197</v>
          </cell>
          <cell r="B3324" t="str">
            <v>1251</v>
          </cell>
          <cell r="C3324" t="str">
            <v>12</v>
          </cell>
          <cell r="D3324" t="str">
            <v>22</v>
          </cell>
          <cell r="E3324">
            <v>1</v>
          </cell>
          <cell r="G3324">
            <v>801214</v>
          </cell>
          <cell r="H3324">
            <v>0</v>
          </cell>
          <cell r="I3324">
            <v>275</v>
          </cell>
          <cell r="J3324">
            <v>0</v>
          </cell>
          <cell r="K3324">
            <v>0</v>
          </cell>
          <cell r="L3324">
            <v>250</v>
          </cell>
          <cell r="M3324">
            <v>1468</v>
          </cell>
          <cell r="N3324">
            <v>0</v>
          </cell>
          <cell r="O3324">
            <v>0</v>
          </cell>
          <cell r="P3324">
            <v>0</v>
          </cell>
          <cell r="Q3324">
            <v>0</v>
          </cell>
          <cell r="R3324">
            <v>1718</v>
          </cell>
          <cell r="S3324">
            <v>0</v>
          </cell>
          <cell r="T3324">
            <v>79</v>
          </cell>
          <cell r="U3324">
            <v>68</v>
          </cell>
          <cell r="V3324">
            <v>666</v>
          </cell>
          <cell r="W3324">
            <v>0</v>
          </cell>
        </row>
        <row r="3325">
          <cell r="A3325" t="str">
            <v>450197</v>
          </cell>
          <cell r="B3325" t="str">
            <v>1251</v>
          </cell>
          <cell r="C3325" t="str">
            <v>12</v>
          </cell>
          <cell r="D3325" t="str">
            <v>22</v>
          </cell>
          <cell r="E3325">
            <v>1</v>
          </cell>
          <cell r="G3325">
            <v>801236</v>
          </cell>
          <cell r="H3325">
            <v>0</v>
          </cell>
          <cell r="I3325">
            <v>1287</v>
          </cell>
          <cell r="J3325">
            <v>0</v>
          </cell>
          <cell r="K3325">
            <v>0</v>
          </cell>
          <cell r="L3325">
            <v>0</v>
          </cell>
          <cell r="M3325">
            <v>0</v>
          </cell>
          <cell r="N3325">
            <v>0</v>
          </cell>
          <cell r="O3325">
            <v>0</v>
          </cell>
          <cell r="P3325">
            <v>0</v>
          </cell>
          <cell r="Q3325">
            <v>0</v>
          </cell>
          <cell r="R3325">
            <v>0</v>
          </cell>
          <cell r="S3325">
            <v>0</v>
          </cell>
          <cell r="T3325">
            <v>0</v>
          </cell>
          <cell r="U3325">
            <v>0</v>
          </cell>
          <cell r="V3325">
            <v>0</v>
          </cell>
          <cell r="W3325">
            <v>0</v>
          </cell>
        </row>
        <row r="3326">
          <cell r="A3326" t="str">
            <v>450197</v>
          </cell>
          <cell r="B3326" t="str">
            <v>1251</v>
          </cell>
          <cell r="C3326" t="str">
            <v>12</v>
          </cell>
          <cell r="D3326" t="str">
            <v>22</v>
          </cell>
          <cell r="E3326">
            <v>1</v>
          </cell>
          <cell r="G3326">
            <v>802144</v>
          </cell>
          <cell r="H3326">
            <v>0</v>
          </cell>
          <cell r="I3326">
            <v>1339</v>
          </cell>
          <cell r="J3326">
            <v>0</v>
          </cell>
          <cell r="K3326">
            <v>0</v>
          </cell>
          <cell r="L3326">
            <v>77</v>
          </cell>
          <cell r="M3326">
            <v>683</v>
          </cell>
          <cell r="N3326">
            <v>0</v>
          </cell>
          <cell r="O3326">
            <v>0</v>
          </cell>
          <cell r="P3326">
            <v>0</v>
          </cell>
          <cell r="Q3326">
            <v>0</v>
          </cell>
          <cell r="R3326">
            <v>760</v>
          </cell>
          <cell r="S3326">
            <v>0</v>
          </cell>
          <cell r="T3326">
            <v>0</v>
          </cell>
          <cell r="U3326">
            <v>0</v>
          </cell>
          <cell r="V3326">
            <v>730</v>
          </cell>
          <cell r="W3326">
            <v>0</v>
          </cell>
        </row>
        <row r="3327">
          <cell r="A3327" t="str">
            <v>450197</v>
          </cell>
          <cell r="B3327" t="str">
            <v>1251</v>
          </cell>
          <cell r="C3327" t="str">
            <v>12</v>
          </cell>
          <cell r="D3327" t="str">
            <v>22</v>
          </cell>
          <cell r="E3327">
            <v>1</v>
          </cell>
          <cell r="G3327">
            <v>802166</v>
          </cell>
          <cell r="H3327">
            <v>0</v>
          </cell>
          <cell r="I3327">
            <v>326</v>
          </cell>
          <cell r="J3327">
            <v>0</v>
          </cell>
          <cell r="K3327">
            <v>0</v>
          </cell>
          <cell r="L3327">
            <v>0</v>
          </cell>
          <cell r="M3327">
            <v>0</v>
          </cell>
          <cell r="N3327">
            <v>0</v>
          </cell>
          <cell r="O3327">
            <v>0</v>
          </cell>
          <cell r="P3327">
            <v>0</v>
          </cell>
          <cell r="Q3327">
            <v>0</v>
          </cell>
          <cell r="R3327">
            <v>0</v>
          </cell>
          <cell r="S3327">
            <v>0</v>
          </cell>
          <cell r="T3327">
            <v>0</v>
          </cell>
          <cell r="U3327">
            <v>0</v>
          </cell>
          <cell r="V3327">
            <v>0</v>
          </cell>
          <cell r="W3327">
            <v>0</v>
          </cell>
        </row>
        <row r="3328">
          <cell r="A3328" t="str">
            <v>450197</v>
          </cell>
          <cell r="B3328" t="str">
            <v>1251</v>
          </cell>
          <cell r="C3328" t="str">
            <v>12</v>
          </cell>
          <cell r="D3328" t="str">
            <v>22</v>
          </cell>
          <cell r="E3328">
            <v>1</v>
          </cell>
          <cell r="G3328">
            <v>802177</v>
          </cell>
          <cell r="H3328">
            <v>0</v>
          </cell>
          <cell r="I3328">
            <v>17</v>
          </cell>
          <cell r="J3328">
            <v>0</v>
          </cell>
          <cell r="K3328">
            <v>0</v>
          </cell>
          <cell r="L3328">
            <v>0</v>
          </cell>
          <cell r="M3328">
            <v>0</v>
          </cell>
          <cell r="N3328">
            <v>0</v>
          </cell>
          <cell r="O3328">
            <v>0</v>
          </cell>
          <cell r="P3328">
            <v>0</v>
          </cell>
          <cell r="Q3328">
            <v>0</v>
          </cell>
          <cell r="R3328">
            <v>0</v>
          </cell>
          <cell r="S3328">
            <v>0</v>
          </cell>
          <cell r="T3328">
            <v>0</v>
          </cell>
          <cell r="U3328">
            <v>0</v>
          </cell>
          <cell r="V3328">
            <v>0</v>
          </cell>
          <cell r="W3328">
            <v>0</v>
          </cell>
        </row>
        <row r="3329">
          <cell r="A3329" t="str">
            <v>450197</v>
          </cell>
          <cell r="B3329" t="str">
            <v>1251</v>
          </cell>
          <cell r="C3329" t="str">
            <v>12</v>
          </cell>
          <cell r="D3329" t="str">
            <v>22</v>
          </cell>
          <cell r="E3329">
            <v>1</v>
          </cell>
          <cell r="G3329">
            <v>802199</v>
          </cell>
          <cell r="H3329">
            <v>0</v>
          </cell>
          <cell r="I3329">
            <v>4240</v>
          </cell>
          <cell r="J3329">
            <v>0</v>
          </cell>
          <cell r="K3329">
            <v>0</v>
          </cell>
          <cell r="L3329">
            <v>0</v>
          </cell>
          <cell r="M3329">
            <v>0</v>
          </cell>
          <cell r="N3329">
            <v>0</v>
          </cell>
          <cell r="O3329">
            <v>0</v>
          </cell>
          <cell r="P3329">
            <v>0</v>
          </cell>
          <cell r="Q3329">
            <v>0</v>
          </cell>
          <cell r="R3329">
            <v>0</v>
          </cell>
          <cell r="S3329">
            <v>0</v>
          </cell>
          <cell r="T3329">
            <v>0</v>
          </cell>
          <cell r="U3329">
            <v>0</v>
          </cell>
          <cell r="V3329">
            <v>0</v>
          </cell>
          <cell r="W3329">
            <v>0</v>
          </cell>
        </row>
        <row r="3330">
          <cell r="A3330" t="str">
            <v>450197</v>
          </cell>
          <cell r="B3330" t="str">
            <v>1251</v>
          </cell>
          <cell r="C3330" t="str">
            <v>12</v>
          </cell>
          <cell r="D3330" t="str">
            <v>22</v>
          </cell>
          <cell r="E3330">
            <v>1</v>
          </cell>
          <cell r="G3330">
            <v>802263</v>
          </cell>
          <cell r="H3330">
            <v>0</v>
          </cell>
          <cell r="I3330">
            <v>1834</v>
          </cell>
          <cell r="J3330">
            <v>0</v>
          </cell>
          <cell r="K3330">
            <v>0</v>
          </cell>
          <cell r="L3330">
            <v>0</v>
          </cell>
          <cell r="M3330">
            <v>1214</v>
          </cell>
          <cell r="N3330">
            <v>0</v>
          </cell>
          <cell r="O3330">
            <v>0</v>
          </cell>
          <cell r="P3330">
            <v>0</v>
          </cell>
          <cell r="Q3330">
            <v>0</v>
          </cell>
          <cell r="R3330">
            <v>1214</v>
          </cell>
          <cell r="S3330">
            <v>0</v>
          </cell>
          <cell r="T3330">
            <v>0</v>
          </cell>
          <cell r="U3330">
            <v>0</v>
          </cell>
          <cell r="V3330">
            <v>0</v>
          </cell>
          <cell r="W3330">
            <v>0</v>
          </cell>
        </row>
        <row r="3331">
          <cell r="A3331" t="str">
            <v>450197</v>
          </cell>
          <cell r="B3331" t="str">
            <v>1251</v>
          </cell>
          <cell r="C3331" t="str">
            <v>12</v>
          </cell>
          <cell r="D3331" t="str">
            <v>22</v>
          </cell>
          <cell r="E3331">
            <v>1</v>
          </cell>
          <cell r="G3331">
            <v>804017</v>
          </cell>
          <cell r="H3331">
            <v>0</v>
          </cell>
          <cell r="I3331">
            <v>307</v>
          </cell>
          <cell r="J3331">
            <v>0</v>
          </cell>
          <cell r="K3331">
            <v>0</v>
          </cell>
          <cell r="L3331">
            <v>0</v>
          </cell>
          <cell r="M3331">
            <v>0</v>
          </cell>
          <cell r="N3331">
            <v>0</v>
          </cell>
          <cell r="O3331">
            <v>0</v>
          </cell>
          <cell r="P3331">
            <v>0</v>
          </cell>
          <cell r="Q3331">
            <v>0</v>
          </cell>
          <cell r="R3331">
            <v>0</v>
          </cell>
          <cell r="S3331">
            <v>0</v>
          </cell>
          <cell r="T3331">
            <v>0</v>
          </cell>
          <cell r="U3331">
            <v>0</v>
          </cell>
          <cell r="V3331">
            <v>0</v>
          </cell>
          <cell r="W3331">
            <v>0</v>
          </cell>
        </row>
        <row r="3332">
          <cell r="A3332" t="str">
            <v>450197</v>
          </cell>
          <cell r="B3332" t="str">
            <v>1251</v>
          </cell>
          <cell r="C3332" t="str">
            <v>12</v>
          </cell>
          <cell r="D3332" t="str">
            <v>22</v>
          </cell>
          <cell r="E3332">
            <v>1</v>
          </cell>
          <cell r="G3332">
            <v>804028</v>
          </cell>
          <cell r="H3332">
            <v>0</v>
          </cell>
          <cell r="I3332">
            <v>2213</v>
          </cell>
          <cell r="J3332">
            <v>0</v>
          </cell>
          <cell r="K3332">
            <v>0</v>
          </cell>
          <cell r="L3332">
            <v>0</v>
          </cell>
          <cell r="M3332">
            <v>0</v>
          </cell>
          <cell r="N3332">
            <v>0</v>
          </cell>
          <cell r="O3332">
            <v>0</v>
          </cell>
          <cell r="P3332">
            <v>0</v>
          </cell>
          <cell r="Q3332">
            <v>0</v>
          </cell>
          <cell r="R3332">
            <v>0</v>
          </cell>
          <cell r="S3332">
            <v>0</v>
          </cell>
          <cell r="T3332">
            <v>0</v>
          </cell>
          <cell r="U3332">
            <v>0</v>
          </cell>
          <cell r="V3332">
            <v>0</v>
          </cell>
          <cell r="W3332">
            <v>0</v>
          </cell>
        </row>
        <row r="3333">
          <cell r="A3333" t="str">
            <v>450197</v>
          </cell>
          <cell r="B3333" t="str">
            <v>1251</v>
          </cell>
          <cell r="C3333" t="str">
            <v>12</v>
          </cell>
          <cell r="D3333" t="str">
            <v>22</v>
          </cell>
          <cell r="E3333">
            <v>1</v>
          </cell>
          <cell r="G3333">
            <v>851297</v>
          </cell>
          <cell r="H3333">
            <v>0</v>
          </cell>
          <cell r="I3333">
            <v>22</v>
          </cell>
          <cell r="J3333">
            <v>1</v>
          </cell>
          <cell r="K3333">
            <v>0</v>
          </cell>
          <cell r="L3333">
            <v>0</v>
          </cell>
          <cell r="M3333">
            <v>0</v>
          </cell>
          <cell r="N3333">
            <v>43677</v>
          </cell>
          <cell r="O3333">
            <v>0</v>
          </cell>
          <cell r="P3333">
            <v>0</v>
          </cell>
          <cell r="Q3333">
            <v>0</v>
          </cell>
          <cell r="R3333">
            <v>43677</v>
          </cell>
          <cell r="S3333">
            <v>0</v>
          </cell>
          <cell r="T3333">
            <v>0</v>
          </cell>
          <cell r="U3333">
            <v>0</v>
          </cell>
          <cell r="V3333">
            <v>0</v>
          </cell>
          <cell r="W3333">
            <v>0</v>
          </cell>
        </row>
        <row r="3334">
          <cell r="A3334" t="str">
            <v>450197</v>
          </cell>
          <cell r="B3334" t="str">
            <v>1251</v>
          </cell>
          <cell r="C3334" t="str">
            <v>12</v>
          </cell>
          <cell r="D3334" t="str">
            <v>22</v>
          </cell>
          <cell r="E3334">
            <v>1</v>
          </cell>
          <cell r="G3334">
            <v>853211</v>
          </cell>
          <cell r="H3334">
            <v>0</v>
          </cell>
          <cell r="I3334">
            <v>2924</v>
          </cell>
          <cell r="J3334">
            <v>467</v>
          </cell>
          <cell r="K3334">
            <v>0</v>
          </cell>
          <cell r="L3334">
            <v>0</v>
          </cell>
          <cell r="M3334">
            <v>0</v>
          </cell>
          <cell r="N3334">
            <v>0</v>
          </cell>
          <cell r="O3334">
            <v>0</v>
          </cell>
          <cell r="P3334">
            <v>0</v>
          </cell>
          <cell r="Q3334">
            <v>0</v>
          </cell>
          <cell r="R3334">
            <v>0</v>
          </cell>
          <cell r="S3334">
            <v>0</v>
          </cell>
          <cell r="T3334">
            <v>19</v>
          </cell>
          <cell r="U3334">
            <v>0</v>
          </cell>
          <cell r="V3334">
            <v>0</v>
          </cell>
          <cell r="W3334">
            <v>0</v>
          </cell>
        </row>
        <row r="3335">
          <cell r="A3335" t="str">
            <v>450197</v>
          </cell>
          <cell r="B3335" t="str">
            <v>1251</v>
          </cell>
          <cell r="C3335" t="str">
            <v>12</v>
          </cell>
          <cell r="D3335" t="str">
            <v>22</v>
          </cell>
          <cell r="E3335">
            <v>1</v>
          </cell>
          <cell r="G3335">
            <v>853244</v>
          </cell>
          <cell r="H3335">
            <v>0</v>
          </cell>
          <cell r="I3335">
            <v>8</v>
          </cell>
          <cell r="J3335">
            <v>1</v>
          </cell>
          <cell r="K3335">
            <v>0</v>
          </cell>
          <cell r="L3335">
            <v>0</v>
          </cell>
          <cell r="M3335">
            <v>603</v>
          </cell>
          <cell r="N3335">
            <v>0</v>
          </cell>
          <cell r="O3335">
            <v>0</v>
          </cell>
          <cell r="P3335">
            <v>0</v>
          </cell>
          <cell r="Q3335">
            <v>0</v>
          </cell>
          <cell r="R3335">
            <v>603</v>
          </cell>
          <cell r="S3335">
            <v>0</v>
          </cell>
          <cell r="T3335">
            <v>0</v>
          </cell>
          <cell r="U3335">
            <v>0</v>
          </cell>
          <cell r="V3335">
            <v>0</v>
          </cell>
          <cell r="W3335">
            <v>0</v>
          </cell>
        </row>
        <row r="3336">
          <cell r="A3336" t="str">
            <v>450197</v>
          </cell>
          <cell r="B3336" t="str">
            <v>1251</v>
          </cell>
          <cell r="C3336" t="str">
            <v>12</v>
          </cell>
          <cell r="D3336" t="str">
            <v>22</v>
          </cell>
          <cell r="E3336">
            <v>1</v>
          </cell>
          <cell r="G3336">
            <v>921815</v>
          </cell>
          <cell r="H3336">
            <v>0</v>
          </cell>
          <cell r="I3336">
            <v>10824</v>
          </cell>
          <cell r="J3336">
            <v>1103</v>
          </cell>
          <cell r="K3336">
            <v>0</v>
          </cell>
          <cell r="L3336">
            <v>0</v>
          </cell>
          <cell r="M3336">
            <v>2849</v>
          </cell>
          <cell r="N3336">
            <v>0</v>
          </cell>
          <cell r="O3336">
            <v>0</v>
          </cell>
          <cell r="P3336">
            <v>0</v>
          </cell>
          <cell r="Q3336">
            <v>0</v>
          </cell>
          <cell r="R3336">
            <v>2849</v>
          </cell>
          <cell r="S3336">
            <v>0</v>
          </cell>
          <cell r="T3336">
            <v>0</v>
          </cell>
          <cell r="U3336">
            <v>480</v>
          </cell>
          <cell r="V3336">
            <v>90</v>
          </cell>
          <cell r="W3336">
            <v>0</v>
          </cell>
        </row>
        <row r="3337">
          <cell r="A3337" t="str">
            <v>450197</v>
          </cell>
          <cell r="B3337" t="str">
            <v>1251</v>
          </cell>
          <cell r="C3337" t="str">
            <v>12</v>
          </cell>
          <cell r="D3337" t="str">
            <v>22</v>
          </cell>
          <cell r="E3337">
            <v>1</v>
          </cell>
          <cell r="G3337">
            <v>923127</v>
          </cell>
          <cell r="H3337">
            <v>0</v>
          </cell>
          <cell r="I3337">
            <v>3968</v>
          </cell>
          <cell r="J3337">
            <v>0</v>
          </cell>
          <cell r="K3337">
            <v>0</v>
          </cell>
          <cell r="L3337">
            <v>208</v>
          </cell>
          <cell r="M3337">
            <v>2421</v>
          </cell>
          <cell r="N3337">
            <v>0</v>
          </cell>
          <cell r="O3337">
            <v>0</v>
          </cell>
          <cell r="P3337">
            <v>565</v>
          </cell>
          <cell r="Q3337">
            <v>0</v>
          </cell>
          <cell r="R3337">
            <v>3194</v>
          </cell>
          <cell r="S3337">
            <v>0</v>
          </cell>
          <cell r="T3337">
            <v>0</v>
          </cell>
          <cell r="U3337">
            <v>65</v>
          </cell>
          <cell r="V3337">
            <v>200</v>
          </cell>
          <cell r="W3337">
            <v>0</v>
          </cell>
        </row>
        <row r="3338">
          <cell r="A3338" t="str">
            <v>450197</v>
          </cell>
          <cell r="B3338" t="str">
            <v>1251</v>
          </cell>
          <cell r="C3338" t="str">
            <v>12</v>
          </cell>
          <cell r="D3338" t="str">
            <v>22</v>
          </cell>
          <cell r="E3338">
            <v>1</v>
          </cell>
          <cell r="G3338">
            <v>924014</v>
          </cell>
          <cell r="H3338">
            <v>0</v>
          </cell>
          <cell r="I3338">
            <v>3725</v>
          </cell>
          <cell r="J3338">
            <v>21</v>
          </cell>
          <cell r="K3338">
            <v>0</v>
          </cell>
          <cell r="L3338">
            <v>0</v>
          </cell>
          <cell r="M3338">
            <v>600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600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</row>
        <row r="3339">
          <cell r="A3339" t="str">
            <v>450197</v>
          </cell>
          <cell r="B3339" t="str">
            <v>1251</v>
          </cell>
          <cell r="C3339" t="str">
            <v>12</v>
          </cell>
          <cell r="D3339" t="str">
            <v>22</v>
          </cell>
          <cell r="E3339">
            <v>1</v>
          </cell>
          <cell r="G3339">
            <v>926018</v>
          </cell>
          <cell r="H3339">
            <v>0</v>
          </cell>
          <cell r="I3339">
            <v>32</v>
          </cell>
          <cell r="J3339">
            <v>4</v>
          </cell>
          <cell r="K3339">
            <v>0</v>
          </cell>
          <cell r="L3339">
            <v>0</v>
          </cell>
          <cell r="M3339">
            <v>0</v>
          </cell>
          <cell r="N3339">
            <v>0</v>
          </cell>
          <cell r="O3339">
            <v>0</v>
          </cell>
          <cell r="P3339">
            <v>0</v>
          </cell>
          <cell r="Q3339">
            <v>0</v>
          </cell>
          <cell r="R3339">
            <v>0</v>
          </cell>
          <cell r="S3339">
            <v>0</v>
          </cell>
          <cell r="T3339">
            <v>0</v>
          </cell>
          <cell r="U3339">
            <v>0</v>
          </cell>
          <cell r="V3339">
            <v>0</v>
          </cell>
          <cell r="W3339">
            <v>0</v>
          </cell>
        </row>
        <row r="3340">
          <cell r="A3340" t="str">
            <v>450197</v>
          </cell>
          <cell r="B3340" t="str">
            <v>1251</v>
          </cell>
          <cell r="C3340" t="str">
            <v>12</v>
          </cell>
          <cell r="D3340" t="str">
            <v>22</v>
          </cell>
          <cell r="E3340">
            <v>1</v>
          </cell>
          <cell r="G3340">
            <v>930910</v>
          </cell>
          <cell r="H3340">
            <v>0</v>
          </cell>
          <cell r="I3340">
            <v>4985</v>
          </cell>
          <cell r="J3340">
            <v>81</v>
          </cell>
          <cell r="K3340">
            <v>0</v>
          </cell>
          <cell r="L3340">
            <v>0</v>
          </cell>
          <cell r="M3340">
            <v>0</v>
          </cell>
          <cell r="N3340">
            <v>0</v>
          </cell>
          <cell r="O3340">
            <v>0</v>
          </cell>
          <cell r="P3340">
            <v>0</v>
          </cell>
          <cell r="Q3340">
            <v>0</v>
          </cell>
          <cell r="R3340">
            <v>0</v>
          </cell>
          <cell r="S3340">
            <v>0</v>
          </cell>
          <cell r="T3340">
            <v>0</v>
          </cell>
          <cell r="U3340">
            <v>0</v>
          </cell>
          <cell r="V3340">
            <v>0</v>
          </cell>
          <cell r="W3340">
            <v>0</v>
          </cell>
        </row>
        <row r="3341">
          <cell r="A3341" t="str">
            <v>450197</v>
          </cell>
          <cell r="B3341" t="str">
            <v>1251</v>
          </cell>
          <cell r="C3341" t="str">
            <v>12</v>
          </cell>
          <cell r="D3341" t="str">
            <v>22</v>
          </cell>
          <cell r="E3341">
            <v>1</v>
          </cell>
          <cell r="G3341">
            <v>999999</v>
          </cell>
          <cell r="H3341">
            <v>0</v>
          </cell>
          <cell r="I3341">
            <v>89685</v>
          </cell>
          <cell r="J3341">
            <v>9695</v>
          </cell>
          <cell r="K3341">
            <v>3</v>
          </cell>
          <cell r="L3341">
            <v>1468</v>
          </cell>
          <cell r="M3341">
            <v>10554</v>
          </cell>
          <cell r="N3341">
            <v>43677</v>
          </cell>
          <cell r="O3341">
            <v>0</v>
          </cell>
          <cell r="P3341">
            <v>595</v>
          </cell>
          <cell r="Q3341">
            <v>0</v>
          </cell>
          <cell r="R3341">
            <v>56294</v>
          </cell>
          <cell r="S3341">
            <v>0</v>
          </cell>
          <cell r="T3341">
            <v>108</v>
          </cell>
          <cell r="U3341">
            <v>709</v>
          </cell>
          <cell r="V3341">
            <v>2482</v>
          </cell>
          <cell r="W3341">
            <v>0</v>
          </cell>
        </row>
        <row r="3342">
          <cell r="A3342" t="str">
            <v>450197</v>
          </cell>
          <cell r="B3342" t="str">
            <v>1251</v>
          </cell>
          <cell r="C3342" t="str">
            <v>12</v>
          </cell>
          <cell r="D3342" t="str">
            <v>22</v>
          </cell>
          <cell r="E3342">
            <v>17</v>
          </cell>
          <cell r="G3342">
            <v>551414</v>
          </cell>
          <cell r="H3342">
            <v>0</v>
          </cell>
          <cell r="I3342">
            <v>0</v>
          </cell>
          <cell r="J3342">
            <v>0</v>
          </cell>
          <cell r="K3342">
            <v>0</v>
          </cell>
          <cell r="L3342">
            <v>0</v>
          </cell>
          <cell r="M3342">
            <v>0</v>
          </cell>
          <cell r="N3342">
            <v>0</v>
          </cell>
          <cell r="O3342">
            <v>0</v>
          </cell>
          <cell r="P3342">
            <v>0</v>
          </cell>
          <cell r="Q3342">
            <v>753</v>
          </cell>
          <cell r="R3342">
            <v>0</v>
          </cell>
          <cell r="S3342">
            <v>0</v>
          </cell>
          <cell r="T3342">
            <v>0</v>
          </cell>
          <cell r="U3342">
            <v>0</v>
          </cell>
          <cell r="V3342">
            <v>0</v>
          </cell>
          <cell r="W3342">
            <v>0</v>
          </cell>
        </row>
        <row r="3343">
          <cell r="A3343" t="str">
            <v>450197</v>
          </cell>
          <cell r="B3343" t="str">
            <v>1251</v>
          </cell>
          <cell r="C3343" t="str">
            <v>12</v>
          </cell>
          <cell r="D3343" t="str">
            <v>22</v>
          </cell>
          <cell r="E3343">
            <v>17</v>
          </cell>
          <cell r="G3343">
            <v>552312</v>
          </cell>
          <cell r="H3343">
            <v>0</v>
          </cell>
          <cell r="I3343">
            <v>0</v>
          </cell>
          <cell r="J3343">
            <v>0</v>
          </cell>
          <cell r="K3343">
            <v>0</v>
          </cell>
          <cell r="L3343">
            <v>0</v>
          </cell>
          <cell r="M3343">
            <v>0</v>
          </cell>
          <cell r="N3343">
            <v>0</v>
          </cell>
          <cell r="O3343">
            <v>0</v>
          </cell>
          <cell r="P3343">
            <v>0</v>
          </cell>
          <cell r="Q3343">
            <v>15894</v>
          </cell>
          <cell r="R3343">
            <v>0</v>
          </cell>
          <cell r="S3343">
            <v>0</v>
          </cell>
          <cell r="T3343">
            <v>0</v>
          </cell>
          <cell r="U3343">
            <v>0</v>
          </cell>
          <cell r="V3343">
            <v>0</v>
          </cell>
          <cell r="W3343">
            <v>0</v>
          </cell>
        </row>
        <row r="3344">
          <cell r="A3344" t="str">
            <v>450197</v>
          </cell>
          <cell r="B3344" t="str">
            <v>1251</v>
          </cell>
          <cell r="C3344" t="str">
            <v>12</v>
          </cell>
          <cell r="D3344" t="str">
            <v>22</v>
          </cell>
          <cell r="E3344">
            <v>17</v>
          </cell>
          <cell r="G3344">
            <v>552323</v>
          </cell>
          <cell r="H3344">
            <v>0</v>
          </cell>
          <cell r="I3344">
            <v>0</v>
          </cell>
          <cell r="J3344">
            <v>0</v>
          </cell>
          <cell r="K3344">
            <v>0</v>
          </cell>
          <cell r="L3344">
            <v>0</v>
          </cell>
          <cell r="M3344">
            <v>0</v>
          </cell>
          <cell r="N3344">
            <v>0</v>
          </cell>
          <cell r="O3344">
            <v>0</v>
          </cell>
          <cell r="P3344">
            <v>0</v>
          </cell>
          <cell r="Q3344">
            <v>7231</v>
          </cell>
          <cell r="R3344">
            <v>0</v>
          </cell>
          <cell r="S3344">
            <v>0</v>
          </cell>
          <cell r="T3344">
            <v>0</v>
          </cell>
          <cell r="U3344">
            <v>0</v>
          </cell>
          <cell r="V3344">
            <v>0</v>
          </cell>
          <cell r="W3344">
            <v>0</v>
          </cell>
        </row>
        <row r="3345">
          <cell r="A3345" t="str">
            <v>450197</v>
          </cell>
          <cell r="B3345" t="str">
            <v>1251</v>
          </cell>
          <cell r="C3345" t="str">
            <v>12</v>
          </cell>
          <cell r="D3345" t="str">
            <v>22</v>
          </cell>
          <cell r="E3345">
            <v>17</v>
          </cell>
          <cell r="G3345">
            <v>552411</v>
          </cell>
          <cell r="H3345">
            <v>0</v>
          </cell>
          <cell r="I3345">
            <v>0</v>
          </cell>
          <cell r="J3345">
            <v>0</v>
          </cell>
          <cell r="K3345">
            <v>0</v>
          </cell>
          <cell r="L3345">
            <v>0</v>
          </cell>
          <cell r="M3345">
            <v>0</v>
          </cell>
          <cell r="N3345">
            <v>0</v>
          </cell>
          <cell r="O3345">
            <v>0</v>
          </cell>
          <cell r="P3345">
            <v>0</v>
          </cell>
          <cell r="Q3345">
            <v>18549</v>
          </cell>
          <cell r="R3345">
            <v>0</v>
          </cell>
          <cell r="S3345">
            <v>0</v>
          </cell>
          <cell r="T3345">
            <v>0</v>
          </cell>
          <cell r="U3345">
            <v>0</v>
          </cell>
          <cell r="V3345">
            <v>0</v>
          </cell>
          <cell r="W3345">
            <v>0</v>
          </cell>
        </row>
        <row r="3346">
          <cell r="A3346" t="str">
            <v>450197</v>
          </cell>
          <cell r="B3346" t="str">
            <v>1251</v>
          </cell>
          <cell r="C3346" t="str">
            <v>12</v>
          </cell>
          <cell r="D3346" t="str">
            <v>22</v>
          </cell>
          <cell r="E3346">
            <v>17</v>
          </cell>
          <cell r="G3346">
            <v>701015</v>
          </cell>
          <cell r="H3346">
            <v>0</v>
          </cell>
          <cell r="I3346">
            <v>0</v>
          </cell>
          <cell r="J3346">
            <v>0</v>
          </cell>
          <cell r="K3346">
            <v>0</v>
          </cell>
          <cell r="L3346">
            <v>0</v>
          </cell>
          <cell r="M3346">
            <v>0</v>
          </cell>
          <cell r="N3346">
            <v>0</v>
          </cell>
          <cell r="O3346">
            <v>0</v>
          </cell>
          <cell r="P3346">
            <v>0</v>
          </cell>
          <cell r="Q3346">
            <v>1233</v>
          </cell>
          <cell r="R3346">
            <v>0</v>
          </cell>
          <cell r="S3346">
            <v>0</v>
          </cell>
          <cell r="T3346">
            <v>0</v>
          </cell>
          <cell r="U3346">
            <v>0</v>
          </cell>
          <cell r="V3346">
            <v>0</v>
          </cell>
          <cell r="W3346">
            <v>0</v>
          </cell>
        </row>
        <row r="3347">
          <cell r="A3347" t="str">
            <v>450197</v>
          </cell>
          <cell r="B3347" t="str">
            <v>1251</v>
          </cell>
          <cell r="C3347" t="str">
            <v>12</v>
          </cell>
          <cell r="D3347" t="str">
            <v>22</v>
          </cell>
          <cell r="E3347">
            <v>17</v>
          </cell>
          <cell r="G3347">
            <v>751757</v>
          </cell>
          <cell r="H3347">
            <v>96</v>
          </cell>
          <cell r="I3347">
            <v>0</v>
          </cell>
          <cell r="J3347">
            <v>0</v>
          </cell>
          <cell r="K3347">
            <v>0</v>
          </cell>
          <cell r="L3347">
            <v>0</v>
          </cell>
          <cell r="M3347">
            <v>0</v>
          </cell>
          <cell r="N3347">
            <v>96</v>
          </cell>
          <cell r="O3347">
            <v>0</v>
          </cell>
          <cell r="P3347">
            <v>0</v>
          </cell>
          <cell r="Q3347">
            <v>5856</v>
          </cell>
          <cell r="R3347">
            <v>358</v>
          </cell>
          <cell r="S3347">
            <v>0</v>
          </cell>
          <cell r="T3347">
            <v>0</v>
          </cell>
          <cell r="U3347">
            <v>0</v>
          </cell>
          <cell r="V3347">
            <v>0</v>
          </cell>
          <cell r="W3347">
            <v>0</v>
          </cell>
        </row>
        <row r="3348">
          <cell r="A3348" t="str">
            <v>450197</v>
          </cell>
          <cell r="B3348" t="str">
            <v>1251</v>
          </cell>
          <cell r="C3348" t="str">
            <v>12</v>
          </cell>
          <cell r="D3348" t="str">
            <v>22</v>
          </cell>
          <cell r="E3348">
            <v>17</v>
          </cell>
          <cell r="G3348">
            <v>751768</v>
          </cell>
          <cell r="H3348">
            <v>0</v>
          </cell>
          <cell r="I3348">
            <v>0</v>
          </cell>
          <cell r="J3348">
            <v>0</v>
          </cell>
          <cell r="K3348">
            <v>0</v>
          </cell>
          <cell r="L3348">
            <v>0</v>
          </cell>
          <cell r="M3348">
            <v>0</v>
          </cell>
          <cell r="N3348">
            <v>0</v>
          </cell>
          <cell r="O3348">
            <v>0</v>
          </cell>
          <cell r="P3348">
            <v>0</v>
          </cell>
          <cell r="Q3348">
            <v>3769</v>
          </cell>
          <cell r="R3348">
            <v>0</v>
          </cell>
          <cell r="S3348">
            <v>0</v>
          </cell>
          <cell r="T3348">
            <v>0</v>
          </cell>
          <cell r="U3348">
            <v>0</v>
          </cell>
          <cell r="V3348">
            <v>0</v>
          </cell>
          <cell r="W3348">
            <v>0</v>
          </cell>
        </row>
        <row r="3349">
          <cell r="A3349" t="str">
            <v>450197</v>
          </cell>
          <cell r="B3349" t="str">
            <v>1251</v>
          </cell>
          <cell r="C3349" t="str">
            <v>12</v>
          </cell>
          <cell r="D3349" t="str">
            <v>22</v>
          </cell>
          <cell r="E3349">
            <v>17</v>
          </cell>
          <cell r="G3349">
            <v>751845</v>
          </cell>
          <cell r="H3349">
            <v>0</v>
          </cell>
          <cell r="I3349">
            <v>0</v>
          </cell>
          <cell r="J3349">
            <v>0</v>
          </cell>
          <cell r="K3349">
            <v>0</v>
          </cell>
          <cell r="L3349">
            <v>0</v>
          </cell>
          <cell r="M3349">
            <v>0</v>
          </cell>
          <cell r="N3349">
            <v>0</v>
          </cell>
          <cell r="O3349">
            <v>0</v>
          </cell>
          <cell r="P3349">
            <v>0</v>
          </cell>
          <cell r="Q3349">
            <v>6902</v>
          </cell>
          <cell r="R3349">
            <v>0</v>
          </cell>
          <cell r="S3349">
            <v>0</v>
          </cell>
          <cell r="T3349">
            <v>0</v>
          </cell>
          <cell r="U3349">
            <v>0</v>
          </cell>
          <cell r="V3349">
            <v>0</v>
          </cell>
          <cell r="W3349">
            <v>0</v>
          </cell>
        </row>
        <row r="3350">
          <cell r="A3350" t="str">
            <v>450197</v>
          </cell>
          <cell r="B3350" t="str">
            <v>1251</v>
          </cell>
          <cell r="C3350" t="str">
            <v>12</v>
          </cell>
          <cell r="D3350" t="str">
            <v>22</v>
          </cell>
          <cell r="E3350">
            <v>17</v>
          </cell>
          <cell r="G3350">
            <v>751922</v>
          </cell>
          <cell r="H3350">
            <v>0</v>
          </cell>
          <cell r="I3350">
            <v>0</v>
          </cell>
          <cell r="J3350">
            <v>0</v>
          </cell>
          <cell r="K3350">
            <v>0</v>
          </cell>
          <cell r="L3350">
            <v>0</v>
          </cell>
          <cell r="M3350">
            <v>0</v>
          </cell>
          <cell r="N3350">
            <v>0</v>
          </cell>
          <cell r="O3350">
            <v>0</v>
          </cell>
          <cell r="P3350">
            <v>0</v>
          </cell>
          <cell r="Q3350">
            <v>0</v>
          </cell>
          <cell r="R3350">
            <v>0</v>
          </cell>
          <cell r="S3350">
            <v>0</v>
          </cell>
          <cell r="T3350">
            <v>0</v>
          </cell>
          <cell r="U3350">
            <v>0</v>
          </cell>
          <cell r="V3350">
            <v>0</v>
          </cell>
          <cell r="W3350">
            <v>0</v>
          </cell>
        </row>
        <row r="3351">
          <cell r="A3351" t="str">
            <v>450197</v>
          </cell>
          <cell r="B3351" t="str">
            <v>1251</v>
          </cell>
          <cell r="C3351" t="str">
            <v>12</v>
          </cell>
          <cell r="D3351" t="str">
            <v>22</v>
          </cell>
          <cell r="E3351">
            <v>17</v>
          </cell>
          <cell r="G3351">
            <v>801115</v>
          </cell>
          <cell r="H3351">
            <v>806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806</v>
          </cell>
          <cell r="O3351">
            <v>0</v>
          </cell>
          <cell r="P3351">
            <v>0</v>
          </cell>
          <cell r="Q3351">
            <v>1773</v>
          </cell>
          <cell r="R3351">
            <v>0</v>
          </cell>
          <cell r="S3351">
            <v>0</v>
          </cell>
          <cell r="T3351">
            <v>0</v>
          </cell>
          <cell r="U3351">
            <v>0</v>
          </cell>
          <cell r="V3351">
            <v>0</v>
          </cell>
          <cell r="W3351">
            <v>0</v>
          </cell>
        </row>
        <row r="3352">
          <cell r="A3352" t="str">
            <v>450197</v>
          </cell>
          <cell r="B3352" t="str">
            <v>1251</v>
          </cell>
          <cell r="C3352" t="str">
            <v>12</v>
          </cell>
          <cell r="D3352" t="str">
            <v>22</v>
          </cell>
          <cell r="E3352">
            <v>17</v>
          </cell>
          <cell r="G3352">
            <v>801214</v>
          </cell>
          <cell r="H3352">
            <v>813</v>
          </cell>
          <cell r="I3352">
            <v>0</v>
          </cell>
          <cell r="J3352">
            <v>0</v>
          </cell>
          <cell r="K3352">
            <v>0</v>
          </cell>
          <cell r="L3352">
            <v>0</v>
          </cell>
          <cell r="M3352">
            <v>0</v>
          </cell>
          <cell r="N3352">
            <v>813</v>
          </cell>
          <cell r="O3352">
            <v>0</v>
          </cell>
          <cell r="P3352">
            <v>0</v>
          </cell>
          <cell r="Q3352">
            <v>2806</v>
          </cell>
          <cell r="R3352">
            <v>0</v>
          </cell>
          <cell r="S3352">
            <v>0</v>
          </cell>
          <cell r="T3352">
            <v>0</v>
          </cell>
          <cell r="U3352">
            <v>0</v>
          </cell>
          <cell r="V3352">
            <v>0</v>
          </cell>
          <cell r="W3352">
            <v>0</v>
          </cell>
        </row>
        <row r="3353">
          <cell r="A3353" t="str">
            <v>450197</v>
          </cell>
          <cell r="B3353" t="str">
            <v>1251</v>
          </cell>
          <cell r="C3353" t="str">
            <v>12</v>
          </cell>
          <cell r="D3353" t="str">
            <v>22</v>
          </cell>
          <cell r="E3353">
            <v>17</v>
          </cell>
          <cell r="G3353">
            <v>801236</v>
          </cell>
          <cell r="H3353">
            <v>0</v>
          </cell>
          <cell r="I3353">
            <v>0</v>
          </cell>
          <cell r="J3353">
            <v>0</v>
          </cell>
          <cell r="K3353">
            <v>0</v>
          </cell>
          <cell r="L3353">
            <v>0</v>
          </cell>
          <cell r="M3353">
            <v>0</v>
          </cell>
          <cell r="N3353">
            <v>0</v>
          </cell>
          <cell r="O3353">
            <v>0</v>
          </cell>
          <cell r="P3353">
            <v>0</v>
          </cell>
          <cell r="Q3353">
            <v>1287</v>
          </cell>
          <cell r="R3353">
            <v>0</v>
          </cell>
          <cell r="S3353">
            <v>0</v>
          </cell>
          <cell r="T3353">
            <v>0</v>
          </cell>
          <cell r="U3353">
            <v>0</v>
          </cell>
          <cell r="V3353">
            <v>0</v>
          </cell>
          <cell r="W3353">
            <v>0</v>
          </cell>
        </row>
        <row r="3354">
          <cell r="A3354" t="str">
            <v>450197</v>
          </cell>
          <cell r="B3354" t="str">
            <v>1251</v>
          </cell>
          <cell r="C3354" t="str">
            <v>12</v>
          </cell>
          <cell r="D3354" t="str">
            <v>22</v>
          </cell>
          <cell r="E3354">
            <v>17</v>
          </cell>
          <cell r="G3354">
            <v>802144</v>
          </cell>
          <cell r="H3354">
            <v>730</v>
          </cell>
          <cell r="I3354">
            <v>0</v>
          </cell>
          <cell r="J3354">
            <v>0</v>
          </cell>
          <cell r="K3354">
            <v>0</v>
          </cell>
          <cell r="L3354">
            <v>0</v>
          </cell>
          <cell r="M3354">
            <v>0</v>
          </cell>
          <cell r="N3354">
            <v>730</v>
          </cell>
          <cell r="O3354">
            <v>0</v>
          </cell>
          <cell r="P3354">
            <v>0</v>
          </cell>
          <cell r="Q3354">
            <v>2829</v>
          </cell>
          <cell r="R3354">
            <v>0</v>
          </cell>
          <cell r="S3354">
            <v>0</v>
          </cell>
          <cell r="T3354">
            <v>0</v>
          </cell>
          <cell r="U3354">
            <v>2894</v>
          </cell>
          <cell r="V3354">
            <v>0</v>
          </cell>
          <cell r="W3354">
            <v>0</v>
          </cell>
        </row>
        <row r="3355">
          <cell r="A3355" t="str">
            <v>450197</v>
          </cell>
          <cell r="B3355" t="str">
            <v>1251</v>
          </cell>
          <cell r="C3355" t="str">
            <v>12</v>
          </cell>
          <cell r="D3355" t="str">
            <v>22</v>
          </cell>
          <cell r="E3355">
            <v>17</v>
          </cell>
          <cell r="G3355">
            <v>802166</v>
          </cell>
          <cell r="H3355">
            <v>0</v>
          </cell>
          <cell r="I3355">
            <v>0</v>
          </cell>
          <cell r="J3355">
            <v>0</v>
          </cell>
          <cell r="K3355">
            <v>0</v>
          </cell>
          <cell r="L3355">
            <v>0</v>
          </cell>
          <cell r="M3355">
            <v>0</v>
          </cell>
          <cell r="N3355">
            <v>0</v>
          </cell>
          <cell r="O3355">
            <v>0</v>
          </cell>
          <cell r="P3355">
            <v>0</v>
          </cell>
          <cell r="Q3355">
            <v>326</v>
          </cell>
          <cell r="R3355">
            <v>0</v>
          </cell>
          <cell r="S3355">
            <v>0</v>
          </cell>
          <cell r="T3355">
            <v>0</v>
          </cell>
          <cell r="U3355">
            <v>0</v>
          </cell>
          <cell r="V3355">
            <v>0</v>
          </cell>
          <cell r="W3355">
            <v>0</v>
          </cell>
        </row>
        <row r="3356">
          <cell r="A3356" t="str">
            <v>450197</v>
          </cell>
          <cell r="B3356" t="str">
            <v>1251</v>
          </cell>
          <cell r="C3356" t="str">
            <v>12</v>
          </cell>
          <cell r="D3356" t="str">
            <v>22</v>
          </cell>
          <cell r="E3356">
            <v>17</v>
          </cell>
          <cell r="G3356">
            <v>802177</v>
          </cell>
          <cell r="H3356">
            <v>0</v>
          </cell>
          <cell r="I3356">
            <v>0</v>
          </cell>
          <cell r="J3356">
            <v>0</v>
          </cell>
          <cell r="K3356">
            <v>0</v>
          </cell>
          <cell r="L3356">
            <v>0</v>
          </cell>
          <cell r="M3356">
            <v>0</v>
          </cell>
          <cell r="N3356">
            <v>0</v>
          </cell>
          <cell r="O3356">
            <v>0</v>
          </cell>
          <cell r="P3356">
            <v>0</v>
          </cell>
          <cell r="Q3356">
            <v>17</v>
          </cell>
          <cell r="R3356">
            <v>0</v>
          </cell>
          <cell r="S3356">
            <v>0</v>
          </cell>
          <cell r="T3356">
            <v>0</v>
          </cell>
          <cell r="U3356">
            <v>0</v>
          </cell>
          <cell r="V3356">
            <v>0</v>
          </cell>
          <cell r="W3356">
            <v>0</v>
          </cell>
        </row>
        <row r="3357">
          <cell r="A3357" t="str">
            <v>450197</v>
          </cell>
          <cell r="B3357" t="str">
            <v>1251</v>
          </cell>
          <cell r="C3357" t="str">
            <v>12</v>
          </cell>
          <cell r="D3357" t="str">
            <v>22</v>
          </cell>
          <cell r="E3357">
            <v>17</v>
          </cell>
          <cell r="G3357">
            <v>802199</v>
          </cell>
          <cell r="H3357">
            <v>0</v>
          </cell>
          <cell r="I3357">
            <v>0</v>
          </cell>
          <cell r="J3357">
            <v>0</v>
          </cell>
          <cell r="K3357">
            <v>0</v>
          </cell>
          <cell r="L3357">
            <v>0</v>
          </cell>
          <cell r="M3357">
            <v>0</v>
          </cell>
          <cell r="N3357">
            <v>0</v>
          </cell>
          <cell r="O3357">
            <v>0</v>
          </cell>
          <cell r="P3357">
            <v>0</v>
          </cell>
          <cell r="Q3357">
            <v>4240</v>
          </cell>
          <cell r="R3357">
            <v>0</v>
          </cell>
          <cell r="S3357">
            <v>0</v>
          </cell>
          <cell r="T3357">
            <v>0</v>
          </cell>
          <cell r="U3357">
            <v>0</v>
          </cell>
          <cell r="V3357">
            <v>0</v>
          </cell>
          <cell r="W3357">
            <v>0</v>
          </cell>
        </row>
        <row r="3358">
          <cell r="A3358" t="str">
            <v>450197</v>
          </cell>
          <cell r="B3358" t="str">
            <v>1251</v>
          </cell>
          <cell r="C3358" t="str">
            <v>12</v>
          </cell>
          <cell r="D3358" t="str">
            <v>22</v>
          </cell>
          <cell r="E3358">
            <v>17</v>
          </cell>
          <cell r="G3358">
            <v>802263</v>
          </cell>
          <cell r="H3358">
            <v>0</v>
          </cell>
          <cell r="I3358">
            <v>0</v>
          </cell>
          <cell r="J3358">
            <v>0</v>
          </cell>
          <cell r="K3358">
            <v>0</v>
          </cell>
          <cell r="L3358">
            <v>0</v>
          </cell>
          <cell r="M3358">
            <v>0</v>
          </cell>
          <cell r="N3358">
            <v>0</v>
          </cell>
          <cell r="O3358">
            <v>0</v>
          </cell>
          <cell r="P3358">
            <v>0</v>
          </cell>
          <cell r="Q3358">
            <v>3048</v>
          </cell>
          <cell r="R3358">
            <v>0</v>
          </cell>
          <cell r="S3358">
            <v>0</v>
          </cell>
          <cell r="T3358">
            <v>0</v>
          </cell>
          <cell r="U3358">
            <v>0</v>
          </cell>
          <cell r="V3358">
            <v>0</v>
          </cell>
          <cell r="W3358">
            <v>0</v>
          </cell>
        </row>
        <row r="3359">
          <cell r="A3359" t="str">
            <v>450197</v>
          </cell>
          <cell r="B3359" t="str">
            <v>1251</v>
          </cell>
          <cell r="C3359" t="str">
            <v>12</v>
          </cell>
          <cell r="D3359" t="str">
            <v>22</v>
          </cell>
          <cell r="E3359">
            <v>17</v>
          </cell>
          <cell r="G3359">
            <v>804017</v>
          </cell>
          <cell r="H3359">
            <v>0</v>
          </cell>
          <cell r="I3359">
            <v>0</v>
          </cell>
          <cell r="J3359">
            <v>0</v>
          </cell>
          <cell r="K3359">
            <v>0</v>
          </cell>
          <cell r="L3359">
            <v>0</v>
          </cell>
          <cell r="M3359">
            <v>0</v>
          </cell>
          <cell r="N3359">
            <v>0</v>
          </cell>
          <cell r="O3359">
            <v>0</v>
          </cell>
          <cell r="P3359">
            <v>0</v>
          </cell>
          <cell r="Q3359">
            <v>307</v>
          </cell>
          <cell r="R3359">
            <v>0</v>
          </cell>
          <cell r="S3359">
            <v>0</v>
          </cell>
          <cell r="T3359">
            <v>0</v>
          </cell>
          <cell r="U3359">
            <v>0</v>
          </cell>
          <cell r="V3359">
            <v>0</v>
          </cell>
          <cell r="W3359">
            <v>0</v>
          </cell>
        </row>
        <row r="3360">
          <cell r="A3360" t="str">
            <v>450197</v>
          </cell>
          <cell r="B3360" t="str">
            <v>1251</v>
          </cell>
          <cell r="C3360" t="str">
            <v>12</v>
          </cell>
          <cell r="D3360" t="str">
            <v>22</v>
          </cell>
          <cell r="E3360">
            <v>17</v>
          </cell>
          <cell r="G3360">
            <v>804028</v>
          </cell>
          <cell r="H3360">
            <v>0</v>
          </cell>
          <cell r="I3360">
            <v>0</v>
          </cell>
          <cell r="J3360">
            <v>0</v>
          </cell>
          <cell r="K3360">
            <v>0</v>
          </cell>
          <cell r="L3360">
            <v>0</v>
          </cell>
          <cell r="M3360">
            <v>0</v>
          </cell>
          <cell r="N3360">
            <v>0</v>
          </cell>
          <cell r="O3360">
            <v>0</v>
          </cell>
          <cell r="P3360">
            <v>0</v>
          </cell>
          <cell r="Q3360">
            <v>2213</v>
          </cell>
          <cell r="R3360">
            <v>0</v>
          </cell>
          <cell r="S3360">
            <v>0</v>
          </cell>
          <cell r="T3360">
            <v>0</v>
          </cell>
          <cell r="U3360">
            <v>0</v>
          </cell>
          <cell r="V3360">
            <v>0</v>
          </cell>
          <cell r="W3360">
            <v>0</v>
          </cell>
        </row>
        <row r="3361">
          <cell r="A3361" t="str">
            <v>450197</v>
          </cell>
          <cell r="B3361" t="str">
            <v>1251</v>
          </cell>
          <cell r="C3361" t="str">
            <v>12</v>
          </cell>
          <cell r="D3361" t="str">
            <v>22</v>
          </cell>
          <cell r="E3361">
            <v>17</v>
          </cell>
          <cell r="G3361">
            <v>851297</v>
          </cell>
          <cell r="H3361">
            <v>0</v>
          </cell>
          <cell r="I3361">
            <v>0</v>
          </cell>
          <cell r="J3361">
            <v>0</v>
          </cell>
          <cell r="K3361">
            <v>0</v>
          </cell>
          <cell r="L3361">
            <v>0</v>
          </cell>
          <cell r="M3361">
            <v>0</v>
          </cell>
          <cell r="N3361">
            <v>0</v>
          </cell>
          <cell r="O3361">
            <v>0</v>
          </cell>
          <cell r="P3361">
            <v>0</v>
          </cell>
          <cell r="Q3361">
            <v>43700</v>
          </cell>
          <cell r="R3361">
            <v>0</v>
          </cell>
          <cell r="S3361">
            <v>0</v>
          </cell>
          <cell r="T3361">
            <v>0</v>
          </cell>
          <cell r="U3361">
            <v>0</v>
          </cell>
          <cell r="V3361">
            <v>0</v>
          </cell>
          <cell r="W3361">
            <v>0</v>
          </cell>
        </row>
        <row r="3362">
          <cell r="A3362" t="str">
            <v>450197</v>
          </cell>
          <cell r="B3362" t="str">
            <v>1251</v>
          </cell>
          <cell r="C3362" t="str">
            <v>12</v>
          </cell>
          <cell r="D3362" t="str">
            <v>22</v>
          </cell>
          <cell r="E3362">
            <v>17</v>
          </cell>
          <cell r="G3362">
            <v>853211</v>
          </cell>
          <cell r="H3362">
            <v>19</v>
          </cell>
          <cell r="I3362">
            <v>0</v>
          </cell>
          <cell r="J3362">
            <v>0</v>
          </cell>
          <cell r="K3362">
            <v>0</v>
          </cell>
          <cell r="L3362">
            <v>0</v>
          </cell>
          <cell r="M3362">
            <v>0</v>
          </cell>
          <cell r="N3362">
            <v>19</v>
          </cell>
          <cell r="O3362">
            <v>0</v>
          </cell>
          <cell r="P3362">
            <v>0</v>
          </cell>
          <cell r="Q3362">
            <v>3410</v>
          </cell>
          <cell r="R3362">
            <v>0</v>
          </cell>
          <cell r="S3362">
            <v>0</v>
          </cell>
          <cell r="T3362">
            <v>0</v>
          </cell>
          <cell r="U3362">
            <v>0</v>
          </cell>
          <cell r="V3362">
            <v>0</v>
          </cell>
          <cell r="W3362">
            <v>0</v>
          </cell>
        </row>
        <row r="3363">
          <cell r="A3363" t="str">
            <v>450197</v>
          </cell>
          <cell r="B3363" t="str">
            <v>1251</v>
          </cell>
          <cell r="C3363" t="str">
            <v>12</v>
          </cell>
          <cell r="D3363" t="str">
            <v>22</v>
          </cell>
          <cell r="E3363">
            <v>17</v>
          </cell>
          <cell r="G3363">
            <v>853244</v>
          </cell>
          <cell r="H3363">
            <v>0</v>
          </cell>
          <cell r="I3363">
            <v>0</v>
          </cell>
          <cell r="J3363">
            <v>0</v>
          </cell>
          <cell r="K3363">
            <v>0</v>
          </cell>
          <cell r="L3363">
            <v>0</v>
          </cell>
          <cell r="M3363">
            <v>0</v>
          </cell>
          <cell r="N3363">
            <v>0</v>
          </cell>
          <cell r="O3363">
            <v>0</v>
          </cell>
          <cell r="P3363">
            <v>0</v>
          </cell>
          <cell r="Q3363">
            <v>612</v>
          </cell>
          <cell r="R3363">
            <v>0</v>
          </cell>
          <cell r="S3363">
            <v>0</v>
          </cell>
          <cell r="T3363">
            <v>0</v>
          </cell>
          <cell r="U3363">
            <v>452</v>
          </cell>
          <cell r="V3363">
            <v>0</v>
          </cell>
          <cell r="W3363">
            <v>0</v>
          </cell>
        </row>
        <row r="3364">
          <cell r="A3364" t="str">
            <v>450197</v>
          </cell>
          <cell r="B3364" t="str">
            <v>1251</v>
          </cell>
          <cell r="C3364" t="str">
            <v>12</v>
          </cell>
          <cell r="D3364" t="str">
            <v>22</v>
          </cell>
          <cell r="E3364">
            <v>17</v>
          </cell>
          <cell r="G3364">
            <v>921815</v>
          </cell>
          <cell r="H3364">
            <v>570</v>
          </cell>
          <cell r="I3364">
            <v>0</v>
          </cell>
          <cell r="J3364">
            <v>0</v>
          </cell>
          <cell r="K3364">
            <v>0</v>
          </cell>
          <cell r="L3364">
            <v>0</v>
          </cell>
          <cell r="M3364">
            <v>0</v>
          </cell>
          <cell r="N3364">
            <v>570</v>
          </cell>
          <cell r="O3364">
            <v>0</v>
          </cell>
          <cell r="P3364">
            <v>0</v>
          </cell>
          <cell r="Q3364">
            <v>15346</v>
          </cell>
          <cell r="R3364">
            <v>0</v>
          </cell>
          <cell r="S3364">
            <v>0</v>
          </cell>
          <cell r="T3364">
            <v>0</v>
          </cell>
          <cell r="U3364">
            <v>1050</v>
          </cell>
          <cell r="V3364">
            <v>0</v>
          </cell>
          <cell r="W3364">
            <v>0</v>
          </cell>
        </row>
        <row r="3365">
          <cell r="A3365" t="str">
            <v>450197</v>
          </cell>
          <cell r="B3365" t="str">
            <v>1251</v>
          </cell>
          <cell r="C3365" t="str">
            <v>12</v>
          </cell>
          <cell r="D3365" t="str">
            <v>22</v>
          </cell>
          <cell r="E3365">
            <v>17</v>
          </cell>
          <cell r="G3365">
            <v>923127</v>
          </cell>
          <cell r="H3365">
            <v>265</v>
          </cell>
          <cell r="I3365">
            <v>0</v>
          </cell>
          <cell r="J3365">
            <v>0</v>
          </cell>
          <cell r="K3365">
            <v>0</v>
          </cell>
          <cell r="L3365">
            <v>0</v>
          </cell>
          <cell r="M3365">
            <v>0</v>
          </cell>
          <cell r="N3365">
            <v>265</v>
          </cell>
          <cell r="O3365">
            <v>0</v>
          </cell>
          <cell r="P3365">
            <v>0</v>
          </cell>
          <cell r="Q3365">
            <v>7427</v>
          </cell>
          <cell r="R3365">
            <v>0</v>
          </cell>
          <cell r="S3365">
            <v>0</v>
          </cell>
          <cell r="T3365">
            <v>0</v>
          </cell>
          <cell r="U3365">
            <v>1270</v>
          </cell>
          <cell r="V3365">
            <v>0</v>
          </cell>
          <cell r="W3365">
            <v>0</v>
          </cell>
        </row>
        <row r="3366">
          <cell r="A3366" t="str">
            <v>450197</v>
          </cell>
          <cell r="B3366" t="str">
            <v>1251</v>
          </cell>
          <cell r="C3366" t="str">
            <v>12</v>
          </cell>
          <cell r="D3366" t="str">
            <v>22</v>
          </cell>
          <cell r="E3366">
            <v>17</v>
          </cell>
          <cell r="G3366">
            <v>924014</v>
          </cell>
          <cell r="H3366">
            <v>0</v>
          </cell>
          <cell r="I3366">
            <v>0</v>
          </cell>
          <cell r="J3366">
            <v>0</v>
          </cell>
          <cell r="K3366">
            <v>0</v>
          </cell>
          <cell r="L3366">
            <v>0</v>
          </cell>
          <cell r="M3366">
            <v>0</v>
          </cell>
          <cell r="N3366">
            <v>0</v>
          </cell>
          <cell r="O3366">
            <v>0</v>
          </cell>
          <cell r="P3366">
            <v>0</v>
          </cell>
          <cell r="Q3366">
            <v>4346</v>
          </cell>
          <cell r="R3366">
            <v>0</v>
          </cell>
          <cell r="S3366">
            <v>0</v>
          </cell>
          <cell r="T3366">
            <v>0</v>
          </cell>
          <cell r="U3366">
            <v>0</v>
          </cell>
          <cell r="V3366">
            <v>0</v>
          </cell>
          <cell r="W3366">
            <v>0</v>
          </cell>
        </row>
        <row r="3367">
          <cell r="A3367" t="str">
            <v>450197</v>
          </cell>
          <cell r="B3367" t="str">
            <v>1251</v>
          </cell>
          <cell r="C3367" t="str">
            <v>12</v>
          </cell>
          <cell r="D3367" t="str">
            <v>22</v>
          </cell>
          <cell r="E3367">
            <v>17</v>
          </cell>
          <cell r="G3367">
            <v>926018</v>
          </cell>
          <cell r="H3367">
            <v>0</v>
          </cell>
          <cell r="I3367">
            <v>0</v>
          </cell>
          <cell r="J3367">
            <v>0</v>
          </cell>
          <cell r="K3367">
            <v>0</v>
          </cell>
          <cell r="L3367">
            <v>0</v>
          </cell>
          <cell r="M3367">
            <v>0</v>
          </cell>
          <cell r="N3367">
            <v>0</v>
          </cell>
          <cell r="O3367">
            <v>0</v>
          </cell>
          <cell r="P3367">
            <v>0</v>
          </cell>
          <cell r="Q3367">
            <v>36</v>
          </cell>
          <cell r="R3367">
            <v>0</v>
          </cell>
          <cell r="S3367">
            <v>0</v>
          </cell>
          <cell r="T3367">
            <v>0</v>
          </cell>
          <cell r="U3367">
            <v>0</v>
          </cell>
          <cell r="V3367">
            <v>0</v>
          </cell>
          <cell r="W3367">
            <v>0</v>
          </cell>
        </row>
        <row r="3368">
          <cell r="A3368" t="str">
            <v>450197</v>
          </cell>
          <cell r="B3368" t="str">
            <v>1251</v>
          </cell>
          <cell r="C3368" t="str">
            <v>12</v>
          </cell>
          <cell r="D3368" t="str">
            <v>22</v>
          </cell>
          <cell r="E3368">
            <v>17</v>
          </cell>
          <cell r="G3368">
            <v>930910</v>
          </cell>
          <cell r="H3368">
            <v>0</v>
          </cell>
          <cell r="I3368">
            <v>0</v>
          </cell>
          <cell r="J3368">
            <v>0</v>
          </cell>
          <cell r="K3368">
            <v>0</v>
          </cell>
          <cell r="L3368">
            <v>0</v>
          </cell>
          <cell r="M3368">
            <v>0</v>
          </cell>
          <cell r="N3368">
            <v>0</v>
          </cell>
          <cell r="O3368">
            <v>0</v>
          </cell>
          <cell r="P3368">
            <v>0</v>
          </cell>
          <cell r="Q3368">
            <v>5066</v>
          </cell>
          <cell r="R3368">
            <v>0</v>
          </cell>
          <cell r="S3368">
            <v>0</v>
          </cell>
          <cell r="T3368">
            <v>0</v>
          </cell>
          <cell r="U3368">
            <v>0</v>
          </cell>
          <cell r="V3368">
            <v>0</v>
          </cell>
          <cell r="W3368">
            <v>0</v>
          </cell>
        </row>
        <row r="3369">
          <cell r="A3369" t="str">
            <v>450197</v>
          </cell>
          <cell r="B3369" t="str">
            <v>1251</v>
          </cell>
          <cell r="C3369" t="str">
            <v>12</v>
          </cell>
          <cell r="D3369" t="str">
            <v>22</v>
          </cell>
          <cell r="E3369">
            <v>17</v>
          </cell>
          <cell r="G3369">
            <v>999999</v>
          </cell>
          <cell r="H3369">
            <v>3299</v>
          </cell>
          <cell r="I3369">
            <v>0</v>
          </cell>
          <cell r="J3369">
            <v>0</v>
          </cell>
          <cell r="K3369">
            <v>0</v>
          </cell>
          <cell r="L3369">
            <v>0</v>
          </cell>
          <cell r="M3369">
            <v>0</v>
          </cell>
          <cell r="N3369">
            <v>3299</v>
          </cell>
          <cell r="O3369">
            <v>0</v>
          </cell>
          <cell r="P3369">
            <v>0</v>
          </cell>
          <cell r="Q3369">
            <v>158976</v>
          </cell>
          <cell r="R3369">
            <v>358</v>
          </cell>
          <cell r="S3369">
            <v>0</v>
          </cell>
          <cell r="T3369">
            <v>0</v>
          </cell>
          <cell r="U3369">
            <v>5666</v>
          </cell>
          <cell r="V3369">
            <v>0</v>
          </cell>
          <cell r="W3369">
            <v>0</v>
          </cell>
        </row>
        <row r="3370">
          <cell r="A3370" t="str">
            <v>450197</v>
          </cell>
          <cell r="B3370" t="str">
            <v>1251</v>
          </cell>
          <cell r="C3370" t="str">
            <v>12</v>
          </cell>
          <cell r="D3370" t="str">
            <v>22</v>
          </cell>
          <cell r="E3370">
            <v>33</v>
          </cell>
          <cell r="G3370">
            <v>551414</v>
          </cell>
          <cell r="H3370">
            <v>0</v>
          </cell>
          <cell r="I3370">
            <v>0</v>
          </cell>
          <cell r="J3370">
            <v>0</v>
          </cell>
          <cell r="K3370">
            <v>0</v>
          </cell>
          <cell r="L3370">
            <v>0</v>
          </cell>
          <cell r="M3370">
            <v>0</v>
          </cell>
          <cell r="N3370">
            <v>0</v>
          </cell>
          <cell r="O3370">
            <v>0</v>
          </cell>
          <cell r="P3370">
            <v>0</v>
          </cell>
          <cell r="Q3370">
            <v>0</v>
          </cell>
          <cell r="R3370">
            <v>0</v>
          </cell>
          <cell r="S3370">
            <v>0</v>
          </cell>
          <cell r="T3370">
            <v>0</v>
          </cell>
          <cell r="U3370">
            <v>0</v>
          </cell>
          <cell r="V3370">
            <v>0</v>
          </cell>
          <cell r="W3370">
            <v>0</v>
          </cell>
        </row>
        <row r="3371">
          <cell r="A3371" t="str">
            <v>450197</v>
          </cell>
          <cell r="B3371" t="str">
            <v>1251</v>
          </cell>
          <cell r="C3371" t="str">
            <v>12</v>
          </cell>
          <cell r="D3371" t="str">
            <v>22</v>
          </cell>
          <cell r="E3371">
            <v>33</v>
          </cell>
          <cell r="G3371">
            <v>552312</v>
          </cell>
          <cell r="H3371">
            <v>0</v>
          </cell>
          <cell r="I3371">
            <v>0</v>
          </cell>
          <cell r="J3371">
            <v>0</v>
          </cell>
          <cell r="K3371">
            <v>0</v>
          </cell>
          <cell r="L3371">
            <v>0</v>
          </cell>
          <cell r="M3371">
            <v>0</v>
          </cell>
          <cell r="N3371">
            <v>0</v>
          </cell>
          <cell r="O3371">
            <v>0</v>
          </cell>
          <cell r="P3371">
            <v>0</v>
          </cell>
          <cell r="Q3371">
            <v>0</v>
          </cell>
          <cell r="R3371">
            <v>0</v>
          </cell>
          <cell r="S3371">
            <v>0</v>
          </cell>
          <cell r="T3371">
            <v>0</v>
          </cell>
          <cell r="U3371">
            <v>0</v>
          </cell>
          <cell r="V3371">
            <v>0</v>
          </cell>
          <cell r="W3371">
            <v>0</v>
          </cell>
        </row>
        <row r="3372">
          <cell r="A3372" t="str">
            <v>450197</v>
          </cell>
          <cell r="B3372" t="str">
            <v>1251</v>
          </cell>
          <cell r="C3372" t="str">
            <v>12</v>
          </cell>
          <cell r="D3372" t="str">
            <v>22</v>
          </cell>
          <cell r="E3372">
            <v>33</v>
          </cell>
          <cell r="G3372">
            <v>552323</v>
          </cell>
          <cell r="H3372">
            <v>0</v>
          </cell>
          <cell r="I3372">
            <v>0</v>
          </cell>
          <cell r="J3372">
            <v>0</v>
          </cell>
          <cell r="K3372">
            <v>0</v>
          </cell>
          <cell r="L3372">
            <v>0</v>
          </cell>
          <cell r="M3372">
            <v>0</v>
          </cell>
          <cell r="N3372">
            <v>0</v>
          </cell>
          <cell r="O3372">
            <v>0</v>
          </cell>
          <cell r="P3372">
            <v>0</v>
          </cell>
          <cell r="Q3372">
            <v>0</v>
          </cell>
          <cell r="R3372">
            <v>0</v>
          </cell>
          <cell r="S3372">
            <v>0</v>
          </cell>
          <cell r="T3372">
            <v>0</v>
          </cell>
          <cell r="U3372">
            <v>0</v>
          </cell>
          <cell r="V3372">
            <v>0</v>
          </cell>
          <cell r="W3372">
            <v>0</v>
          </cell>
        </row>
        <row r="3373">
          <cell r="A3373" t="str">
            <v>450197</v>
          </cell>
          <cell r="B3373" t="str">
            <v>1251</v>
          </cell>
          <cell r="C3373" t="str">
            <v>12</v>
          </cell>
          <cell r="D3373" t="str">
            <v>22</v>
          </cell>
          <cell r="E3373">
            <v>33</v>
          </cell>
          <cell r="G3373">
            <v>552411</v>
          </cell>
          <cell r="H3373">
            <v>0</v>
          </cell>
          <cell r="I3373">
            <v>0</v>
          </cell>
          <cell r="J3373">
            <v>0</v>
          </cell>
          <cell r="K3373">
            <v>0</v>
          </cell>
          <cell r="L3373">
            <v>0</v>
          </cell>
          <cell r="M3373">
            <v>0</v>
          </cell>
          <cell r="N3373">
            <v>0</v>
          </cell>
          <cell r="O3373">
            <v>0</v>
          </cell>
          <cell r="P3373">
            <v>0</v>
          </cell>
          <cell r="Q3373">
            <v>0</v>
          </cell>
          <cell r="R3373">
            <v>0</v>
          </cell>
          <cell r="S3373">
            <v>0</v>
          </cell>
          <cell r="T3373">
            <v>0</v>
          </cell>
          <cell r="U3373">
            <v>0</v>
          </cell>
          <cell r="V3373">
            <v>0</v>
          </cell>
          <cell r="W3373">
            <v>0</v>
          </cell>
        </row>
        <row r="3374">
          <cell r="A3374" t="str">
            <v>450197</v>
          </cell>
          <cell r="B3374" t="str">
            <v>1251</v>
          </cell>
          <cell r="C3374" t="str">
            <v>12</v>
          </cell>
          <cell r="D3374" t="str">
            <v>22</v>
          </cell>
          <cell r="E3374">
            <v>33</v>
          </cell>
          <cell r="G3374">
            <v>701015</v>
          </cell>
          <cell r="H3374">
            <v>0</v>
          </cell>
          <cell r="I3374">
            <v>0</v>
          </cell>
          <cell r="J3374">
            <v>0</v>
          </cell>
          <cell r="K3374">
            <v>0</v>
          </cell>
          <cell r="L3374">
            <v>0</v>
          </cell>
          <cell r="M3374">
            <v>0</v>
          </cell>
          <cell r="N3374">
            <v>0</v>
          </cell>
          <cell r="O3374">
            <v>0</v>
          </cell>
          <cell r="P3374">
            <v>0</v>
          </cell>
          <cell r="Q3374">
            <v>0</v>
          </cell>
          <cell r="R3374">
            <v>0</v>
          </cell>
          <cell r="S3374">
            <v>0</v>
          </cell>
          <cell r="T3374">
            <v>0</v>
          </cell>
          <cell r="U3374">
            <v>0</v>
          </cell>
          <cell r="V3374">
            <v>0</v>
          </cell>
          <cell r="W3374">
            <v>0</v>
          </cell>
        </row>
        <row r="3375">
          <cell r="A3375" t="str">
            <v>450197</v>
          </cell>
          <cell r="B3375" t="str">
            <v>1251</v>
          </cell>
          <cell r="C3375" t="str">
            <v>12</v>
          </cell>
          <cell r="D3375" t="str">
            <v>22</v>
          </cell>
          <cell r="E3375">
            <v>33</v>
          </cell>
          <cell r="G3375">
            <v>751757</v>
          </cell>
          <cell r="H3375">
            <v>0</v>
          </cell>
          <cell r="I3375">
            <v>0</v>
          </cell>
          <cell r="J3375">
            <v>0</v>
          </cell>
          <cell r="K3375">
            <v>0</v>
          </cell>
          <cell r="L3375">
            <v>0</v>
          </cell>
          <cell r="M3375">
            <v>0</v>
          </cell>
          <cell r="N3375">
            <v>0</v>
          </cell>
          <cell r="O3375">
            <v>0</v>
          </cell>
          <cell r="P3375">
            <v>0</v>
          </cell>
          <cell r="Q3375">
            <v>0</v>
          </cell>
          <cell r="R3375">
            <v>0</v>
          </cell>
          <cell r="S3375">
            <v>0</v>
          </cell>
          <cell r="T3375">
            <v>0</v>
          </cell>
          <cell r="U3375">
            <v>0</v>
          </cell>
          <cell r="V3375">
            <v>0</v>
          </cell>
          <cell r="W3375">
            <v>358</v>
          </cell>
        </row>
        <row r="3376">
          <cell r="A3376" t="str">
            <v>450197</v>
          </cell>
          <cell r="B3376" t="str">
            <v>1251</v>
          </cell>
          <cell r="C3376" t="str">
            <v>12</v>
          </cell>
          <cell r="D3376" t="str">
            <v>22</v>
          </cell>
          <cell r="E3376">
            <v>33</v>
          </cell>
          <cell r="G3376">
            <v>751768</v>
          </cell>
          <cell r="H3376">
            <v>0</v>
          </cell>
          <cell r="I3376">
            <v>0</v>
          </cell>
          <cell r="J3376">
            <v>0</v>
          </cell>
          <cell r="K3376">
            <v>0</v>
          </cell>
          <cell r="L3376">
            <v>0</v>
          </cell>
          <cell r="M3376">
            <v>0</v>
          </cell>
          <cell r="N3376">
            <v>0</v>
          </cell>
          <cell r="O3376">
            <v>0</v>
          </cell>
          <cell r="P3376">
            <v>0</v>
          </cell>
          <cell r="Q3376">
            <v>0</v>
          </cell>
          <cell r="R3376">
            <v>0</v>
          </cell>
          <cell r="S3376">
            <v>0</v>
          </cell>
          <cell r="T3376">
            <v>0</v>
          </cell>
          <cell r="U3376">
            <v>0</v>
          </cell>
          <cell r="V3376">
            <v>0</v>
          </cell>
          <cell r="W3376">
            <v>0</v>
          </cell>
        </row>
        <row r="3377">
          <cell r="A3377" t="str">
            <v>450197</v>
          </cell>
          <cell r="B3377" t="str">
            <v>1251</v>
          </cell>
          <cell r="C3377" t="str">
            <v>12</v>
          </cell>
          <cell r="D3377" t="str">
            <v>22</v>
          </cell>
          <cell r="E3377">
            <v>33</v>
          </cell>
          <cell r="G3377">
            <v>751845</v>
          </cell>
          <cell r="H3377">
            <v>0</v>
          </cell>
          <cell r="I3377">
            <v>0</v>
          </cell>
          <cell r="J3377">
            <v>0</v>
          </cell>
          <cell r="K3377">
            <v>0</v>
          </cell>
          <cell r="L3377">
            <v>0</v>
          </cell>
          <cell r="M3377">
            <v>0</v>
          </cell>
          <cell r="N3377">
            <v>0</v>
          </cell>
          <cell r="O3377">
            <v>0</v>
          </cell>
          <cell r="P3377">
            <v>0</v>
          </cell>
          <cell r="Q3377">
            <v>0</v>
          </cell>
          <cell r="R3377">
            <v>0</v>
          </cell>
          <cell r="S3377">
            <v>0</v>
          </cell>
          <cell r="T3377">
            <v>0</v>
          </cell>
          <cell r="U3377">
            <v>0</v>
          </cell>
          <cell r="V3377">
            <v>0</v>
          </cell>
          <cell r="W3377">
            <v>0</v>
          </cell>
        </row>
        <row r="3378">
          <cell r="A3378" t="str">
            <v>450197</v>
          </cell>
          <cell r="B3378" t="str">
            <v>1251</v>
          </cell>
          <cell r="C3378" t="str">
            <v>12</v>
          </cell>
          <cell r="D3378" t="str">
            <v>22</v>
          </cell>
          <cell r="E3378">
            <v>33</v>
          </cell>
          <cell r="G3378">
            <v>751922</v>
          </cell>
          <cell r="H3378">
            <v>0</v>
          </cell>
          <cell r="I3378">
            <v>0</v>
          </cell>
          <cell r="J3378">
            <v>0</v>
          </cell>
          <cell r="K3378">
            <v>0</v>
          </cell>
          <cell r="L3378">
            <v>0</v>
          </cell>
          <cell r="M3378">
            <v>0</v>
          </cell>
          <cell r="N3378">
            <v>0</v>
          </cell>
          <cell r="O3378">
            <v>0</v>
          </cell>
          <cell r="P3378">
            <v>0</v>
          </cell>
          <cell r="Q3378">
            <v>0</v>
          </cell>
          <cell r="R3378">
            <v>0</v>
          </cell>
          <cell r="S3378">
            <v>0</v>
          </cell>
          <cell r="T3378">
            <v>0</v>
          </cell>
          <cell r="U3378">
            <v>0</v>
          </cell>
          <cell r="V3378">
            <v>0</v>
          </cell>
          <cell r="W3378">
            <v>0</v>
          </cell>
        </row>
        <row r="3379">
          <cell r="A3379" t="str">
            <v>450197</v>
          </cell>
          <cell r="B3379" t="str">
            <v>1251</v>
          </cell>
          <cell r="C3379" t="str">
            <v>12</v>
          </cell>
          <cell r="D3379" t="str">
            <v>22</v>
          </cell>
          <cell r="E3379">
            <v>33</v>
          </cell>
          <cell r="G3379">
            <v>801115</v>
          </cell>
          <cell r="H3379">
            <v>0</v>
          </cell>
          <cell r="I3379">
            <v>0</v>
          </cell>
          <cell r="J3379">
            <v>0</v>
          </cell>
          <cell r="K3379">
            <v>0</v>
          </cell>
          <cell r="L3379">
            <v>0</v>
          </cell>
          <cell r="M3379">
            <v>0</v>
          </cell>
          <cell r="N3379">
            <v>0</v>
          </cell>
          <cell r="O3379">
            <v>0</v>
          </cell>
          <cell r="P3379">
            <v>0</v>
          </cell>
          <cell r="Q3379">
            <v>0</v>
          </cell>
          <cell r="R3379">
            <v>0</v>
          </cell>
          <cell r="S3379">
            <v>0</v>
          </cell>
          <cell r="T3379">
            <v>0</v>
          </cell>
          <cell r="U3379">
            <v>0</v>
          </cell>
          <cell r="V3379">
            <v>0</v>
          </cell>
          <cell r="W3379">
            <v>0</v>
          </cell>
        </row>
        <row r="3380">
          <cell r="A3380" t="str">
            <v>450197</v>
          </cell>
          <cell r="B3380" t="str">
            <v>1251</v>
          </cell>
          <cell r="C3380" t="str">
            <v>12</v>
          </cell>
          <cell r="D3380" t="str">
            <v>22</v>
          </cell>
          <cell r="E3380">
            <v>33</v>
          </cell>
          <cell r="G3380">
            <v>801214</v>
          </cell>
          <cell r="H3380">
            <v>0</v>
          </cell>
          <cell r="I3380">
            <v>0</v>
          </cell>
          <cell r="J3380">
            <v>0</v>
          </cell>
          <cell r="K3380">
            <v>0</v>
          </cell>
          <cell r="L3380">
            <v>0</v>
          </cell>
          <cell r="M3380">
            <v>0</v>
          </cell>
          <cell r="N3380">
            <v>0</v>
          </cell>
          <cell r="O3380">
            <v>0</v>
          </cell>
          <cell r="P3380">
            <v>0</v>
          </cell>
          <cell r="Q3380">
            <v>0</v>
          </cell>
          <cell r="R3380">
            <v>0</v>
          </cell>
          <cell r="S3380">
            <v>0</v>
          </cell>
          <cell r="T3380">
            <v>0</v>
          </cell>
          <cell r="U3380">
            <v>0</v>
          </cell>
          <cell r="V3380">
            <v>0</v>
          </cell>
          <cell r="W3380">
            <v>0</v>
          </cell>
        </row>
        <row r="3381">
          <cell r="A3381" t="str">
            <v>450197</v>
          </cell>
          <cell r="B3381" t="str">
            <v>1251</v>
          </cell>
          <cell r="C3381" t="str">
            <v>12</v>
          </cell>
          <cell r="D3381" t="str">
            <v>22</v>
          </cell>
          <cell r="E3381">
            <v>33</v>
          </cell>
          <cell r="G3381">
            <v>801236</v>
          </cell>
          <cell r="H3381">
            <v>0</v>
          </cell>
          <cell r="I3381">
            <v>0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0</v>
          </cell>
          <cell r="R3381">
            <v>0</v>
          </cell>
          <cell r="S3381">
            <v>0</v>
          </cell>
          <cell r="T3381">
            <v>0</v>
          </cell>
          <cell r="U3381">
            <v>0</v>
          </cell>
          <cell r="V3381">
            <v>0</v>
          </cell>
          <cell r="W3381">
            <v>0</v>
          </cell>
        </row>
        <row r="3382">
          <cell r="A3382" t="str">
            <v>450197</v>
          </cell>
          <cell r="B3382" t="str">
            <v>1251</v>
          </cell>
          <cell r="C3382" t="str">
            <v>12</v>
          </cell>
          <cell r="D3382" t="str">
            <v>22</v>
          </cell>
          <cell r="E3382">
            <v>33</v>
          </cell>
          <cell r="G3382">
            <v>802144</v>
          </cell>
          <cell r="H3382">
            <v>0</v>
          </cell>
          <cell r="I3382">
            <v>0</v>
          </cell>
          <cell r="J3382">
            <v>2894</v>
          </cell>
          <cell r="K3382">
            <v>0</v>
          </cell>
          <cell r="L3382">
            <v>0</v>
          </cell>
          <cell r="M3382">
            <v>0</v>
          </cell>
          <cell r="N3382">
            <v>0</v>
          </cell>
          <cell r="O3382">
            <v>0</v>
          </cell>
          <cell r="P3382">
            <v>0</v>
          </cell>
          <cell r="Q3382">
            <v>0</v>
          </cell>
          <cell r="R3382">
            <v>0</v>
          </cell>
          <cell r="S3382">
            <v>0</v>
          </cell>
          <cell r="T3382">
            <v>0</v>
          </cell>
          <cell r="U3382">
            <v>0</v>
          </cell>
          <cell r="V3382">
            <v>0</v>
          </cell>
          <cell r="W3382">
            <v>2894</v>
          </cell>
        </row>
        <row r="3383">
          <cell r="A3383" t="str">
            <v>450197</v>
          </cell>
          <cell r="B3383" t="str">
            <v>1251</v>
          </cell>
          <cell r="C3383" t="str">
            <v>12</v>
          </cell>
          <cell r="D3383" t="str">
            <v>22</v>
          </cell>
          <cell r="E3383">
            <v>33</v>
          </cell>
          <cell r="G3383">
            <v>802166</v>
          </cell>
          <cell r="H3383">
            <v>0</v>
          </cell>
          <cell r="I3383">
            <v>0</v>
          </cell>
          <cell r="J3383">
            <v>0</v>
          </cell>
          <cell r="K3383">
            <v>0</v>
          </cell>
          <cell r="L3383">
            <v>0</v>
          </cell>
          <cell r="M3383">
            <v>0</v>
          </cell>
          <cell r="N3383">
            <v>0</v>
          </cell>
          <cell r="O3383">
            <v>0</v>
          </cell>
          <cell r="P3383">
            <v>0</v>
          </cell>
          <cell r="Q3383">
            <v>0</v>
          </cell>
          <cell r="R3383">
            <v>0</v>
          </cell>
          <cell r="S3383">
            <v>0</v>
          </cell>
          <cell r="T3383">
            <v>0</v>
          </cell>
          <cell r="U3383">
            <v>0</v>
          </cell>
          <cell r="V3383">
            <v>0</v>
          </cell>
          <cell r="W3383">
            <v>0</v>
          </cell>
        </row>
        <row r="3384">
          <cell r="A3384" t="str">
            <v>450197</v>
          </cell>
          <cell r="B3384" t="str">
            <v>1251</v>
          </cell>
          <cell r="C3384" t="str">
            <v>12</v>
          </cell>
          <cell r="D3384" t="str">
            <v>22</v>
          </cell>
          <cell r="E3384">
            <v>33</v>
          </cell>
          <cell r="G3384">
            <v>802177</v>
          </cell>
          <cell r="H3384">
            <v>0</v>
          </cell>
          <cell r="I3384">
            <v>0</v>
          </cell>
          <cell r="J3384">
            <v>0</v>
          </cell>
          <cell r="K3384">
            <v>0</v>
          </cell>
          <cell r="L3384">
            <v>0</v>
          </cell>
          <cell r="M3384">
            <v>2610</v>
          </cell>
          <cell r="N3384">
            <v>0</v>
          </cell>
          <cell r="O3384">
            <v>2610</v>
          </cell>
          <cell r="P3384">
            <v>0</v>
          </cell>
          <cell r="Q3384">
            <v>0</v>
          </cell>
          <cell r="R3384">
            <v>0</v>
          </cell>
          <cell r="S3384">
            <v>0</v>
          </cell>
          <cell r="T3384">
            <v>0</v>
          </cell>
          <cell r="U3384">
            <v>2610</v>
          </cell>
          <cell r="V3384">
            <v>0</v>
          </cell>
          <cell r="W3384">
            <v>2610</v>
          </cell>
        </row>
        <row r="3385">
          <cell r="A3385" t="str">
            <v>450197</v>
          </cell>
          <cell r="B3385" t="str">
            <v>1251</v>
          </cell>
          <cell r="C3385" t="str">
            <v>12</v>
          </cell>
          <cell r="D3385" t="str">
            <v>22</v>
          </cell>
          <cell r="E3385">
            <v>33</v>
          </cell>
          <cell r="G3385">
            <v>802199</v>
          </cell>
          <cell r="H3385">
            <v>0</v>
          </cell>
          <cell r="I3385">
            <v>0</v>
          </cell>
          <cell r="J3385">
            <v>0</v>
          </cell>
          <cell r="K3385">
            <v>0</v>
          </cell>
          <cell r="L3385">
            <v>0</v>
          </cell>
          <cell r="M3385">
            <v>0</v>
          </cell>
          <cell r="N3385">
            <v>0</v>
          </cell>
          <cell r="O3385">
            <v>0</v>
          </cell>
          <cell r="P3385">
            <v>0</v>
          </cell>
          <cell r="Q3385">
            <v>0</v>
          </cell>
          <cell r="R3385">
            <v>0</v>
          </cell>
          <cell r="S3385">
            <v>0</v>
          </cell>
          <cell r="T3385">
            <v>0</v>
          </cell>
          <cell r="U3385">
            <v>0</v>
          </cell>
          <cell r="V3385">
            <v>0</v>
          </cell>
          <cell r="W3385">
            <v>0</v>
          </cell>
        </row>
        <row r="3386">
          <cell r="A3386" t="str">
            <v>450197</v>
          </cell>
          <cell r="B3386" t="str">
            <v>1251</v>
          </cell>
          <cell r="C3386" t="str">
            <v>12</v>
          </cell>
          <cell r="D3386" t="str">
            <v>22</v>
          </cell>
          <cell r="E3386">
            <v>33</v>
          </cell>
          <cell r="G3386">
            <v>802263</v>
          </cell>
          <cell r="H3386">
            <v>0</v>
          </cell>
          <cell r="I3386">
            <v>0</v>
          </cell>
          <cell r="J3386">
            <v>0</v>
          </cell>
          <cell r="K3386">
            <v>0</v>
          </cell>
          <cell r="L3386">
            <v>0</v>
          </cell>
          <cell r="M3386">
            <v>3637</v>
          </cell>
          <cell r="N3386">
            <v>0</v>
          </cell>
          <cell r="O3386">
            <v>3637</v>
          </cell>
          <cell r="P3386">
            <v>0</v>
          </cell>
          <cell r="Q3386">
            <v>0</v>
          </cell>
          <cell r="R3386">
            <v>0</v>
          </cell>
          <cell r="S3386">
            <v>0</v>
          </cell>
          <cell r="T3386">
            <v>0</v>
          </cell>
          <cell r="U3386">
            <v>3637</v>
          </cell>
          <cell r="V3386">
            <v>0</v>
          </cell>
          <cell r="W3386">
            <v>3637</v>
          </cell>
        </row>
        <row r="3387">
          <cell r="A3387" t="str">
            <v>450197</v>
          </cell>
          <cell r="B3387" t="str">
            <v>1251</v>
          </cell>
          <cell r="C3387" t="str">
            <v>12</v>
          </cell>
          <cell r="D3387" t="str">
            <v>22</v>
          </cell>
          <cell r="E3387">
            <v>33</v>
          </cell>
          <cell r="G3387">
            <v>804017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</row>
        <row r="3388">
          <cell r="A3388" t="str">
            <v>450197</v>
          </cell>
          <cell r="B3388" t="str">
            <v>1251</v>
          </cell>
          <cell r="C3388" t="str">
            <v>12</v>
          </cell>
          <cell r="D3388" t="str">
            <v>22</v>
          </cell>
          <cell r="E3388">
            <v>33</v>
          </cell>
          <cell r="G3388">
            <v>804028</v>
          </cell>
          <cell r="H3388">
            <v>0</v>
          </cell>
          <cell r="I3388">
            <v>0</v>
          </cell>
          <cell r="J3388">
            <v>0</v>
          </cell>
          <cell r="K3388">
            <v>0</v>
          </cell>
          <cell r="L3388">
            <v>0</v>
          </cell>
          <cell r="M3388">
            <v>0</v>
          </cell>
          <cell r="N3388">
            <v>0</v>
          </cell>
          <cell r="O3388">
            <v>0</v>
          </cell>
          <cell r="P3388">
            <v>0</v>
          </cell>
          <cell r="Q3388">
            <v>0</v>
          </cell>
          <cell r="R3388">
            <v>0</v>
          </cell>
          <cell r="S3388">
            <v>0</v>
          </cell>
          <cell r="T3388">
            <v>0</v>
          </cell>
          <cell r="U3388">
            <v>0</v>
          </cell>
          <cell r="V3388">
            <v>0</v>
          </cell>
          <cell r="W3388">
            <v>0</v>
          </cell>
        </row>
        <row r="3389">
          <cell r="A3389" t="str">
            <v>450197</v>
          </cell>
          <cell r="B3389" t="str">
            <v>1251</v>
          </cell>
          <cell r="C3389" t="str">
            <v>12</v>
          </cell>
          <cell r="D3389" t="str">
            <v>22</v>
          </cell>
          <cell r="E3389">
            <v>33</v>
          </cell>
          <cell r="G3389">
            <v>851297</v>
          </cell>
          <cell r="H3389">
            <v>0</v>
          </cell>
          <cell r="I3389">
            <v>0</v>
          </cell>
          <cell r="J3389">
            <v>0</v>
          </cell>
          <cell r="K3389">
            <v>0</v>
          </cell>
          <cell r="L3389">
            <v>0</v>
          </cell>
          <cell r="M3389">
            <v>0</v>
          </cell>
          <cell r="N3389">
            <v>0</v>
          </cell>
          <cell r="O3389">
            <v>0</v>
          </cell>
          <cell r="P3389">
            <v>0</v>
          </cell>
          <cell r="Q3389">
            <v>0</v>
          </cell>
          <cell r="R3389">
            <v>0</v>
          </cell>
          <cell r="S3389">
            <v>0</v>
          </cell>
          <cell r="T3389">
            <v>0</v>
          </cell>
          <cell r="U3389">
            <v>0</v>
          </cell>
          <cell r="V3389">
            <v>0</v>
          </cell>
          <cell r="W3389">
            <v>0</v>
          </cell>
        </row>
        <row r="3390">
          <cell r="A3390" t="str">
            <v>450197</v>
          </cell>
          <cell r="B3390" t="str">
            <v>1251</v>
          </cell>
          <cell r="C3390" t="str">
            <v>12</v>
          </cell>
          <cell r="D3390" t="str">
            <v>22</v>
          </cell>
          <cell r="E3390">
            <v>33</v>
          </cell>
          <cell r="G3390">
            <v>853211</v>
          </cell>
          <cell r="H3390">
            <v>0</v>
          </cell>
          <cell r="I3390">
            <v>0</v>
          </cell>
          <cell r="J3390">
            <v>0</v>
          </cell>
          <cell r="K3390">
            <v>0</v>
          </cell>
          <cell r="L3390">
            <v>0</v>
          </cell>
          <cell r="M3390">
            <v>0</v>
          </cell>
          <cell r="N3390">
            <v>0</v>
          </cell>
          <cell r="O3390">
            <v>0</v>
          </cell>
          <cell r="P3390">
            <v>0</v>
          </cell>
          <cell r="Q3390">
            <v>0</v>
          </cell>
          <cell r="R3390">
            <v>0</v>
          </cell>
          <cell r="S3390">
            <v>0</v>
          </cell>
          <cell r="T3390">
            <v>0</v>
          </cell>
          <cell r="U3390">
            <v>0</v>
          </cell>
          <cell r="V3390">
            <v>0</v>
          </cell>
          <cell r="W3390">
            <v>0</v>
          </cell>
        </row>
        <row r="3391">
          <cell r="A3391" t="str">
            <v>450197</v>
          </cell>
          <cell r="B3391" t="str">
            <v>1251</v>
          </cell>
          <cell r="C3391" t="str">
            <v>12</v>
          </cell>
          <cell r="D3391" t="str">
            <v>22</v>
          </cell>
          <cell r="E3391">
            <v>33</v>
          </cell>
          <cell r="G3391">
            <v>853244</v>
          </cell>
          <cell r="H3391">
            <v>0</v>
          </cell>
          <cell r="I3391">
            <v>0</v>
          </cell>
          <cell r="J3391">
            <v>452</v>
          </cell>
          <cell r="K3391">
            <v>0</v>
          </cell>
          <cell r="L3391">
            <v>0</v>
          </cell>
          <cell r="M3391">
            <v>0</v>
          </cell>
          <cell r="N3391">
            <v>0</v>
          </cell>
          <cell r="O3391">
            <v>0</v>
          </cell>
          <cell r="P3391">
            <v>0</v>
          </cell>
          <cell r="Q3391">
            <v>0</v>
          </cell>
          <cell r="R3391">
            <v>0</v>
          </cell>
          <cell r="S3391">
            <v>0</v>
          </cell>
          <cell r="T3391">
            <v>0</v>
          </cell>
          <cell r="U3391">
            <v>0</v>
          </cell>
          <cell r="V3391">
            <v>0</v>
          </cell>
          <cell r="W3391">
            <v>452</v>
          </cell>
        </row>
        <row r="3392">
          <cell r="A3392" t="str">
            <v>450197</v>
          </cell>
          <cell r="B3392" t="str">
            <v>1251</v>
          </cell>
          <cell r="C3392" t="str">
            <v>12</v>
          </cell>
          <cell r="D3392" t="str">
            <v>22</v>
          </cell>
          <cell r="E3392">
            <v>33</v>
          </cell>
          <cell r="G3392">
            <v>921815</v>
          </cell>
          <cell r="H3392">
            <v>0</v>
          </cell>
          <cell r="I3392">
            <v>0</v>
          </cell>
          <cell r="J3392">
            <v>1050</v>
          </cell>
          <cell r="K3392">
            <v>0</v>
          </cell>
          <cell r="L3392">
            <v>0</v>
          </cell>
          <cell r="M3392">
            <v>0</v>
          </cell>
          <cell r="N3392">
            <v>0</v>
          </cell>
          <cell r="O3392">
            <v>0</v>
          </cell>
          <cell r="P3392">
            <v>0</v>
          </cell>
          <cell r="Q3392">
            <v>0</v>
          </cell>
          <cell r="R3392">
            <v>0</v>
          </cell>
          <cell r="S3392">
            <v>0</v>
          </cell>
          <cell r="T3392">
            <v>0</v>
          </cell>
          <cell r="U3392">
            <v>0</v>
          </cell>
          <cell r="V3392">
            <v>0</v>
          </cell>
          <cell r="W3392">
            <v>1050</v>
          </cell>
        </row>
        <row r="3393">
          <cell r="A3393" t="str">
            <v>450197</v>
          </cell>
          <cell r="B3393" t="str">
            <v>1251</v>
          </cell>
          <cell r="C3393" t="str">
            <v>12</v>
          </cell>
          <cell r="D3393" t="str">
            <v>22</v>
          </cell>
          <cell r="E3393">
            <v>33</v>
          </cell>
          <cell r="G3393">
            <v>923127</v>
          </cell>
          <cell r="H3393">
            <v>0</v>
          </cell>
          <cell r="I3393">
            <v>0</v>
          </cell>
          <cell r="J3393">
            <v>1270</v>
          </cell>
          <cell r="K3393">
            <v>0</v>
          </cell>
          <cell r="L3393">
            <v>0</v>
          </cell>
          <cell r="M3393">
            <v>0</v>
          </cell>
          <cell r="N3393">
            <v>0</v>
          </cell>
          <cell r="O3393">
            <v>0</v>
          </cell>
          <cell r="P3393">
            <v>0</v>
          </cell>
          <cell r="Q3393">
            <v>0</v>
          </cell>
          <cell r="R3393">
            <v>0</v>
          </cell>
          <cell r="S3393">
            <v>0</v>
          </cell>
          <cell r="T3393">
            <v>0</v>
          </cell>
          <cell r="U3393">
            <v>0</v>
          </cell>
          <cell r="V3393">
            <v>0</v>
          </cell>
          <cell r="W3393">
            <v>1270</v>
          </cell>
        </row>
        <row r="3394">
          <cell r="A3394" t="str">
            <v>450197</v>
          </cell>
          <cell r="B3394" t="str">
            <v>1251</v>
          </cell>
          <cell r="C3394" t="str">
            <v>12</v>
          </cell>
          <cell r="D3394" t="str">
            <v>22</v>
          </cell>
          <cell r="E3394">
            <v>33</v>
          </cell>
          <cell r="G3394">
            <v>924014</v>
          </cell>
          <cell r="H3394">
            <v>0</v>
          </cell>
          <cell r="I3394">
            <v>0</v>
          </cell>
          <cell r="J3394">
            <v>0</v>
          </cell>
          <cell r="K3394">
            <v>0</v>
          </cell>
          <cell r="L3394">
            <v>0</v>
          </cell>
          <cell r="M3394">
            <v>0</v>
          </cell>
          <cell r="N3394">
            <v>0</v>
          </cell>
          <cell r="O3394">
            <v>0</v>
          </cell>
          <cell r="P3394">
            <v>0</v>
          </cell>
          <cell r="Q3394">
            <v>0</v>
          </cell>
          <cell r="R3394">
            <v>0</v>
          </cell>
          <cell r="S3394">
            <v>0</v>
          </cell>
          <cell r="T3394">
            <v>0</v>
          </cell>
          <cell r="U3394">
            <v>0</v>
          </cell>
          <cell r="V3394">
            <v>0</v>
          </cell>
          <cell r="W3394">
            <v>0</v>
          </cell>
        </row>
        <row r="3395">
          <cell r="A3395" t="str">
            <v>450197</v>
          </cell>
          <cell r="B3395" t="str">
            <v>1251</v>
          </cell>
          <cell r="C3395" t="str">
            <v>12</v>
          </cell>
          <cell r="D3395" t="str">
            <v>22</v>
          </cell>
          <cell r="E3395">
            <v>33</v>
          </cell>
          <cell r="G3395">
            <v>926018</v>
          </cell>
          <cell r="H3395">
            <v>0</v>
          </cell>
          <cell r="I3395">
            <v>0</v>
          </cell>
          <cell r="J3395">
            <v>0</v>
          </cell>
          <cell r="K3395">
            <v>0</v>
          </cell>
          <cell r="L3395">
            <v>0</v>
          </cell>
          <cell r="M3395">
            <v>0</v>
          </cell>
          <cell r="N3395">
            <v>0</v>
          </cell>
          <cell r="O3395">
            <v>0</v>
          </cell>
          <cell r="P3395">
            <v>0</v>
          </cell>
          <cell r="Q3395">
            <v>0</v>
          </cell>
          <cell r="R3395">
            <v>0</v>
          </cell>
          <cell r="S3395">
            <v>0</v>
          </cell>
          <cell r="T3395">
            <v>0</v>
          </cell>
          <cell r="U3395">
            <v>0</v>
          </cell>
          <cell r="V3395">
            <v>0</v>
          </cell>
          <cell r="W3395">
            <v>0</v>
          </cell>
        </row>
        <row r="3396">
          <cell r="A3396" t="str">
            <v>450197</v>
          </cell>
          <cell r="B3396" t="str">
            <v>1251</v>
          </cell>
          <cell r="C3396" t="str">
            <v>12</v>
          </cell>
          <cell r="D3396" t="str">
            <v>22</v>
          </cell>
          <cell r="E3396">
            <v>33</v>
          </cell>
          <cell r="G3396">
            <v>930910</v>
          </cell>
          <cell r="H3396">
            <v>0</v>
          </cell>
          <cell r="I3396">
            <v>0</v>
          </cell>
          <cell r="J3396">
            <v>0</v>
          </cell>
          <cell r="K3396">
            <v>0</v>
          </cell>
          <cell r="L3396">
            <v>0</v>
          </cell>
          <cell r="M3396">
            <v>0</v>
          </cell>
          <cell r="N3396">
            <v>0</v>
          </cell>
          <cell r="O3396">
            <v>0</v>
          </cell>
          <cell r="P3396">
            <v>0</v>
          </cell>
          <cell r="Q3396">
            <v>0</v>
          </cell>
          <cell r="R3396">
            <v>0</v>
          </cell>
          <cell r="S3396">
            <v>0</v>
          </cell>
          <cell r="T3396">
            <v>0</v>
          </cell>
          <cell r="U3396">
            <v>0</v>
          </cell>
          <cell r="V3396">
            <v>0</v>
          </cell>
          <cell r="W3396">
            <v>0</v>
          </cell>
        </row>
        <row r="3397">
          <cell r="A3397" t="str">
            <v>450197</v>
          </cell>
          <cell r="B3397" t="str">
            <v>1251</v>
          </cell>
          <cell r="C3397" t="str">
            <v>12</v>
          </cell>
          <cell r="D3397" t="str">
            <v>22</v>
          </cell>
          <cell r="E3397">
            <v>33</v>
          </cell>
          <cell r="G3397">
            <v>999999</v>
          </cell>
          <cell r="H3397">
            <v>0</v>
          </cell>
          <cell r="I3397">
            <v>0</v>
          </cell>
          <cell r="J3397">
            <v>5666</v>
          </cell>
          <cell r="K3397">
            <v>0</v>
          </cell>
          <cell r="L3397">
            <v>0</v>
          </cell>
          <cell r="M3397">
            <v>6247</v>
          </cell>
          <cell r="N3397">
            <v>0</v>
          </cell>
          <cell r="O3397">
            <v>6247</v>
          </cell>
          <cell r="P3397">
            <v>0</v>
          </cell>
          <cell r="Q3397">
            <v>0</v>
          </cell>
          <cell r="R3397">
            <v>0</v>
          </cell>
          <cell r="S3397">
            <v>0</v>
          </cell>
          <cell r="T3397">
            <v>0</v>
          </cell>
          <cell r="U3397">
            <v>6247</v>
          </cell>
          <cell r="V3397">
            <v>0</v>
          </cell>
          <cell r="W3397">
            <v>12271</v>
          </cell>
        </row>
        <row r="3398">
          <cell r="A3398" t="str">
            <v>450197</v>
          </cell>
          <cell r="B3398" t="str">
            <v>1251</v>
          </cell>
          <cell r="C3398" t="str">
            <v>12</v>
          </cell>
          <cell r="D3398" t="str">
            <v>22</v>
          </cell>
          <cell r="E3398">
            <v>49</v>
          </cell>
          <cell r="G3398">
            <v>551414</v>
          </cell>
          <cell r="H3398">
            <v>0</v>
          </cell>
          <cell r="I3398">
            <v>0</v>
          </cell>
          <cell r="J3398">
            <v>0</v>
          </cell>
          <cell r="K3398">
            <v>0</v>
          </cell>
          <cell r="L3398">
            <v>0</v>
          </cell>
          <cell r="M3398">
            <v>0</v>
          </cell>
          <cell r="N3398">
            <v>0</v>
          </cell>
          <cell r="O3398">
            <v>753</v>
          </cell>
          <cell r="P3398">
            <v>0</v>
          </cell>
          <cell r="Q3398">
            <v>753</v>
          </cell>
          <cell r="R3398">
            <v>0</v>
          </cell>
          <cell r="S3398">
            <v>753</v>
          </cell>
          <cell r="T3398">
            <v>0</v>
          </cell>
          <cell r="U3398">
            <v>0</v>
          </cell>
          <cell r="V3398">
            <v>0</v>
          </cell>
          <cell r="W3398">
            <v>0</v>
          </cell>
        </row>
        <row r="3399">
          <cell r="A3399" t="str">
            <v>450197</v>
          </cell>
          <cell r="B3399" t="str">
            <v>1251</v>
          </cell>
          <cell r="C3399" t="str">
            <v>12</v>
          </cell>
          <cell r="D3399" t="str">
            <v>22</v>
          </cell>
          <cell r="E3399">
            <v>49</v>
          </cell>
          <cell r="G3399">
            <v>552312</v>
          </cell>
          <cell r="H3399">
            <v>0</v>
          </cell>
          <cell r="I3399">
            <v>0</v>
          </cell>
          <cell r="J3399">
            <v>0</v>
          </cell>
          <cell r="K3399">
            <v>0</v>
          </cell>
          <cell r="L3399">
            <v>0</v>
          </cell>
          <cell r="M3399">
            <v>0</v>
          </cell>
          <cell r="N3399">
            <v>0</v>
          </cell>
          <cell r="O3399">
            <v>15894</v>
          </cell>
          <cell r="P3399">
            <v>237</v>
          </cell>
          <cell r="Q3399">
            <v>16131</v>
          </cell>
          <cell r="R3399">
            <v>0</v>
          </cell>
          <cell r="S3399">
            <v>16131</v>
          </cell>
          <cell r="T3399">
            <v>0</v>
          </cell>
          <cell r="U3399">
            <v>0</v>
          </cell>
          <cell r="V3399">
            <v>0</v>
          </cell>
          <cell r="W3399">
            <v>0</v>
          </cell>
        </row>
        <row r="3400">
          <cell r="A3400" t="str">
            <v>450197</v>
          </cell>
          <cell r="B3400" t="str">
            <v>1251</v>
          </cell>
          <cell r="C3400" t="str">
            <v>12</v>
          </cell>
          <cell r="D3400" t="str">
            <v>22</v>
          </cell>
          <cell r="E3400">
            <v>49</v>
          </cell>
          <cell r="G3400">
            <v>552323</v>
          </cell>
          <cell r="H3400">
            <v>0</v>
          </cell>
          <cell r="I3400">
            <v>0</v>
          </cell>
          <cell r="J3400">
            <v>0</v>
          </cell>
          <cell r="K3400">
            <v>0</v>
          </cell>
          <cell r="L3400">
            <v>0</v>
          </cell>
          <cell r="M3400">
            <v>0</v>
          </cell>
          <cell r="N3400">
            <v>0</v>
          </cell>
          <cell r="O3400">
            <v>7231</v>
          </cell>
          <cell r="P3400">
            <v>0</v>
          </cell>
          <cell r="Q3400">
            <v>7231</v>
          </cell>
          <cell r="R3400">
            <v>0</v>
          </cell>
          <cell r="S3400">
            <v>7231</v>
          </cell>
          <cell r="T3400">
            <v>0</v>
          </cell>
          <cell r="U3400">
            <v>0</v>
          </cell>
          <cell r="V3400">
            <v>0</v>
          </cell>
          <cell r="W3400">
            <v>0</v>
          </cell>
        </row>
        <row r="3401">
          <cell r="A3401" t="str">
            <v>450197</v>
          </cell>
          <cell r="B3401" t="str">
            <v>1251</v>
          </cell>
          <cell r="C3401" t="str">
            <v>12</v>
          </cell>
          <cell r="D3401" t="str">
            <v>22</v>
          </cell>
          <cell r="E3401">
            <v>49</v>
          </cell>
          <cell r="G3401">
            <v>552411</v>
          </cell>
          <cell r="H3401">
            <v>0</v>
          </cell>
          <cell r="I3401">
            <v>0</v>
          </cell>
          <cell r="J3401">
            <v>0</v>
          </cell>
          <cell r="K3401">
            <v>0</v>
          </cell>
          <cell r="L3401">
            <v>0</v>
          </cell>
          <cell r="M3401">
            <v>0</v>
          </cell>
          <cell r="N3401">
            <v>0</v>
          </cell>
          <cell r="O3401">
            <v>18549</v>
          </cell>
          <cell r="P3401">
            <v>0</v>
          </cell>
          <cell r="Q3401">
            <v>18549</v>
          </cell>
          <cell r="R3401">
            <v>0</v>
          </cell>
          <cell r="S3401">
            <v>18549</v>
          </cell>
          <cell r="T3401">
            <v>0</v>
          </cell>
          <cell r="U3401">
            <v>0</v>
          </cell>
          <cell r="V3401">
            <v>0</v>
          </cell>
          <cell r="W3401">
            <v>0</v>
          </cell>
        </row>
        <row r="3402">
          <cell r="A3402" t="str">
            <v>450197</v>
          </cell>
          <cell r="B3402" t="str">
            <v>1251</v>
          </cell>
          <cell r="C3402" t="str">
            <v>12</v>
          </cell>
          <cell r="D3402" t="str">
            <v>22</v>
          </cell>
          <cell r="E3402">
            <v>49</v>
          </cell>
          <cell r="G3402">
            <v>701015</v>
          </cell>
          <cell r="H3402">
            <v>0</v>
          </cell>
          <cell r="I3402">
            <v>0</v>
          </cell>
          <cell r="J3402">
            <v>0</v>
          </cell>
          <cell r="K3402">
            <v>0</v>
          </cell>
          <cell r="L3402">
            <v>0</v>
          </cell>
          <cell r="M3402">
            <v>0</v>
          </cell>
          <cell r="N3402">
            <v>0</v>
          </cell>
          <cell r="O3402">
            <v>1233</v>
          </cell>
          <cell r="P3402">
            <v>0</v>
          </cell>
          <cell r="Q3402">
            <v>1233</v>
          </cell>
          <cell r="R3402">
            <v>0</v>
          </cell>
          <cell r="S3402">
            <v>1233</v>
          </cell>
          <cell r="T3402">
            <v>0</v>
          </cell>
          <cell r="U3402">
            <v>0</v>
          </cell>
          <cell r="V3402">
            <v>0</v>
          </cell>
          <cell r="W3402">
            <v>0</v>
          </cell>
        </row>
        <row r="3403">
          <cell r="A3403" t="str">
            <v>450197</v>
          </cell>
          <cell r="B3403" t="str">
            <v>1251</v>
          </cell>
          <cell r="C3403" t="str">
            <v>12</v>
          </cell>
          <cell r="D3403" t="str">
            <v>22</v>
          </cell>
          <cell r="E3403">
            <v>49</v>
          </cell>
          <cell r="G3403">
            <v>751757</v>
          </cell>
          <cell r="H3403">
            <v>0</v>
          </cell>
          <cell r="I3403">
            <v>0</v>
          </cell>
          <cell r="J3403">
            <v>0</v>
          </cell>
          <cell r="K3403">
            <v>0</v>
          </cell>
          <cell r="L3403">
            <v>0</v>
          </cell>
          <cell r="M3403">
            <v>0</v>
          </cell>
          <cell r="N3403">
            <v>0</v>
          </cell>
          <cell r="O3403">
            <v>6214</v>
          </cell>
          <cell r="P3403">
            <v>1944</v>
          </cell>
          <cell r="Q3403">
            <v>8158</v>
          </cell>
          <cell r="R3403">
            <v>0</v>
          </cell>
          <cell r="S3403">
            <v>8158</v>
          </cell>
          <cell r="T3403">
            <v>0</v>
          </cell>
          <cell r="U3403">
            <v>0</v>
          </cell>
          <cell r="V3403">
            <v>0</v>
          </cell>
          <cell r="W3403">
            <v>0</v>
          </cell>
        </row>
        <row r="3404">
          <cell r="A3404" t="str">
            <v>450197</v>
          </cell>
          <cell r="B3404" t="str">
            <v>1251</v>
          </cell>
          <cell r="C3404" t="str">
            <v>12</v>
          </cell>
          <cell r="D3404" t="str">
            <v>22</v>
          </cell>
          <cell r="E3404">
            <v>49</v>
          </cell>
          <cell r="G3404">
            <v>751768</v>
          </cell>
          <cell r="H3404">
            <v>0</v>
          </cell>
          <cell r="I3404">
            <v>0</v>
          </cell>
          <cell r="J3404">
            <v>0</v>
          </cell>
          <cell r="K3404">
            <v>0</v>
          </cell>
          <cell r="L3404">
            <v>0</v>
          </cell>
          <cell r="M3404">
            <v>0</v>
          </cell>
          <cell r="N3404">
            <v>0</v>
          </cell>
          <cell r="O3404">
            <v>3769</v>
          </cell>
          <cell r="P3404">
            <v>57</v>
          </cell>
          <cell r="Q3404">
            <v>3826</v>
          </cell>
          <cell r="R3404">
            <v>0</v>
          </cell>
          <cell r="S3404">
            <v>3826</v>
          </cell>
          <cell r="T3404">
            <v>0</v>
          </cell>
          <cell r="U3404">
            <v>0</v>
          </cell>
          <cell r="V3404">
            <v>0</v>
          </cell>
          <cell r="W3404">
            <v>0</v>
          </cell>
        </row>
        <row r="3405">
          <cell r="A3405" t="str">
            <v>450197</v>
          </cell>
          <cell r="B3405" t="str">
            <v>1251</v>
          </cell>
          <cell r="C3405" t="str">
            <v>12</v>
          </cell>
          <cell r="D3405" t="str">
            <v>22</v>
          </cell>
          <cell r="E3405">
            <v>49</v>
          </cell>
          <cell r="G3405">
            <v>751845</v>
          </cell>
          <cell r="H3405">
            <v>0</v>
          </cell>
          <cell r="I3405">
            <v>0</v>
          </cell>
          <cell r="J3405">
            <v>0</v>
          </cell>
          <cell r="K3405">
            <v>0</v>
          </cell>
          <cell r="L3405">
            <v>0</v>
          </cell>
          <cell r="M3405">
            <v>0</v>
          </cell>
          <cell r="N3405">
            <v>0</v>
          </cell>
          <cell r="O3405">
            <v>6902</v>
          </cell>
          <cell r="P3405">
            <v>0</v>
          </cell>
          <cell r="Q3405">
            <v>6902</v>
          </cell>
          <cell r="R3405">
            <v>0</v>
          </cell>
          <cell r="S3405">
            <v>6902</v>
          </cell>
          <cell r="T3405">
            <v>0</v>
          </cell>
          <cell r="U3405">
            <v>0</v>
          </cell>
          <cell r="V3405">
            <v>0</v>
          </cell>
          <cell r="W3405">
            <v>0</v>
          </cell>
        </row>
        <row r="3406">
          <cell r="A3406" t="str">
            <v>450197</v>
          </cell>
          <cell r="B3406" t="str">
            <v>1251</v>
          </cell>
          <cell r="C3406" t="str">
            <v>12</v>
          </cell>
          <cell r="D3406" t="str">
            <v>22</v>
          </cell>
          <cell r="E3406">
            <v>49</v>
          </cell>
          <cell r="G3406">
            <v>751922</v>
          </cell>
          <cell r="H3406">
            <v>1424612</v>
          </cell>
          <cell r="I3406">
            <v>0</v>
          </cell>
          <cell r="J3406">
            <v>0</v>
          </cell>
          <cell r="K3406">
            <v>0</v>
          </cell>
          <cell r="L3406">
            <v>0</v>
          </cell>
          <cell r="M3406">
            <v>0</v>
          </cell>
          <cell r="N3406">
            <v>0</v>
          </cell>
          <cell r="O3406">
            <v>1424612</v>
          </cell>
          <cell r="P3406">
            <v>0</v>
          </cell>
          <cell r="Q3406">
            <v>1424612</v>
          </cell>
          <cell r="R3406">
            <v>0</v>
          </cell>
          <cell r="S3406">
            <v>1424612</v>
          </cell>
          <cell r="T3406">
            <v>0</v>
          </cell>
          <cell r="U3406">
            <v>0</v>
          </cell>
          <cell r="V3406">
            <v>0</v>
          </cell>
          <cell r="W3406">
            <v>0</v>
          </cell>
        </row>
        <row r="3407">
          <cell r="A3407" t="str">
            <v>450197</v>
          </cell>
          <cell r="B3407" t="str">
            <v>1251</v>
          </cell>
          <cell r="C3407" t="str">
            <v>12</v>
          </cell>
          <cell r="D3407" t="str">
            <v>22</v>
          </cell>
          <cell r="E3407">
            <v>49</v>
          </cell>
          <cell r="G3407">
            <v>801115</v>
          </cell>
          <cell r="H3407">
            <v>0</v>
          </cell>
          <cell r="I3407">
            <v>0</v>
          </cell>
          <cell r="J3407">
            <v>0</v>
          </cell>
          <cell r="K3407">
            <v>0</v>
          </cell>
          <cell r="L3407">
            <v>0</v>
          </cell>
          <cell r="M3407">
            <v>0</v>
          </cell>
          <cell r="N3407">
            <v>0</v>
          </cell>
          <cell r="O3407">
            <v>1773</v>
          </cell>
          <cell r="P3407">
            <v>1126</v>
          </cell>
          <cell r="Q3407">
            <v>2899</v>
          </cell>
          <cell r="R3407">
            <v>0</v>
          </cell>
          <cell r="S3407">
            <v>2899</v>
          </cell>
          <cell r="T3407">
            <v>0</v>
          </cell>
          <cell r="U3407">
            <v>0</v>
          </cell>
          <cell r="V3407">
            <v>0</v>
          </cell>
          <cell r="W3407">
            <v>0</v>
          </cell>
        </row>
        <row r="3408">
          <cell r="A3408" t="str">
            <v>450197</v>
          </cell>
          <cell r="B3408" t="str">
            <v>1251</v>
          </cell>
          <cell r="C3408" t="str">
            <v>12</v>
          </cell>
          <cell r="D3408" t="str">
            <v>22</v>
          </cell>
          <cell r="E3408">
            <v>49</v>
          </cell>
          <cell r="G3408">
            <v>801214</v>
          </cell>
          <cell r="H3408">
            <v>0</v>
          </cell>
          <cell r="I3408">
            <v>0</v>
          </cell>
          <cell r="J3408">
            <v>0</v>
          </cell>
          <cell r="K3408">
            <v>0</v>
          </cell>
          <cell r="L3408">
            <v>0</v>
          </cell>
          <cell r="M3408">
            <v>0</v>
          </cell>
          <cell r="N3408">
            <v>0</v>
          </cell>
          <cell r="O3408">
            <v>2806</v>
          </cell>
          <cell r="P3408">
            <v>734</v>
          </cell>
          <cell r="Q3408">
            <v>3540</v>
          </cell>
          <cell r="R3408">
            <v>0</v>
          </cell>
          <cell r="S3408">
            <v>3540</v>
          </cell>
          <cell r="T3408">
            <v>0</v>
          </cell>
          <cell r="U3408">
            <v>0</v>
          </cell>
          <cell r="V3408">
            <v>0</v>
          </cell>
          <cell r="W3408">
            <v>0</v>
          </cell>
        </row>
        <row r="3409">
          <cell r="A3409" t="str">
            <v>450197</v>
          </cell>
          <cell r="B3409" t="str">
            <v>1251</v>
          </cell>
          <cell r="C3409" t="str">
            <v>12</v>
          </cell>
          <cell r="D3409" t="str">
            <v>22</v>
          </cell>
          <cell r="E3409">
            <v>49</v>
          </cell>
          <cell r="G3409">
            <v>801236</v>
          </cell>
          <cell r="H3409">
            <v>0</v>
          </cell>
          <cell r="I3409">
            <v>0</v>
          </cell>
          <cell r="J3409">
            <v>0</v>
          </cell>
          <cell r="K3409">
            <v>0</v>
          </cell>
          <cell r="L3409">
            <v>0</v>
          </cell>
          <cell r="M3409">
            <v>0</v>
          </cell>
          <cell r="N3409">
            <v>0</v>
          </cell>
          <cell r="O3409">
            <v>1287</v>
          </cell>
          <cell r="P3409">
            <v>0</v>
          </cell>
          <cell r="Q3409">
            <v>1287</v>
          </cell>
          <cell r="R3409">
            <v>0</v>
          </cell>
          <cell r="S3409">
            <v>1287</v>
          </cell>
          <cell r="T3409">
            <v>0</v>
          </cell>
          <cell r="U3409">
            <v>0</v>
          </cell>
          <cell r="V3409">
            <v>0</v>
          </cell>
          <cell r="W3409">
            <v>0</v>
          </cell>
        </row>
        <row r="3410">
          <cell r="A3410" t="str">
            <v>450197</v>
          </cell>
          <cell r="B3410" t="str">
            <v>1251</v>
          </cell>
          <cell r="C3410" t="str">
            <v>12</v>
          </cell>
          <cell r="D3410" t="str">
            <v>22</v>
          </cell>
          <cell r="E3410">
            <v>49</v>
          </cell>
          <cell r="G3410">
            <v>802144</v>
          </cell>
          <cell r="H3410">
            <v>0</v>
          </cell>
          <cell r="I3410">
            <v>0</v>
          </cell>
          <cell r="J3410">
            <v>0</v>
          </cell>
          <cell r="K3410">
            <v>0</v>
          </cell>
          <cell r="L3410">
            <v>0</v>
          </cell>
          <cell r="M3410">
            <v>0</v>
          </cell>
          <cell r="N3410">
            <v>0</v>
          </cell>
          <cell r="O3410">
            <v>5723</v>
          </cell>
          <cell r="P3410">
            <v>277</v>
          </cell>
          <cell r="Q3410">
            <v>6000</v>
          </cell>
          <cell r="R3410">
            <v>0</v>
          </cell>
          <cell r="S3410">
            <v>6000</v>
          </cell>
          <cell r="T3410">
            <v>0</v>
          </cell>
          <cell r="U3410">
            <v>0</v>
          </cell>
          <cell r="V3410">
            <v>0</v>
          </cell>
          <cell r="W3410">
            <v>0</v>
          </cell>
        </row>
        <row r="3411">
          <cell r="A3411" t="str">
            <v>450197</v>
          </cell>
          <cell r="B3411" t="str">
            <v>1251</v>
          </cell>
          <cell r="C3411" t="str">
            <v>12</v>
          </cell>
          <cell r="D3411" t="str">
            <v>22</v>
          </cell>
          <cell r="E3411">
            <v>49</v>
          </cell>
          <cell r="G3411">
            <v>802166</v>
          </cell>
          <cell r="H3411">
            <v>0</v>
          </cell>
          <cell r="I3411">
            <v>0</v>
          </cell>
          <cell r="J3411">
            <v>0</v>
          </cell>
          <cell r="K3411">
            <v>0</v>
          </cell>
          <cell r="L3411">
            <v>0</v>
          </cell>
          <cell r="M3411">
            <v>0</v>
          </cell>
          <cell r="N3411">
            <v>0</v>
          </cell>
          <cell r="O3411">
            <v>326</v>
          </cell>
          <cell r="P3411">
            <v>184</v>
          </cell>
          <cell r="Q3411">
            <v>510</v>
          </cell>
          <cell r="R3411">
            <v>0</v>
          </cell>
          <cell r="S3411">
            <v>510</v>
          </cell>
          <cell r="T3411">
            <v>0</v>
          </cell>
          <cell r="U3411">
            <v>0</v>
          </cell>
          <cell r="V3411">
            <v>0</v>
          </cell>
          <cell r="W3411">
            <v>0</v>
          </cell>
        </row>
        <row r="3412">
          <cell r="A3412" t="str">
            <v>450197</v>
          </cell>
          <cell r="B3412" t="str">
            <v>1251</v>
          </cell>
          <cell r="C3412" t="str">
            <v>12</v>
          </cell>
          <cell r="D3412" t="str">
            <v>22</v>
          </cell>
          <cell r="E3412">
            <v>49</v>
          </cell>
          <cell r="G3412">
            <v>802177</v>
          </cell>
          <cell r="H3412">
            <v>0</v>
          </cell>
          <cell r="I3412">
            <v>0</v>
          </cell>
          <cell r="J3412">
            <v>0</v>
          </cell>
          <cell r="K3412">
            <v>0</v>
          </cell>
          <cell r="L3412">
            <v>0</v>
          </cell>
          <cell r="M3412">
            <v>0</v>
          </cell>
          <cell r="N3412">
            <v>0</v>
          </cell>
          <cell r="O3412">
            <v>2627</v>
          </cell>
          <cell r="P3412">
            <v>3273</v>
          </cell>
          <cell r="Q3412">
            <v>5900</v>
          </cell>
          <cell r="R3412">
            <v>0</v>
          </cell>
          <cell r="S3412">
            <v>5900</v>
          </cell>
          <cell r="T3412">
            <v>0</v>
          </cell>
          <cell r="U3412">
            <v>0</v>
          </cell>
          <cell r="V3412">
            <v>0</v>
          </cell>
          <cell r="W3412">
            <v>0</v>
          </cell>
        </row>
        <row r="3413">
          <cell r="A3413" t="str">
            <v>450197</v>
          </cell>
          <cell r="B3413" t="str">
            <v>1251</v>
          </cell>
          <cell r="C3413" t="str">
            <v>12</v>
          </cell>
          <cell r="D3413" t="str">
            <v>22</v>
          </cell>
          <cell r="E3413">
            <v>49</v>
          </cell>
          <cell r="G3413">
            <v>802199</v>
          </cell>
          <cell r="H3413">
            <v>0</v>
          </cell>
          <cell r="I3413">
            <v>0</v>
          </cell>
          <cell r="J3413">
            <v>0</v>
          </cell>
          <cell r="K3413">
            <v>0</v>
          </cell>
          <cell r="L3413">
            <v>0</v>
          </cell>
          <cell r="M3413">
            <v>0</v>
          </cell>
          <cell r="N3413">
            <v>0</v>
          </cell>
          <cell r="O3413">
            <v>4240</v>
          </cell>
          <cell r="P3413">
            <v>0</v>
          </cell>
          <cell r="Q3413">
            <v>4240</v>
          </cell>
          <cell r="R3413">
            <v>0</v>
          </cell>
          <cell r="S3413">
            <v>4240</v>
          </cell>
          <cell r="T3413">
            <v>0</v>
          </cell>
          <cell r="U3413">
            <v>0</v>
          </cell>
          <cell r="V3413">
            <v>0</v>
          </cell>
          <cell r="W3413">
            <v>0</v>
          </cell>
        </row>
        <row r="3414">
          <cell r="A3414" t="str">
            <v>450197</v>
          </cell>
          <cell r="B3414" t="str">
            <v>1251</v>
          </cell>
          <cell r="C3414" t="str">
            <v>12</v>
          </cell>
          <cell r="D3414" t="str">
            <v>22</v>
          </cell>
          <cell r="E3414">
            <v>49</v>
          </cell>
          <cell r="G3414">
            <v>802263</v>
          </cell>
          <cell r="H3414">
            <v>0</v>
          </cell>
          <cell r="I3414">
            <v>0</v>
          </cell>
          <cell r="J3414">
            <v>0</v>
          </cell>
          <cell r="K3414">
            <v>0</v>
          </cell>
          <cell r="L3414">
            <v>0</v>
          </cell>
          <cell r="M3414">
            <v>0</v>
          </cell>
          <cell r="N3414">
            <v>0</v>
          </cell>
          <cell r="O3414">
            <v>6685</v>
          </cell>
          <cell r="P3414">
            <v>5277</v>
          </cell>
          <cell r="Q3414">
            <v>11962</v>
          </cell>
          <cell r="R3414">
            <v>0</v>
          </cell>
          <cell r="S3414">
            <v>11962</v>
          </cell>
          <cell r="T3414">
            <v>0</v>
          </cell>
          <cell r="U3414">
            <v>0</v>
          </cell>
          <cell r="V3414">
            <v>0</v>
          </cell>
          <cell r="W3414">
            <v>0</v>
          </cell>
        </row>
        <row r="3415">
          <cell r="A3415" t="str">
            <v>450197</v>
          </cell>
          <cell r="B3415" t="str">
            <v>1251</v>
          </cell>
          <cell r="C3415" t="str">
            <v>12</v>
          </cell>
          <cell r="D3415" t="str">
            <v>22</v>
          </cell>
          <cell r="E3415">
            <v>49</v>
          </cell>
          <cell r="G3415">
            <v>804017</v>
          </cell>
          <cell r="H3415">
            <v>0</v>
          </cell>
          <cell r="I3415">
            <v>0</v>
          </cell>
          <cell r="J3415">
            <v>0</v>
          </cell>
          <cell r="K3415">
            <v>0</v>
          </cell>
          <cell r="L3415">
            <v>0</v>
          </cell>
          <cell r="M3415">
            <v>0</v>
          </cell>
          <cell r="N3415">
            <v>0</v>
          </cell>
          <cell r="O3415">
            <v>307</v>
          </cell>
          <cell r="P3415">
            <v>0</v>
          </cell>
          <cell r="Q3415">
            <v>307</v>
          </cell>
          <cell r="R3415">
            <v>0</v>
          </cell>
          <cell r="S3415">
            <v>307</v>
          </cell>
          <cell r="T3415">
            <v>0</v>
          </cell>
          <cell r="U3415">
            <v>0</v>
          </cell>
          <cell r="V3415">
            <v>0</v>
          </cell>
          <cell r="W3415">
            <v>0</v>
          </cell>
        </row>
        <row r="3416">
          <cell r="A3416" t="str">
            <v>450197</v>
          </cell>
          <cell r="B3416" t="str">
            <v>1251</v>
          </cell>
          <cell r="C3416" t="str">
            <v>12</v>
          </cell>
          <cell r="D3416" t="str">
            <v>22</v>
          </cell>
          <cell r="E3416">
            <v>49</v>
          </cell>
          <cell r="G3416">
            <v>804028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2213</v>
          </cell>
          <cell r="P3416">
            <v>0</v>
          </cell>
          <cell r="Q3416">
            <v>2213</v>
          </cell>
          <cell r="R3416">
            <v>0</v>
          </cell>
          <cell r="S3416">
            <v>2213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</row>
        <row r="3417">
          <cell r="A3417" t="str">
            <v>450197</v>
          </cell>
          <cell r="B3417" t="str">
            <v>1251</v>
          </cell>
          <cell r="C3417" t="str">
            <v>12</v>
          </cell>
          <cell r="D3417" t="str">
            <v>22</v>
          </cell>
          <cell r="E3417">
            <v>49</v>
          </cell>
          <cell r="G3417">
            <v>851297</v>
          </cell>
          <cell r="H3417">
            <v>0</v>
          </cell>
          <cell r="I3417">
            <v>0</v>
          </cell>
          <cell r="J3417">
            <v>0</v>
          </cell>
          <cell r="K3417">
            <v>0</v>
          </cell>
          <cell r="L3417">
            <v>0</v>
          </cell>
          <cell r="M3417">
            <v>0</v>
          </cell>
          <cell r="N3417">
            <v>0</v>
          </cell>
          <cell r="O3417">
            <v>43700</v>
          </cell>
          <cell r="P3417">
            <v>1447</v>
          </cell>
          <cell r="Q3417">
            <v>45147</v>
          </cell>
          <cell r="R3417">
            <v>0</v>
          </cell>
          <cell r="S3417">
            <v>45147</v>
          </cell>
          <cell r="T3417">
            <v>0</v>
          </cell>
          <cell r="U3417">
            <v>0</v>
          </cell>
          <cell r="V3417">
            <v>0</v>
          </cell>
          <cell r="W3417">
            <v>0</v>
          </cell>
        </row>
        <row r="3418">
          <cell r="A3418" t="str">
            <v>450197</v>
          </cell>
          <cell r="B3418" t="str">
            <v>1251</v>
          </cell>
          <cell r="C3418" t="str">
            <v>12</v>
          </cell>
          <cell r="D3418" t="str">
            <v>22</v>
          </cell>
          <cell r="E3418">
            <v>49</v>
          </cell>
          <cell r="G3418">
            <v>853211</v>
          </cell>
          <cell r="H3418">
            <v>0</v>
          </cell>
          <cell r="I3418">
            <v>0</v>
          </cell>
          <cell r="J3418">
            <v>0</v>
          </cell>
          <cell r="K3418">
            <v>0</v>
          </cell>
          <cell r="L3418">
            <v>0</v>
          </cell>
          <cell r="M3418">
            <v>0</v>
          </cell>
          <cell r="N3418">
            <v>0</v>
          </cell>
          <cell r="O3418">
            <v>3410</v>
          </cell>
          <cell r="P3418">
            <v>26</v>
          </cell>
          <cell r="Q3418">
            <v>3436</v>
          </cell>
          <cell r="R3418">
            <v>0</v>
          </cell>
          <cell r="S3418">
            <v>3436</v>
          </cell>
          <cell r="T3418">
            <v>0</v>
          </cell>
          <cell r="U3418">
            <v>0</v>
          </cell>
          <cell r="V3418">
            <v>0</v>
          </cell>
          <cell r="W3418">
            <v>0</v>
          </cell>
        </row>
        <row r="3419">
          <cell r="A3419" t="str">
            <v>450197</v>
          </cell>
          <cell r="B3419" t="str">
            <v>1251</v>
          </cell>
          <cell r="C3419" t="str">
            <v>12</v>
          </cell>
          <cell r="D3419" t="str">
            <v>22</v>
          </cell>
          <cell r="E3419">
            <v>49</v>
          </cell>
          <cell r="G3419">
            <v>853244</v>
          </cell>
          <cell r="H3419">
            <v>0</v>
          </cell>
          <cell r="I3419">
            <v>0</v>
          </cell>
          <cell r="J3419">
            <v>0</v>
          </cell>
          <cell r="K3419">
            <v>0</v>
          </cell>
          <cell r="L3419">
            <v>0</v>
          </cell>
          <cell r="M3419">
            <v>0</v>
          </cell>
          <cell r="N3419">
            <v>0</v>
          </cell>
          <cell r="O3419">
            <v>1064</v>
          </cell>
          <cell r="P3419">
            <v>11</v>
          </cell>
          <cell r="Q3419">
            <v>1075</v>
          </cell>
          <cell r="R3419">
            <v>0</v>
          </cell>
          <cell r="S3419">
            <v>1075</v>
          </cell>
          <cell r="T3419">
            <v>0</v>
          </cell>
          <cell r="U3419">
            <v>0</v>
          </cell>
          <cell r="V3419">
            <v>0</v>
          </cell>
          <cell r="W3419">
            <v>0</v>
          </cell>
        </row>
        <row r="3420">
          <cell r="A3420" t="str">
            <v>450197</v>
          </cell>
          <cell r="B3420" t="str">
            <v>1251</v>
          </cell>
          <cell r="C3420" t="str">
            <v>12</v>
          </cell>
          <cell r="D3420" t="str">
            <v>22</v>
          </cell>
          <cell r="E3420">
            <v>49</v>
          </cell>
          <cell r="G3420">
            <v>921815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L3420">
            <v>0</v>
          </cell>
          <cell r="M3420">
            <v>0</v>
          </cell>
          <cell r="N3420">
            <v>0</v>
          </cell>
          <cell r="O3420">
            <v>16396</v>
          </cell>
          <cell r="P3420">
            <v>317</v>
          </cell>
          <cell r="Q3420">
            <v>16713</v>
          </cell>
          <cell r="R3420">
            <v>0</v>
          </cell>
          <cell r="S3420">
            <v>16713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</row>
        <row r="3421">
          <cell r="A3421" t="str">
            <v>450197</v>
          </cell>
          <cell r="B3421" t="str">
            <v>1251</v>
          </cell>
          <cell r="C3421" t="str">
            <v>12</v>
          </cell>
          <cell r="D3421" t="str">
            <v>22</v>
          </cell>
          <cell r="E3421">
            <v>49</v>
          </cell>
          <cell r="G3421">
            <v>923127</v>
          </cell>
          <cell r="H3421">
            <v>0</v>
          </cell>
          <cell r="I3421">
            <v>0</v>
          </cell>
          <cell r="J3421">
            <v>0</v>
          </cell>
          <cell r="K3421">
            <v>0</v>
          </cell>
          <cell r="L3421">
            <v>0</v>
          </cell>
          <cell r="M3421">
            <v>0</v>
          </cell>
          <cell r="N3421">
            <v>0</v>
          </cell>
          <cell r="O3421">
            <v>8697</v>
          </cell>
          <cell r="P3421">
            <v>50</v>
          </cell>
          <cell r="Q3421">
            <v>8747</v>
          </cell>
          <cell r="R3421">
            <v>0</v>
          </cell>
          <cell r="S3421">
            <v>8747</v>
          </cell>
          <cell r="T3421">
            <v>0</v>
          </cell>
          <cell r="U3421">
            <v>0</v>
          </cell>
          <cell r="V3421">
            <v>0</v>
          </cell>
          <cell r="W3421">
            <v>0</v>
          </cell>
        </row>
        <row r="3422">
          <cell r="A3422" t="str">
            <v>450197</v>
          </cell>
          <cell r="B3422" t="str">
            <v>1251</v>
          </cell>
          <cell r="C3422" t="str">
            <v>12</v>
          </cell>
          <cell r="D3422" t="str">
            <v>22</v>
          </cell>
          <cell r="E3422">
            <v>49</v>
          </cell>
          <cell r="G3422">
            <v>924014</v>
          </cell>
          <cell r="H3422">
            <v>0</v>
          </cell>
          <cell r="I3422">
            <v>0</v>
          </cell>
          <cell r="J3422">
            <v>0</v>
          </cell>
          <cell r="K3422">
            <v>0</v>
          </cell>
          <cell r="L3422">
            <v>0</v>
          </cell>
          <cell r="M3422">
            <v>0</v>
          </cell>
          <cell r="N3422">
            <v>0</v>
          </cell>
          <cell r="O3422">
            <v>4346</v>
          </cell>
          <cell r="P3422">
            <v>280</v>
          </cell>
          <cell r="Q3422">
            <v>4626</v>
          </cell>
          <cell r="R3422">
            <v>0</v>
          </cell>
          <cell r="S3422">
            <v>4626</v>
          </cell>
          <cell r="T3422">
            <v>0</v>
          </cell>
          <cell r="U3422">
            <v>0</v>
          </cell>
          <cell r="V3422">
            <v>0</v>
          </cell>
          <cell r="W3422">
            <v>0</v>
          </cell>
        </row>
        <row r="3423">
          <cell r="A3423" t="str">
            <v>450197</v>
          </cell>
          <cell r="B3423" t="str">
            <v>1251</v>
          </cell>
          <cell r="C3423" t="str">
            <v>12</v>
          </cell>
          <cell r="D3423" t="str">
            <v>22</v>
          </cell>
          <cell r="E3423">
            <v>49</v>
          </cell>
          <cell r="G3423">
            <v>926018</v>
          </cell>
          <cell r="H3423">
            <v>0</v>
          </cell>
          <cell r="I3423">
            <v>0</v>
          </cell>
          <cell r="J3423">
            <v>0</v>
          </cell>
          <cell r="K3423">
            <v>0</v>
          </cell>
          <cell r="L3423">
            <v>0</v>
          </cell>
          <cell r="M3423">
            <v>0</v>
          </cell>
          <cell r="N3423">
            <v>0</v>
          </cell>
          <cell r="O3423">
            <v>36</v>
          </cell>
          <cell r="P3423">
            <v>0</v>
          </cell>
          <cell r="Q3423">
            <v>36</v>
          </cell>
          <cell r="R3423">
            <v>0</v>
          </cell>
          <cell r="S3423">
            <v>36</v>
          </cell>
          <cell r="T3423">
            <v>0</v>
          </cell>
          <cell r="U3423">
            <v>0</v>
          </cell>
          <cell r="V3423">
            <v>0</v>
          </cell>
          <cell r="W3423">
            <v>0</v>
          </cell>
        </row>
        <row r="3424">
          <cell r="A3424" t="str">
            <v>450197</v>
          </cell>
          <cell r="B3424" t="str">
            <v>1251</v>
          </cell>
          <cell r="C3424" t="str">
            <v>12</v>
          </cell>
          <cell r="D3424" t="str">
            <v>22</v>
          </cell>
          <cell r="E3424">
            <v>49</v>
          </cell>
          <cell r="G3424">
            <v>930910</v>
          </cell>
          <cell r="H3424">
            <v>0</v>
          </cell>
          <cell r="I3424">
            <v>0</v>
          </cell>
          <cell r="J3424">
            <v>0</v>
          </cell>
          <cell r="K3424">
            <v>0</v>
          </cell>
          <cell r="L3424">
            <v>0</v>
          </cell>
          <cell r="M3424">
            <v>0</v>
          </cell>
          <cell r="N3424">
            <v>0</v>
          </cell>
          <cell r="O3424">
            <v>5066</v>
          </cell>
          <cell r="P3424">
            <v>0</v>
          </cell>
          <cell r="Q3424">
            <v>5066</v>
          </cell>
          <cell r="R3424">
            <v>0</v>
          </cell>
          <cell r="S3424">
            <v>5066</v>
          </cell>
          <cell r="T3424">
            <v>0</v>
          </cell>
          <cell r="U3424">
            <v>0</v>
          </cell>
          <cell r="V3424">
            <v>0</v>
          </cell>
          <cell r="W3424">
            <v>0</v>
          </cell>
        </row>
        <row r="3425">
          <cell r="A3425" t="str">
            <v>450197</v>
          </cell>
          <cell r="B3425" t="str">
            <v>1251</v>
          </cell>
          <cell r="C3425" t="str">
            <v>12</v>
          </cell>
          <cell r="D3425" t="str">
            <v>22</v>
          </cell>
          <cell r="E3425">
            <v>49</v>
          </cell>
          <cell r="G3425">
            <v>999999</v>
          </cell>
          <cell r="H3425">
            <v>1424612</v>
          </cell>
          <cell r="I3425">
            <v>0</v>
          </cell>
          <cell r="J3425">
            <v>0</v>
          </cell>
          <cell r="K3425">
            <v>0</v>
          </cell>
          <cell r="L3425">
            <v>0</v>
          </cell>
          <cell r="M3425">
            <v>0</v>
          </cell>
          <cell r="N3425">
            <v>0</v>
          </cell>
          <cell r="O3425">
            <v>1595859</v>
          </cell>
          <cell r="P3425">
            <v>15240</v>
          </cell>
          <cell r="Q3425">
            <v>1611099</v>
          </cell>
          <cell r="R3425">
            <v>0</v>
          </cell>
          <cell r="S3425">
            <v>1611099</v>
          </cell>
          <cell r="T3425">
            <v>0</v>
          </cell>
          <cell r="U3425">
            <v>0</v>
          </cell>
          <cell r="V3425">
            <v>0</v>
          </cell>
          <cell r="W3425">
            <v>0</v>
          </cell>
        </row>
        <row r="3426">
          <cell r="A3426" t="str">
            <v>450197</v>
          </cell>
          <cell r="B3426" t="str">
            <v>1251</v>
          </cell>
          <cell r="C3426" t="str">
            <v>12</v>
          </cell>
          <cell r="D3426" t="str">
            <v>23</v>
          </cell>
          <cell r="E3426">
            <v>1</v>
          </cell>
          <cell r="G3426">
            <v>946499</v>
          </cell>
          <cell r="H3426">
            <v>0</v>
          </cell>
          <cell r="I3426">
            <v>0</v>
          </cell>
          <cell r="J3426">
            <v>33718</v>
          </cell>
          <cell r="K3426">
            <v>0</v>
          </cell>
          <cell r="L3426">
            <v>33718</v>
          </cell>
          <cell r="M3426">
            <v>980217</v>
          </cell>
          <cell r="N3426">
            <v>967385</v>
          </cell>
          <cell r="O3426">
            <v>0</v>
          </cell>
          <cell r="P3426">
            <v>0</v>
          </cell>
          <cell r="Q3426">
            <v>0</v>
          </cell>
          <cell r="R3426">
            <v>0</v>
          </cell>
          <cell r="S3426">
            <v>0</v>
          </cell>
          <cell r="T3426">
            <v>0</v>
          </cell>
          <cell r="U3426">
            <v>0</v>
          </cell>
          <cell r="V3426">
            <v>0</v>
          </cell>
          <cell r="W3426">
            <v>0</v>
          </cell>
        </row>
        <row r="3427">
          <cell r="A3427" t="str">
            <v>450197</v>
          </cell>
          <cell r="B3427" t="str">
            <v>1251</v>
          </cell>
          <cell r="C3427" t="str">
            <v>12</v>
          </cell>
          <cell r="D3427" t="str">
            <v>23</v>
          </cell>
          <cell r="E3427">
            <v>2</v>
          </cell>
          <cell r="G3427">
            <v>307808</v>
          </cell>
          <cell r="H3427">
            <v>0</v>
          </cell>
          <cell r="I3427">
            <v>0</v>
          </cell>
          <cell r="J3427">
            <v>10008</v>
          </cell>
          <cell r="K3427">
            <v>0</v>
          </cell>
          <cell r="L3427">
            <v>10008</v>
          </cell>
          <cell r="M3427">
            <v>317816</v>
          </cell>
          <cell r="N3427">
            <v>313917</v>
          </cell>
          <cell r="O3427">
            <v>0</v>
          </cell>
          <cell r="P3427">
            <v>0</v>
          </cell>
          <cell r="Q3427">
            <v>0</v>
          </cell>
          <cell r="R3427">
            <v>0</v>
          </cell>
          <cell r="S3427">
            <v>0</v>
          </cell>
          <cell r="T3427">
            <v>0</v>
          </cell>
          <cell r="U3427">
            <v>0</v>
          </cell>
          <cell r="V3427">
            <v>0</v>
          </cell>
          <cell r="W3427">
            <v>0</v>
          </cell>
        </row>
        <row r="3428">
          <cell r="A3428" t="str">
            <v>450197</v>
          </cell>
          <cell r="B3428" t="str">
            <v>1251</v>
          </cell>
          <cell r="C3428" t="str">
            <v>12</v>
          </cell>
          <cell r="D3428" t="str">
            <v>23</v>
          </cell>
          <cell r="E3428">
            <v>3</v>
          </cell>
          <cell r="G3428">
            <v>274139</v>
          </cell>
          <cell r="H3428">
            <v>0</v>
          </cell>
          <cell r="I3428">
            <v>0</v>
          </cell>
          <cell r="J3428">
            <v>65657</v>
          </cell>
          <cell r="K3428">
            <v>0</v>
          </cell>
          <cell r="L3428">
            <v>65657</v>
          </cell>
          <cell r="M3428">
            <v>339796</v>
          </cell>
          <cell r="N3428">
            <v>296238</v>
          </cell>
          <cell r="O3428">
            <v>0</v>
          </cell>
          <cell r="P3428">
            <v>0</v>
          </cell>
          <cell r="Q3428">
            <v>0</v>
          </cell>
          <cell r="R3428">
            <v>0</v>
          </cell>
          <cell r="S3428">
            <v>0</v>
          </cell>
          <cell r="T3428">
            <v>0</v>
          </cell>
          <cell r="U3428">
            <v>0</v>
          </cell>
          <cell r="V3428">
            <v>0</v>
          </cell>
          <cell r="W3428">
            <v>0</v>
          </cell>
        </row>
        <row r="3429">
          <cell r="A3429" t="str">
            <v>450197</v>
          </cell>
          <cell r="B3429" t="str">
            <v>1251</v>
          </cell>
          <cell r="C3429" t="str">
            <v>12</v>
          </cell>
          <cell r="D3429" t="str">
            <v>23</v>
          </cell>
          <cell r="E3429">
            <v>4</v>
          </cell>
          <cell r="G3429">
            <v>0</v>
          </cell>
          <cell r="H3429">
            <v>0</v>
          </cell>
          <cell r="I3429">
            <v>0</v>
          </cell>
          <cell r="J3429">
            <v>0</v>
          </cell>
          <cell r="K3429">
            <v>0</v>
          </cell>
          <cell r="L3429">
            <v>0</v>
          </cell>
          <cell r="M3429">
            <v>0</v>
          </cell>
          <cell r="N3429">
            <v>0</v>
          </cell>
          <cell r="O3429">
            <v>0</v>
          </cell>
          <cell r="P3429">
            <v>0</v>
          </cell>
          <cell r="Q3429">
            <v>0</v>
          </cell>
          <cell r="R3429">
            <v>0</v>
          </cell>
          <cell r="S3429">
            <v>0</v>
          </cell>
          <cell r="T3429">
            <v>0</v>
          </cell>
          <cell r="U3429">
            <v>0</v>
          </cell>
          <cell r="V3429">
            <v>0</v>
          </cell>
          <cell r="W3429">
            <v>0</v>
          </cell>
        </row>
        <row r="3430">
          <cell r="A3430" t="str">
            <v>450197</v>
          </cell>
          <cell r="B3430" t="str">
            <v>1251</v>
          </cell>
          <cell r="C3430" t="str">
            <v>12</v>
          </cell>
          <cell r="D3430" t="str">
            <v>23</v>
          </cell>
          <cell r="E3430">
            <v>5</v>
          </cell>
          <cell r="G3430">
            <v>0</v>
          </cell>
          <cell r="H3430">
            <v>0</v>
          </cell>
          <cell r="I3430">
            <v>0</v>
          </cell>
          <cell r="J3430">
            <v>0</v>
          </cell>
          <cell r="K3430">
            <v>0</v>
          </cell>
          <cell r="L3430">
            <v>0</v>
          </cell>
          <cell r="M3430">
            <v>0</v>
          </cell>
          <cell r="N3430">
            <v>0</v>
          </cell>
          <cell r="O3430">
            <v>0</v>
          </cell>
          <cell r="P3430">
            <v>0</v>
          </cell>
          <cell r="Q3430">
            <v>0</v>
          </cell>
          <cell r="R3430">
            <v>0</v>
          </cell>
          <cell r="S3430">
            <v>0</v>
          </cell>
          <cell r="T3430">
            <v>0</v>
          </cell>
          <cell r="U3430">
            <v>0</v>
          </cell>
          <cell r="V3430">
            <v>0</v>
          </cell>
          <cell r="W3430">
            <v>0</v>
          </cell>
        </row>
        <row r="3431">
          <cell r="A3431" t="str">
            <v>450197</v>
          </cell>
          <cell r="B3431" t="str">
            <v>1251</v>
          </cell>
          <cell r="C3431" t="str">
            <v>12</v>
          </cell>
          <cell r="D3431" t="str">
            <v>23</v>
          </cell>
          <cell r="E3431">
            <v>6</v>
          </cell>
          <cell r="G3431">
            <v>0</v>
          </cell>
          <cell r="H3431">
            <v>0</v>
          </cell>
          <cell r="I3431">
            <v>0</v>
          </cell>
          <cell r="J3431">
            <v>5307</v>
          </cell>
          <cell r="K3431">
            <v>0</v>
          </cell>
          <cell r="L3431">
            <v>5307</v>
          </cell>
          <cell r="M3431">
            <v>5307</v>
          </cell>
          <cell r="N3431">
            <v>5307</v>
          </cell>
          <cell r="O3431">
            <v>0</v>
          </cell>
          <cell r="P3431">
            <v>0</v>
          </cell>
          <cell r="Q3431">
            <v>0</v>
          </cell>
          <cell r="R3431">
            <v>0</v>
          </cell>
          <cell r="S3431">
            <v>0</v>
          </cell>
          <cell r="T3431">
            <v>0</v>
          </cell>
          <cell r="U3431">
            <v>0</v>
          </cell>
          <cell r="V3431">
            <v>0</v>
          </cell>
          <cell r="W3431">
            <v>0</v>
          </cell>
        </row>
        <row r="3432">
          <cell r="A3432" t="str">
            <v>450197</v>
          </cell>
          <cell r="B3432" t="str">
            <v>1251</v>
          </cell>
          <cell r="C3432" t="str">
            <v>12</v>
          </cell>
          <cell r="D3432" t="str">
            <v>23</v>
          </cell>
          <cell r="E3432">
            <v>7</v>
          </cell>
          <cell r="G3432">
            <v>0</v>
          </cell>
          <cell r="H3432">
            <v>0</v>
          </cell>
          <cell r="I3432">
            <v>0</v>
          </cell>
          <cell r="J3432">
            <v>0</v>
          </cell>
          <cell r="K3432">
            <v>0</v>
          </cell>
          <cell r="L3432">
            <v>0</v>
          </cell>
          <cell r="M3432">
            <v>0</v>
          </cell>
          <cell r="N3432">
            <v>0</v>
          </cell>
          <cell r="O3432">
            <v>0</v>
          </cell>
          <cell r="P3432">
            <v>0</v>
          </cell>
          <cell r="Q3432">
            <v>0</v>
          </cell>
          <cell r="R3432">
            <v>0</v>
          </cell>
          <cell r="S3432">
            <v>0</v>
          </cell>
          <cell r="T3432">
            <v>0</v>
          </cell>
          <cell r="U3432">
            <v>0</v>
          </cell>
          <cell r="V3432">
            <v>0</v>
          </cell>
          <cell r="W3432">
            <v>0</v>
          </cell>
        </row>
        <row r="3433">
          <cell r="A3433" t="str">
            <v>450197</v>
          </cell>
          <cell r="B3433" t="str">
            <v>1251</v>
          </cell>
          <cell r="C3433" t="str">
            <v>12</v>
          </cell>
          <cell r="D3433" t="str">
            <v>23</v>
          </cell>
          <cell r="E3433">
            <v>8</v>
          </cell>
          <cell r="G3433">
            <v>0</v>
          </cell>
          <cell r="H3433">
            <v>0</v>
          </cell>
          <cell r="I3433">
            <v>0</v>
          </cell>
          <cell r="J3433">
            <v>0</v>
          </cell>
          <cell r="K3433">
            <v>0</v>
          </cell>
          <cell r="L3433">
            <v>0</v>
          </cell>
          <cell r="M3433">
            <v>0</v>
          </cell>
          <cell r="N3433">
            <v>0</v>
          </cell>
          <cell r="O3433">
            <v>0</v>
          </cell>
          <cell r="P3433">
            <v>0</v>
          </cell>
          <cell r="Q3433">
            <v>0</v>
          </cell>
          <cell r="R3433">
            <v>0</v>
          </cell>
          <cell r="S3433">
            <v>0</v>
          </cell>
          <cell r="T3433">
            <v>0</v>
          </cell>
          <cell r="U3433">
            <v>0</v>
          </cell>
          <cell r="V3433">
            <v>0</v>
          </cell>
          <cell r="W3433">
            <v>0</v>
          </cell>
        </row>
        <row r="3434">
          <cell r="A3434" t="str">
            <v>450197</v>
          </cell>
          <cell r="B3434" t="str">
            <v>1251</v>
          </cell>
          <cell r="C3434" t="str">
            <v>12</v>
          </cell>
          <cell r="D3434" t="str">
            <v>23</v>
          </cell>
          <cell r="E3434">
            <v>9</v>
          </cell>
          <cell r="G3434">
            <v>0</v>
          </cell>
          <cell r="H3434">
            <v>0</v>
          </cell>
          <cell r="I3434">
            <v>0</v>
          </cell>
          <cell r="J3434">
            <v>0</v>
          </cell>
          <cell r="K3434">
            <v>0</v>
          </cell>
          <cell r="L3434">
            <v>0</v>
          </cell>
          <cell r="M3434">
            <v>0</v>
          </cell>
          <cell r="N3434">
            <v>0</v>
          </cell>
          <cell r="O3434">
            <v>0</v>
          </cell>
          <cell r="P3434">
            <v>0</v>
          </cell>
          <cell r="Q3434">
            <v>0</v>
          </cell>
          <cell r="R3434">
            <v>0</v>
          </cell>
          <cell r="S3434">
            <v>0</v>
          </cell>
          <cell r="T3434">
            <v>0</v>
          </cell>
          <cell r="U3434">
            <v>0</v>
          </cell>
          <cell r="V3434">
            <v>0</v>
          </cell>
          <cell r="W3434">
            <v>0</v>
          </cell>
        </row>
        <row r="3435">
          <cell r="A3435" t="str">
            <v>450197</v>
          </cell>
          <cell r="B3435" t="str">
            <v>1251</v>
          </cell>
          <cell r="C3435" t="str">
            <v>12</v>
          </cell>
          <cell r="D3435" t="str">
            <v>23</v>
          </cell>
          <cell r="E3435">
            <v>10</v>
          </cell>
          <cell r="G3435">
            <v>0</v>
          </cell>
          <cell r="H3435">
            <v>0</v>
          </cell>
          <cell r="I3435">
            <v>0</v>
          </cell>
          <cell r="J3435">
            <v>0</v>
          </cell>
          <cell r="K3435">
            <v>0</v>
          </cell>
          <cell r="L3435">
            <v>0</v>
          </cell>
          <cell r="M3435">
            <v>0</v>
          </cell>
          <cell r="N3435">
            <v>0</v>
          </cell>
          <cell r="O3435">
            <v>0</v>
          </cell>
          <cell r="P3435">
            <v>0</v>
          </cell>
          <cell r="Q3435">
            <v>0</v>
          </cell>
          <cell r="R3435">
            <v>0</v>
          </cell>
          <cell r="S3435">
            <v>0</v>
          </cell>
          <cell r="T3435">
            <v>0</v>
          </cell>
          <cell r="U3435">
            <v>0</v>
          </cell>
          <cell r="V3435">
            <v>0</v>
          </cell>
          <cell r="W3435">
            <v>0</v>
          </cell>
        </row>
        <row r="3436">
          <cell r="A3436" t="str">
            <v>450197</v>
          </cell>
          <cell r="B3436" t="str">
            <v>1251</v>
          </cell>
          <cell r="C3436" t="str">
            <v>12</v>
          </cell>
          <cell r="D3436" t="str">
            <v>23</v>
          </cell>
          <cell r="E3436">
            <v>11</v>
          </cell>
          <cell r="G3436">
            <v>0</v>
          </cell>
          <cell r="H3436">
            <v>0</v>
          </cell>
          <cell r="I3436">
            <v>0</v>
          </cell>
          <cell r="J3436">
            <v>101</v>
          </cell>
          <cell r="K3436">
            <v>0</v>
          </cell>
          <cell r="L3436">
            <v>101</v>
          </cell>
          <cell r="M3436">
            <v>101</v>
          </cell>
          <cell r="N3436">
            <v>101</v>
          </cell>
          <cell r="O3436">
            <v>0</v>
          </cell>
          <cell r="P3436">
            <v>0</v>
          </cell>
          <cell r="Q3436">
            <v>0</v>
          </cell>
          <cell r="R3436">
            <v>0</v>
          </cell>
          <cell r="S3436">
            <v>0</v>
          </cell>
          <cell r="T3436">
            <v>0</v>
          </cell>
          <cell r="U3436">
            <v>0</v>
          </cell>
          <cell r="V3436">
            <v>0</v>
          </cell>
          <cell r="W3436">
            <v>0</v>
          </cell>
        </row>
        <row r="3437">
          <cell r="A3437" t="str">
            <v>450197</v>
          </cell>
          <cell r="B3437" t="str">
            <v>1251</v>
          </cell>
          <cell r="C3437" t="str">
            <v>12</v>
          </cell>
          <cell r="D3437" t="str">
            <v>23</v>
          </cell>
          <cell r="E3437">
            <v>12</v>
          </cell>
          <cell r="G3437">
            <v>1528446</v>
          </cell>
          <cell r="H3437">
            <v>0</v>
          </cell>
          <cell r="I3437">
            <v>0</v>
          </cell>
          <cell r="J3437">
            <v>114791</v>
          </cell>
          <cell r="K3437">
            <v>0</v>
          </cell>
          <cell r="L3437">
            <v>114791</v>
          </cell>
          <cell r="M3437">
            <v>1643237</v>
          </cell>
          <cell r="N3437">
            <v>1582948</v>
          </cell>
          <cell r="O3437">
            <v>0</v>
          </cell>
          <cell r="P3437">
            <v>0</v>
          </cell>
          <cell r="Q3437">
            <v>0</v>
          </cell>
          <cell r="R3437">
            <v>0</v>
          </cell>
          <cell r="S3437">
            <v>0</v>
          </cell>
          <cell r="T3437">
            <v>0</v>
          </cell>
          <cell r="U3437">
            <v>0</v>
          </cell>
          <cell r="V3437">
            <v>0</v>
          </cell>
          <cell r="W3437">
            <v>0</v>
          </cell>
        </row>
        <row r="3438">
          <cell r="A3438" t="str">
            <v>450197</v>
          </cell>
          <cell r="B3438" t="str">
            <v>1251</v>
          </cell>
          <cell r="C3438" t="str">
            <v>12</v>
          </cell>
          <cell r="D3438" t="str">
            <v>23</v>
          </cell>
          <cell r="E3438">
            <v>13</v>
          </cell>
          <cell r="G3438">
            <v>4129</v>
          </cell>
          <cell r="H3438">
            <v>0</v>
          </cell>
          <cell r="I3438">
            <v>0</v>
          </cell>
          <cell r="J3438">
            <v>19501</v>
          </cell>
          <cell r="K3438">
            <v>0</v>
          </cell>
          <cell r="L3438">
            <v>19501</v>
          </cell>
          <cell r="M3438">
            <v>23630</v>
          </cell>
          <cell r="N3438">
            <v>19019</v>
          </cell>
          <cell r="O3438">
            <v>0</v>
          </cell>
          <cell r="P3438">
            <v>0</v>
          </cell>
          <cell r="Q3438">
            <v>0</v>
          </cell>
          <cell r="R3438">
            <v>0</v>
          </cell>
          <cell r="S3438">
            <v>0</v>
          </cell>
          <cell r="T3438">
            <v>0</v>
          </cell>
          <cell r="U3438">
            <v>0</v>
          </cell>
          <cell r="V3438">
            <v>0</v>
          </cell>
          <cell r="W3438">
            <v>0</v>
          </cell>
        </row>
        <row r="3439">
          <cell r="A3439" t="str">
            <v>450197</v>
          </cell>
          <cell r="B3439" t="str">
            <v>1251</v>
          </cell>
          <cell r="C3439" t="str">
            <v>12</v>
          </cell>
          <cell r="D3439" t="str">
            <v>23</v>
          </cell>
          <cell r="E3439">
            <v>14</v>
          </cell>
          <cell r="G3439">
            <v>0</v>
          </cell>
          <cell r="H3439">
            <v>0</v>
          </cell>
          <cell r="I3439">
            <v>0</v>
          </cell>
          <cell r="J3439">
            <v>0</v>
          </cell>
          <cell r="K3439">
            <v>0</v>
          </cell>
          <cell r="L3439">
            <v>0</v>
          </cell>
          <cell r="M3439">
            <v>0</v>
          </cell>
          <cell r="N3439">
            <v>0</v>
          </cell>
          <cell r="O3439">
            <v>0</v>
          </cell>
          <cell r="P3439">
            <v>0</v>
          </cell>
          <cell r="Q3439">
            <v>0</v>
          </cell>
          <cell r="R3439">
            <v>0</v>
          </cell>
          <cell r="S3439">
            <v>0</v>
          </cell>
          <cell r="T3439">
            <v>0</v>
          </cell>
          <cell r="U3439">
            <v>0</v>
          </cell>
          <cell r="V3439">
            <v>0</v>
          </cell>
          <cell r="W3439">
            <v>0</v>
          </cell>
        </row>
        <row r="3440">
          <cell r="A3440" t="str">
            <v>450197</v>
          </cell>
          <cell r="B3440" t="str">
            <v>1251</v>
          </cell>
          <cell r="C3440" t="str">
            <v>12</v>
          </cell>
          <cell r="D3440" t="str">
            <v>23</v>
          </cell>
          <cell r="E3440">
            <v>15</v>
          </cell>
          <cell r="G3440">
            <v>0</v>
          </cell>
          <cell r="H3440">
            <v>0</v>
          </cell>
          <cell r="I3440">
            <v>0</v>
          </cell>
          <cell r="J3440">
            <v>0</v>
          </cell>
          <cell r="K3440">
            <v>0</v>
          </cell>
          <cell r="L3440">
            <v>0</v>
          </cell>
          <cell r="M3440">
            <v>0</v>
          </cell>
          <cell r="N3440">
            <v>0</v>
          </cell>
          <cell r="O3440">
            <v>0</v>
          </cell>
          <cell r="P3440">
            <v>0</v>
          </cell>
          <cell r="Q3440">
            <v>0</v>
          </cell>
          <cell r="R3440">
            <v>0</v>
          </cell>
          <cell r="S3440">
            <v>0</v>
          </cell>
          <cell r="T3440">
            <v>0</v>
          </cell>
          <cell r="U3440">
            <v>0</v>
          </cell>
          <cell r="V3440">
            <v>0</v>
          </cell>
          <cell r="W3440">
            <v>0</v>
          </cell>
        </row>
        <row r="3441">
          <cell r="A3441" t="str">
            <v>450197</v>
          </cell>
          <cell r="B3441" t="str">
            <v>1251</v>
          </cell>
          <cell r="C3441" t="str">
            <v>12</v>
          </cell>
          <cell r="D3441" t="str">
            <v>23</v>
          </cell>
          <cell r="E3441">
            <v>16</v>
          </cell>
          <cell r="G3441">
            <v>0</v>
          </cell>
          <cell r="H3441">
            <v>0</v>
          </cell>
          <cell r="I3441">
            <v>0</v>
          </cell>
          <cell r="J3441">
            <v>0</v>
          </cell>
          <cell r="K3441">
            <v>0</v>
          </cell>
          <cell r="L3441">
            <v>0</v>
          </cell>
          <cell r="M3441">
            <v>0</v>
          </cell>
          <cell r="N3441">
            <v>0</v>
          </cell>
          <cell r="O3441">
            <v>0</v>
          </cell>
          <cell r="P3441">
            <v>0</v>
          </cell>
          <cell r="Q3441">
            <v>0</v>
          </cell>
          <cell r="R3441">
            <v>0</v>
          </cell>
          <cell r="S3441">
            <v>0</v>
          </cell>
          <cell r="T3441">
            <v>0</v>
          </cell>
          <cell r="U3441">
            <v>0</v>
          </cell>
          <cell r="V3441">
            <v>0</v>
          </cell>
          <cell r="W3441">
            <v>0</v>
          </cell>
        </row>
        <row r="3442">
          <cell r="A3442" t="str">
            <v>450197</v>
          </cell>
          <cell r="B3442" t="str">
            <v>1251</v>
          </cell>
          <cell r="C3442" t="str">
            <v>12</v>
          </cell>
          <cell r="D3442" t="str">
            <v>23</v>
          </cell>
          <cell r="E3442">
            <v>17</v>
          </cell>
          <cell r="G3442">
            <v>0</v>
          </cell>
          <cell r="H3442">
            <v>0</v>
          </cell>
          <cell r="I3442">
            <v>0</v>
          </cell>
          <cell r="J3442">
            <v>0</v>
          </cell>
          <cell r="K3442">
            <v>0</v>
          </cell>
          <cell r="L3442">
            <v>0</v>
          </cell>
          <cell r="M3442">
            <v>0</v>
          </cell>
          <cell r="N3442">
            <v>0</v>
          </cell>
          <cell r="O3442">
            <v>0</v>
          </cell>
          <cell r="P3442">
            <v>0</v>
          </cell>
          <cell r="Q3442">
            <v>0</v>
          </cell>
          <cell r="R3442">
            <v>0</v>
          </cell>
          <cell r="S3442">
            <v>0</v>
          </cell>
          <cell r="T3442">
            <v>0</v>
          </cell>
          <cell r="U3442">
            <v>0</v>
          </cell>
          <cell r="V3442">
            <v>0</v>
          </cell>
          <cell r="W3442">
            <v>0</v>
          </cell>
        </row>
        <row r="3443">
          <cell r="A3443" t="str">
            <v>450197</v>
          </cell>
          <cell r="B3443" t="str">
            <v>1251</v>
          </cell>
          <cell r="C3443" t="str">
            <v>12</v>
          </cell>
          <cell r="D3443" t="str">
            <v>23</v>
          </cell>
          <cell r="E3443">
            <v>18</v>
          </cell>
          <cell r="G3443">
            <v>0</v>
          </cell>
          <cell r="H3443">
            <v>0</v>
          </cell>
          <cell r="I3443">
            <v>0</v>
          </cell>
          <cell r="J3443">
            <v>0</v>
          </cell>
          <cell r="K3443">
            <v>0</v>
          </cell>
          <cell r="L3443">
            <v>0</v>
          </cell>
          <cell r="M3443">
            <v>0</v>
          </cell>
          <cell r="N3443">
            <v>0</v>
          </cell>
          <cell r="O3443">
            <v>0</v>
          </cell>
          <cell r="P3443">
            <v>0</v>
          </cell>
          <cell r="Q3443">
            <v>0</v>
          </cell>
          <cell r="R3443">
            <v>0</v>
          </cell>
          <cell r="S3443">
            <v>0</v>
          </cell>
          <cell r="T3443">
            <v>0</v>
          </cell>
          <cell r="U3443">
            <v>0</v>
          </cell>
          <cell r="V3443">
            <v>0</v>
          </cell>
          <cell r="W3443">
            <v>0</v>
          </cell>
        </row>
        <row r="3444">
          <cell r="A3444" t="str">
            <v>450197</v>
          </cell>
          <cell r="B3444" t="str">
            <v>1251</v>
          </cell>
          <cell r="C3444" t="str">
            <v>12</v>
          </cell>
          <cell r="D3444" t="str">
            <v>23</v>
          </cell>
          <cell r="E3444">
            <v>19</v>
          </cell>
          <cell r="G3444">
            <v>0</v>
          </cell>
          <cell r="H3444">
            <v>0</v>
          </cell>
          <cell r="I3444">
            <v>0</v>
          </cell>
          <cell r="J3444">
            <v>0</v>
          </cell>
          <cell r="K3444">
            <v>0</v>
          </cell>
          <cell r="L3444">
            <v>0</v>
          </cell>
          <cell r="M3444">
            <v>0</v>
          </cell>
          <cell r="N3444">
            <v>0</v>
          </cell>
          <cell r="O3444">
            <v>0</v>
          </cell>
          <cell r="P3444">
            <v>0</v>
          </cell>
          <cell r="Q3444">
            <v>0</v>
          </cell>
          <cell r="R3444">
            <v>0</v>
          </cell>
          <cell r="S3444">
            <v>0</v>
          </cell>
          <cell r="T3444">
            <v>0</v>
          </cell>
          <cell r="U3444">
            <v>0</v>
          </cell>
          <cell r="V3444">
            <v>0</v>
          </cell>
          <cell r="W3444">
            <v>0</v>
          </cell>
        </row>
        <row r="3445">
          <cell r="A3445" t="str">
            <v>450197</v>
          </cell>
          <cell r="B3445" t="str">
            <v>1251</v>
          </cell>
          <cell r="C3445" t="str">
            <v>12</v>
          </cell>
          <cell r="D3445" t="str">
            <v>23</v>
          </cell>
          <cell r="E3445">
            <v>20</v>
          </cell>
          <cell r="G3445">
            <v>0</v>
          </cell>
          <cell r="H3445">
            <v>0</v>
          </cell>
          <cell r="I3445">
            <v>0</v>
          </cell>
          <cell r="J3445">
            <v>0</v>
          </cell>
          <cell r="K3445">
            <v>0</v>
          </cell>
          <cell r="L3445">
            <v>0</v>
          </cell>
          <cell r="M3445">
            <v>0</v>
          </cell>
          <cell r="N3445">
            <v>0</v>
          </cell>
          <cell r="O3445">
            <v>0</v>
          </cell>
          <cell r="P3445">
            <v>0</v>
          </cell>
          <cell r="Q3445">
            <v>0</v>
          </cell>
          <cell r="R3445">
            <v>0</v>
          </cell>
          <cell r="S3445">
            <v>0</v>
          </cell>
          <cell r="T3445">
            <v>0</v>
          </cell>
          <cell r="U3445">
            <v>0</v>
          </cell>
          <cell r="V3445">
            <v>0</v>
          </cell>
          <cell r="W3445">
            <v>0</v>
          </cell>
        </row>
        <row r="3446">
          <cell r="A3446" t="str">
            <v>450197</v>
          </cell>
          <cell r="B3446" t="str">
            <v>1251</v>
          </cell>
          <cell r="C3446" t="str">
            <v>12</v>
          </cell>
          <cell r="D3446" t="str">
            <v>23</v>
          </cell>
          <cell r="E3446">
            <v>21</v>
          </cell>
          <cell r="G3446">
            <v>0</v>
          </cell>
          <cell r="H3446">
            <v>0</v>
          </cell>
          <cell r="I3446">
            <v>0</v>
          </cell>
          <cell r="J3446">
            <v>0</v>
          </cell>
          <cell r="K3446">
            <v>0</v>
          </cell>
          <cell r="L3446">
            <v>0</v>
          </cell>
          <cell r="M3446">
            <v>0</v>
          </cell>
          <cell r="N3446">
            <v>0</v>
          </cell>
          <cell r="O3446">
            <v>0</v>
          </cell>
          <cell r="P3446">
            <v>0</v>
          </cell>
          <cell r="Q3446">
            <v>0</v>
          </cell>
          <cell r="R3446">
            <v>0</v>
          </cell>
          <cell r="S3446">
            <v>0</v>
          </cell>
          <cell r="T3446">
            <v>0</v>
          </cell>
          <cell r="U3446">
            <v>0</v>
          </cell>
          <cell r="V3446">
            <v>0</v>
          </cell>
          <cell r="W3446">
            <v>0</v>
          </cell>
        </row>
        <row r="3447">
          <cell r="A3447" t="str">
            <v>450197</v>
          </cell>
          <cell r="B3447" t="str">
            <v>1251</v>
          </cell>
          <cell r="C3447" t="str">
            <v>12</v>
          </cell>
          <cell r="D3447" t="str">
            <v>23</v>
          </cell>
          <cell r="E3447">
            <v>22</v>
          </cell>
          <cell r="G3447">
            <v>4129</v>
          </cell>
          <cell r="H3447">
            <v>0</v>
          </cell>
          <cell r="I3447">
            <v>0</v>
          </cell>
          <cell r="J3447">
            <v>19501</v>
          </cell>
          <cell r="K3447">
            <v>0</v>
          </cell>
          <cell r="L3447">
            <v>19501</v>
          </cell>
          <cell r="M3447">
            <v>23630</v>
          </cell>
          <cell r="N3447">
            <v>19019</v>
          </cell>
          <cell r="O3447">
            <v>0</v>
          </cell>
          <cell r="P3447">
            <v>0</v>
          </cell>
          <cell r="Q3447">
            <v>0</v>
          </cell>
          <cell r="R3447">
            <v>0</v>
          </cell>
          <cell r="S3447">
            <v>0</v>
          </cell>
          <cell r="T3447">
            <v>0</v>
          </cell>
          <cell r="U3447">
            <v>0</v>
          </cell>
          <cell r="V3447">
            <v>0</v>
          </cell>
          <cell r="W3447">
            <v>0</v>
          </cell>
        </row>
        <row r="3448">
          <cell r="A3448" t="str">
            <v>450197</v>
          </cell>
          <cell r="B3448" t="str">
            <v>1251</v>
          </cell>
          <cell r="C3448" t="str">
            <v>12</v>
          </cell>
          <cell r="D3448" t="str">
            <v>23</v>
          </cell>
          <cell r="E3448">
            <v>23</v>
          </cell>
          <cell r="G3448">
            <v>0</v>
          </cell>
          <cell r="H3448">
            <v>0</v>
          </cell>
          <cell r="I3448">
            <v>0</v>
          </cell>
          <cell r="J3448">
            <v>0</v>
          </cell>
          <cell r="K3448">
            <v>0</v>
          </cell>
          <cell r="L3448">
            <v>0</v>
          </cell>
          <cell r="M3448">
            <v>0</v>
          </cell>
          <cell r="N3448">
            <v>0</v>
          </cell>
          <cell r="O3448">
            <v>0</v>
          </cell>
          <cell r="P3448">
            <v>0</v>
          </cell>
          <cell r="Q3448">
            <v>0</v>
          </cell>
          <cell r="R3448">
            <v>0</v>
          </cell>
          <cell r="S3448">
            <v>0</v>
          </cell>
          <cell r="T3448">
            <v>0</v>
          </cell>
          <cell r="U3448">
            <v>0</v>
          </cell>
          <cell r="V3448">
            <v>0</v>
          </cell>
          <cell r="W3448">
            <v>0</v>
          </cell>
        </row>
        <row r="3449">
          <cell r="A3449" t="str">
            <v>450197</v>
          </cell>
          <cell r="B3449" t="str">
            <v>1251</v>
          </cell>
          <cell r="C3449" t="str">
            <v>12</v>
          </cell>
          <cell r="D3449" t="str">
            <v>23</v>
          </cell>
          <cell r="E3449">
            <v>24</v>
          </cell>
          <cell r="G3449">
            <v>0</v>
          </cell>
          <cell r="H3449">
            <v>0</v>
          </cell>
          <cell r="I3449">
            <v>0</v>
          </cell>
          <cell r="J3449">
            <v>0</v>
          </cell>
          <cell r="K3449">
            <v>0</v>
          </cell>
          <cell r="L3449">
            <v>0</v>
          </cell>
          <cell r="M3449">
            <v>0</v>
          </cell>
          <cell r="N3449">
            <v>0</v>
          </cell>
          <cell r="O3449">
            <v>0</v>
          </cell>
          <cell r="P3449">
            <v>0</v>
          </cell>
          <cell r="Q3449">
            <v>0</v>
          </cell>
          <cell r="R3449">
            <v>0</v>
          </cell>
          <cell r="S3449">
            <v>0</v>
          </cell>
          <cell r="T3449">
            <v>0</v>
          </cell>
          <cell r="U3449">
            <v>0</v>
          </cell>
          <cell r="V3449">
            <v>0</v>
          </cell>
          <cell r="W3449">
            <v>0</v>
          </cell>
        </row>
        <row r="3450">
          <cell r="A3450" t="str">
            <v>450197</v>
          </cell>
          <cell r="B3450" t="str">
            <v>1251</v>
          </cell>
          <cell r="C3450" t="str">
            <v>12</v>
          </cell>
          <cell r="D3450" t="str">
            <v>23</v>
          </cell>
          <cell r="E3450">
            <v>25</v>
          </cell>
          <cell r="G3450">
            <v>0</v>
          </cell>
          <cell r="H3450">
            <v>0</v>
          </cell>
          <cell r="I3450">
            <v>0</v>
          </cell>
          <cell r="J3450">
            <v>0</v>
          </cell>
          <cell r="K3450">
            <v>0</v>
          </cell>
          <cell r="L3450">
            <v>0</v>
          </cell>
          <cell r="M3450">
            <v>0</v>
          </cell>
          <cell r="N3450">
            <v>0</v>
          </cell>
          <cell r="O3450">
            <v>0</v>
          </cell>
          <cell r="P3450">
            <v>0</v>
          </cell>
          <cell r="Q3450">
            <v>0</v>
          </cell>
          <cell r="R3450">
            <v>0</v>
          </cell>
          <cell r="S3450">
            <v>0</v>
          </cell>
          <cell r="T3450">
            <v>0</v>
          </cell>
          <cell r="U3450">
            <v>0</v>
          </cell>
          <cell r="V3450">
            <v>0</v>
          </cell>
          <cell r="W3450">
            <v>0</v>
          </cell>
        </row>
        <row r="3451">
          <cell r="A3451" t="str">
            <v>450197</v>
          </cell>
          <cell r="B3451" t="str">
            <v>1251</v>
          </cell>
          <cell r="C3451" t="str">
            <v>12</v>
          </cell>
          <cell r="D3451" t="str">
            <v>23</v>
          </cell>
          <cell r="E3451">
            <v>26</v>
          </cell>
          <cell r="G3451">
            <v>1532575</v>
          </cell>
          <cell r="H3451">
            <v>0</v>
          </cell>
          <cell r="I3451">
            <v>0</v>
          </cell>
          <cell r="J3451">
            <v>134292</v>
          </cell>
          <cell r="K3451">
            <v>0</v>
          </cell>
          <cell r="L3451">
            <v>134292</v>
          </cell>
          <cell r="M3451">
            <v>1666867</v>
          </cell>
          <cell r="N3451">
            <v>1601967</v>
          </cell>
          <cell r="O3451">
            <v>0</v>
          </cell>
          <cell r="P3451">
            <v>0</v>
          </cell>
          <cell r="Q3451">
            <v>0</v>
          </cell>
          <cell r="R3451">
            <v>0</v>
          </cell>
          <cell r="S3451">
            <v>0</v>
          </cell>
          <cell r="T3451">
            <v>0</v>
          </cell>
          <cell r="U3451">
            <v>0</v>
          </cell>
          <cell r="V3451">
            <v>0</v>
          </cell>
          <cell r="W3451">
            <v>0</v>
          </cell>
        </row>
        <row r="3452">
          <cell r="A3452" t="str">
            <v>450197</v>
          </cell>
          <cell r="B3452" t="str">
            <v>1251</v>
          </cell>
          <cell r="C3452" t="str">
            <v>12</v>
          </cell>
          <cell r="D3452" t="str">
            <v>23</v>
          </cell>
          <cell r="E3452">
            <v>27</v>
          </cell>
          <cell r="G3452">
            <v>0</v>
          </cell>
          <cell r="H3452">
            <v>0</v>
          </cell>
          <cell r="I3452">
            <v>0</v>
          </cell>
          <cell r="J3452">
            <v>0</v>
          </cell>
          <cell r="K3452">
            <v>0</v>
          </cell>
          <cell r="L3452">
            <v>0</v>
          </cell>
          <cell r="M3452">
            <v>0</v>
          </cell>
          <cell r="N3452">
            <v>0</v>
          </cell>
          <cell r="O3452">
            <v>0</v>
          </cell>
          <cell r="P3452">
            <v>0</v>
          </cell>
          <cell r="Q3452">
            <v>0</v>
          </cell>
          <cell r="R3452">
            <v>0</v>
          </cell>
          <cell r="S3452">
            <v>0</v>
          </cell>
          <cell r="T3452">
            <v>0</v>
          </cell>
          <cell r="U3452">
            <v>0</v>
          </cell>
          <cell r="V3452">
            <v>0</v>
          </cell>
          <cell r="W3452">
            <v>0</v>
          </cell>
        </row>
        <row r="3453">
          <cell r="A3453" t="str">
            <v>450197</v>
          </cell>
          <cell r="B3453" t="str">
            <v>1251</v>
          </cell>
          <cell r="C3453" t="str">
            <v>12</v>
          </cell>
          <cell r="D3453" t="str">
            <v>23</v>
          </cell>
          <cell r="E3453">
            <v>28</v>
          </cell>
          <cell r="G3453">
            <v>0</v>
          </cell>
          <cell r="H3453">
            <v>0</v>
          </cell>
          <cell r="I3453">
            <v>0</v>
          </cell>
          <cell r="J3453">
            <v>0</v>
          </cell>
          <cell r="K3453">
            <v>0</v>
          </cell>
          <cell r="L3453">
            <v>0</v>
          </cell>
          <cell r="M3453">
            <v>0</v>
          </cell>
          <cell r="N3453">
            <v>-11036</v>
          </cell>
          <cell r="O3453">
            <v>0</v>
          </cell>
          <cell r="P3453">
            <v>0</v>
          </cell>
          <cell r="Q3453">
            <v>0</v>
          </cell>
          <cell r="R3453">
            <v>0</v>
          </cell>
          <cell r="S3453">
            <v>0</v>
          </cell>
          <cell r="T3453">
            <v>0</v>
          </cell>
          <cell r="U3453">
            <v>0</v>
          </cell>
          <cell r="V3453">
            <v>0</v>
          </cell>
          <cell r="W3453">
            <v>0</v>
          </cell>
        </row>
        <row r="3454">
          <cell r="A3454" t="str">
            <v>450197</v>
          </cell>
          <cell r="B3454" t="str">
            <v>1251</v>
          </cell>
          <cell r="C3454" t="str">
            <v>12</v>
          </cell>
          <cell r="D3454" t="str">
            <v>23</v>
          </cell>
          <cell r="E3454">
            <v>29</v>
          </cell>
          <cell r="G3454">
            <v>1532575</v>
          </cell>
          <cell r="H3454">
            <v>0</v>
          </cell>
          <cell r="I3454">
            <v>0</v>
          </cell>
          <cell r="J3454">
            <v>134292</v>
          </cell>
          <cell r="K3454">
            <v>0</v>
          </cell>
          <cell r="L3454">
            <v>134292</v>
          </cell>
          <cell r="M3454">
            <v>1666867</v>
          </cell>
          <cell r="N3454">
            <v>1590931</v>
          </cell>
          <cell r="O3454">
            <v>0</v>
          </cell>
          <cell r="P3454">
            <v>0</v>
          </cell>
          <cell r="Q3454">
            <v>0</v>
          </cell>
          <cell r="R3454">
            <v>0</v>
          </cell>
          <cell r="S3454">
            <v>0</v>
          </cell>
          <cell r="T3454">
            <v>0</v>
          </cell>
          <cell r="U3454">
            <v>0</v>
          </cell>
          <cell r="V3454">
            <v>0</v>
          </cell>
          <cell r="W3454">
            <v>0</v>
          </cell>
        </row>
        <row r="3455">
          <cell r="A3455" t="str">
            <v>450197</v>
          </cell>
          <cell r="B3455" t="str">
            <v>1251</v>
          </cell>
          <cell r="C3455" t="str">
            <v>12</v>
          </cell>
          <cell r="D3455" t="str">
            <v>23</v>
          </cell>
          <cell r="E3455">
            <v>30</v>
          </cell>
          <cell r="G3455">
            <v>131855</v>
          </cell>
          <cell r="H3455">
            <v>0</v>
          </cell>
          <cell r="I3455">
            <v>0</v>
          </cell>
          <cell r="J3455">
            <v>27896</v>
          </cell>
          <cell r="K3455">
            <v>0</v>
          </cell>
          <cell r="L3455">
            <v>27896</v>
          </cell>
          <cell r="M3455">
            <v>159751</v>
          </cell>
          <cell r="N3455">
            <v>158976</v>
          </cell>
          <cell r="O3455">
            <v>0</v>
          </cell>
          <cell r="P3455">
            <v>0</v>
          </cell>
          <cell r="Q3455">
            <v>0</v>
          </cell>
          <cell r="R3455">
            <v>0</v>
          </cell>
          <cell r="S3455">
            <v>0</v>
          </cell>
          <cell r="T3455">
            <v>0</v>
          </cell>
          <cell r="U3455">
            <v>0</v>
          </cell>
          <cell r="V3455">
            <v>0</v>
          </cell>
          <cell r="W3455">
            <v>0</v>
          </cell>
        </row>
        <row r="3456">
          <cell r="A3456" t="str">
            <v>450197</v>
          </cell>
          <cell r="B3456" t="str">
            <v>1251</v>
          </cell>
          <cell r="C3456" t="str">
            <v>12</v>
          </cell>
          <cell r="D3456" t="str">
            <v>23</v>
          </cell>
          <cell r="E3456">
            <v>31</v>
          </cell>
          <cell r="G3456">
            <v>0</v>
          </cell>
          <cell r="H3456">
            <v>0</v>
          </cell>
          <cell r="I3456">
            <v>0</v>
          </cell>
          <cell r="J3456">
            <v>12270</v>
          </cell>
          <cell r="K3456">
            <v>0</v>
          </cell>
          <cell r="L3456">
            <v>12270</v>
          </cell>
          <cell r="M3456">
            <v>12270</v>
          </cell>
          <cell r="N3456">
            <v>12271</v>
          </cell>
          <cell r="O3456">
            <v>0</v>
          </cell>
          <cell r="P3456">
            <v>0</v>
          </cell>
          <cell r="Q3456">
            <v>0</v>
          </cell>
          <cell r="R3456">
            <v>0</v>
          </cell>
          <cell r="S3456">
            <v>0</v>
          </cell>
          <cell r="T3456">
            <v>0</v>
          </cell>
          <cell r="U3456">
            <v>0</v>
          </cell>
          <cell r="V3456">
            <v>0</v>
          </cell>
          <cell r="W3456">
            <v>0</v>
          </cell>
        </row>
        <row r="3457">
          <cell r="A3457" t="str">
            <v>450197</v>
          </cell>
          <cell r="B3457" t="str">
            <v>1251</v>
          </cell>
          <cell r="C3457" t="str">
            <v>12</v>
          </cell>
          <cell r="D3457" t="str">
            <v>23</v>
          </cell>
          <cell r="E3457">
            <v>32</v>
          </cell>
          <cell r="G3457">
            <v>0</v>
          </cell>
          <cell r="H3457">
            <v>0</v>
          </cell>
          <cell r="I3457">
            <v>0</v>
          </cell>
          <cell r="J3457">
            <v>0</v>
          </cell>
          <cell r="K3457">
            <v>0</v>
          </cell>
          <cell r="L3457">
            <v>0</v>
          </cell>
          <cell r="M3457">
            <v>0</v>
          </cell>
          <cell r="N3457">
            <v>0</v>
          </cell>
          <cell r="O3457">
            <v>0</v>
          </cell>
          <cell r="P3457">
            <v>0</v>
          </cell>
          <cell r="Q3457">
            <v>0</v>
          </cell>
          <cell r="R3457">
            <v>0</v>
          </cell>
          <cell r="S3457">
            <v>0</v>
          </cell>
          <cell r="T3457">
            <v>0</v>
          </cell>
          <cell r="U3457">
            <v>0</v>
          </cell>
          <cell r="V3457">
            <v>0</v>
          </cell>
          <cell r="W3457">
            <v>0</v>
          </cell>
        </row>
        <row r="3458">
          <cell r="A3458" t="str">
            <v>450197</v>
          </cell>
          <cell r="B3458" t="str">
            <v>1251</v>
          </cell>
          <cell r="C3458" t="str">
            <v>12</v>
          </cell>
          <cell r="D3458" t="str">
            <v>23</v>
          </cell>
          <cell r="E3458">
            <v>33</v>
          </cell>
          <cell r="G3458">
            <v>0</v>
          </cell>
          <cell r="H3458">
            <v>0</v>
          </cell>
          <cell r="I3458">
            <v>0</v>
          </cell>
          <cell r="J3458">
            <v>0</v>
          </cell>
          <cell r="K3458">
            <v>0</v>
          </cell>
          <cell r="L3458">
            <v>0</v>
          </cell>
          <cell r="M3458">
            <v>0</v>
          </cell>
          <cell r="N3458">
            <v>0</v>
          </cell>
          <cell r="O3458">
            <v>0</v>
          </cell>
          <cell r="P3458">
            <v>0</v>
          </cell>
          <cell r="Q3458">
            <v>0</v>
          </cell>
          <cell r="R3458">
            <v>0</v>
          </cell>
          <cell r="S3458">
            <v>0</v>
          </cell>
          <cell r="T3458">
            <v>0</v>
          </cell>
          <cell r="U3458">
            <v>0</v>
          </cell>
          <cell r="V3458">
            <v>0</v>
          </cell>
          <cell r="W3458">
            <v>0</v>
          </cell>
        </row>
        <row r="3459">
          <cell r="A3459" t="str">
            <v>450197</v>
          </cell>
          <cell r="B3459" t="str">
            <v>1251</v>
          </cell>
          <cell r="C3459" t="str">
            <v>12</v>
          </cell>
          <cell r="D3459" t="str">
            <v>23</v>
          </cell>
          <cell r="E3459">
            <v>34</v>
          </cell>
          <cell r="G3459">
            <v>1400720</v>
          </cell>
          <cell r="H3459">
            <v>0</v>
          </cell>
          <cell r="I3459">
            <v>0</v>
          </cell>
          <cell r="J3459">
            <v>78887</v>
          </cell>
          <cell r="K3459">
            <v>0</v>
          </cell>
          <cell r="L3459">
            <v>78887</v>
          </cell>
          <cell r="M3459">
            <v>1479607</v>
          </cell>
          <cell r="N3459">
            <v>1424612</v>
          </cell>
          <cell r="O3459">
            <v>0</v>
          </cell>
          <cell r="P3459">
            <v>0</v>
          </cell>
          <cell r="Q3459">
            <v>0</v>
          </cell>
          <cell r="R3459">
            <v>0</v>
          </cell>
          <cell r="S3459">
            <v>0</v>
          </cell>
          <cell r="T3459">
            <v>0</v>
          </cell>
          <cell r="U3459">
            <v>0</v>
          </cell>
          <cell r="V3459">
            <v>0</v>
          </cell>
          <cell r="W3459">
            <v>0</v>
          </cell>
        </row>
        <row r="3460">
          <cell r="A3460" t="str">
            <v>450197</v>
          </cell>
          <cell r="B3460" t="str">
            <v>1251</v>
          </cell>
          <cell r="C3460" t="str">
            <v>12</v>
          </cell>
          <cell r="D3460" t="str">
            <v>23</v>
          </cell>
          <cell r="E3460">
            <v>35</v>
          </cell>
          <cell r="G3460">
            <v>0</v>
          </cell>
          <cell r="H3460">
            <v>0</v>
          </cell>
          <cell r="I3460">
            <v>0</v>
          </cell>
          <cell r="J3460">
            <v>15239</v>
          </cell>
          <cell r="K3460">
            <v>0</v>
          </cell>
          <cell r="L3460">
            <v>15239</v>
          </cell>
          <cell r="M3460">
            <v>15239</v>
          </cell>
          <cell r="N3460">
            <v>15240</v>
          </cell>
          <cell r="O3460">
            <v>0</v>
          </cell>
          <cell r="P3460">
            <v>0</v>
          </cell>
          <cell r="Q3460">
            <v>0</v>
          </cell>
          <cell r="R3460">
            <v>0</v>
          </cell>
          <cell r="S3460">
            <v>0</v>
          </cell>
          <cell r="T3460">
            <v>0</v>
          </cell>
          <cell r="U3460">
            <v>0</v>
          </cell>
          <cell r="V3460">
            <v>0</v>
          </cell>
          <cell r="W3460">
            <v>0</v>
          </cell>
        </row>
        <row r="3461">
          <cell r="A3461" t="str">
            <v>450197</v>
          </cell>
          <cell r="B3461" t="str">
            <v>1251</v>
          </cell>
          <cell r="C3461" t="str">
            <v>12</v>
          </cell>
          <cell r="D3461" t="str">
            <v>23</v>
          </cell>
          <cell r="E3461">
            <v>36</v>
          </cell>
          <cell r="G3461">
            <v>1532575</v>
          </cell>
          <cell r="H3461">
            <v>0</v>
          </cell>
          <cell r="I3461">
            <v>0</v>
          </cell>
          <cell r="J3461">
            <v>134292</v>
          </cell>
          <cell r="K3461">
            <v>0</v>
          </cell>
          <cell r="L3461">
            <v>134292</v>
          </cell>
          <cell r="M3461">
            <v>1666867</v>
          </cell>
          <cell r="N3461">
            <v>1611099</v>
          </cell>
          <cell r="O3461">
            <v>0</v>
          </cell>
          <cell r="P3461">
            <v>0</v>
          </cell>
          <cell r="Q3461">
            <v>0</v>
          </cell>
          <cell r="R3461">
            <v>0</v>
          </cell>
          <cell r="S3461">
            <v>0</v>
          </cell>
          <cell r="T3461">
            <v>0</v>
          </cell>
          <cell r="U3461">
            <v>0</v>
          </cell>
          <cell r="V3461">
            <v>0</v>
          </cell>
          <cell r="W3461">
            <v>0</v>
          </cell>
        </row>
        <row r="3462">
          <cell r="A3462" t="str">
            <v>450197</v>
          </cell>
          <cell r="B3462" t="str">
            <v>1251</v>
          </cell>
          <cell r="C3462" t="str">
            <v>12</v>
          </cell>
          <cell r="D3462" t="str">
            <v>23</v>
          </cell>
          <cell r="E3462">
            <v>37</v>
          </cell>
          <cell r="G3462">
            <v>0</v>
          </cell>
          <cell r="H3462">
            <v>0</v>
          </cell>
          <cell r="I3462">
            <v>0</v>
          </cell>
          <cell r="J3462">
            <v>0</v>
          </cell>
          <cell r="K3462">
            <v>0</v>
          </cell>
          <cell r="L3462">
            <v>0</v>
          </cell>
          <cell r="M3462">
            <v>0</v>
          </cell>
          <cell r="N3462">
            <v>0</v>
          </cell>
          <cell r="O3462">
            <v>0</v>
          </cell>
          <cell r="P3462">
            <v>0</v>
          </cell>
          <cell r="Q3462">
            <v>0</v>
          </cell>
          <cell r="R3462">
            <v>0</v>
          </cell>
          <cell r="S3462">
            <v>0</v>
          </cell>
          <cell r="T3462">
            <v>0</v>
          </cell>
          <cell r="U3462">
            <v>0</v>
          </cell>
          <cell r="V3462">
            <v>0</v>
          </cell>
          <cell r="W3462">
            <v>0</v>
          </cell>
        </row>
        <row r="3463">
          <cell r="A3463" t="str">
            <v>450197</v>
          </cell>
          <cell r="B3463" t="str">
            <v>1251</v>
          </cell>
          <cell r="C3463" t="str">
            <v>12</v>
          </cell>
          <cell r="D3463" t="str">
            <v>23</v>
          </cell>
          <cell r="E3463">
            <v>38</v>
          </cell>
          <cell r="G3463">
            <v>0</v>
          </cell>
          <cell r="H3463">
            <v>0</v>
          </cell>
          <cell r="I3463">
            <v>0</v>
          </cell>
          <cell r="J3463">
            <v>0</v>
          </cell>
          <cell r="K3463">
            <v>0</v>
          </cell>
          <cell r="L3463">
            <v>0</v>
          </cell>
          <cell r="M3463">
            <v>0</v>
          </cell>
          <cell r="N3463">
            <v>-77</v>
          </cell>
          <cell r="O3463">
            <v>0</v>
          </cell>
          <cell r="P3463">
            <v>0</v>
          </cell>
          <cell r="Q3463">
            <v>0</v>
          </cell>
          <cell r="R3463">
            <v>0</v>
          </cell>
          <cell r="S3463">
            <v>0</v>
          </cell>
          <cell r="T3463">
            <v>0</v>
          </cell>
          <cell r="U3463">
            <v>0</v>
          </cell>
          <cell r="V3463">
            <v>0</v>
          </cell>
          <cell r="W3463">
            <v>0</v>
          </cell>
        </row>
        <row r="3464">
          <cell r="A3464" t="str">
            <v>450197</v>
          </cell>
          <cell r="B3464" t="str">
            <v>1251</v>
          </cell>
          <cell r="C3464" t="str">
            <v>12</v>
          </cell>
          <cell r="D3464" t="str">
            <v>23</v>
          </cell>
          <cell r="E3464">
            <v>39</v>
          </cell>
          <cell r="G3464">
            <v>1532575</v>
          </cell>
          <cell r="H3464">
            <v>0</v>
          </cell>
          <cell r="I3464">
            <v>0</v>
          </cell>
          <cell r="J3464">
            <v>134292</v>
          </cell>
          <cell r="K3464">
            <v>0</v>
          </cell>
          <cell r="L3464">
            <v>134292</v>
          </cell>
          <cell r="M3464">
            <v>1666867</v>
          </cell>
          <cell r="N3464">
            <v>1611022</v>
          </cell>
          <cell r="O3464">
            <v>0</v>
          </cell>
          <cell r="P3464">
            <v>0</v>
          </cell>
          <cell r="Q3464">
            <v>0</v>
          </cell>
          <cell r="R3464">
            <v>0</v>
          </cell>
          <cell r="S3464">
            <v>0</v>
          </cell>
          <cell r="T3464">
            <v>0</v>
          </cell>
          <cell r="U3464">
            <v>0</v>
          </cell>
          <cell r="V3464">
            <v>0</v>
          </cell>
          <cell r="W3464">
            <v>0</v>
          </cell>
        </row>
        <row r="3465">
          <cell r="A3465" t="str">
            <v>450197</v>
          </cell>
          <cell r="B3465" t="str">
            <v>1251</v>
          </cell>
          <cell r="C3465" t="str">
            <v>12</v>
          </cell>
          <cell r="D3465" t="str">
            <v>24</v>
          </cell>
          <cell r="E3465">
            <v>1</v>
          </cell>
          <cell r="G3465">
            <v>1047</v>
          </cell>
          <cell r="H3465">
            <v>0</v>
          </cell>
          <cell r="I3465">
            <v>349</v>
          </cell>
          <cell r="J3465">
            <v>0</v>
          </cell>
          <cell r="K3465">
            <v>1396</v>
          </cell>
          <cell r="L3465">
            <v>1595782</v>
          </cell>
          <cell r="M3465">
            <v>1590931</v>
          </cell>
          <cell r="N3465">
            <v>5834</v>
          </cell>
          <cell r="O3465">
            <v>0</v>
          </cell>
          <cell r="P3465">
            <v>413</v>
          </cell>
          <cell r="Q3465">
            <v>0</v>
          </cell>
          <cell r="R3465">
            <v>6247</v>
          </cell>
          <cell r="S3465">
            <v>0</v>
          </cell>
          <cell r="T3465">
            <v>0</v>
          </cell>
          <cell r="U3465">
            <v>0</v>
          </cell>
          <cell r="V3465">
            <v>0</v>
          </cell>
          <cell r="W3465">
            <v>0</v>
          </cell>
        </row>
        <row r="3466">
          <cell r="A3466" t="str">
            <v>450197</v>
          </cell>
          <cell r="B3466" t="str">
            <v>1251</v>
          </cell>
          <cell r="C3466" t="str">
            <v>12</v>
          </cell>
          <cell r="D3466" t="str">
            <v>29</v>
          </cell>
          <cell r="E3466">
            <v>1</v>
          </cell>
          <cell r="G3466">
            <v>1047</v>
          </cell>
          <cell r="H3466">
            <v>5834</v>
          </cell>
          <cell r="I3466">
            <v>349</v>
          </cell>
          <cell r="J3466">
            <v>413</v>
          </cell>
          <cell r="K3466">
            <v>1396</v>
          </cell>
          <cell r="L3466">
            <v>6247</v>
          </cell>
          <cell r="M3466">
            <v>8646</v>
          </cell>
          <cell r="N3466">
            <v>0</v>
          </cell>
          <cell r="O3466">
            <v>0</v>
          </cell>
          <cell r="P3466">
            <v>0</v>
          </cell>
          <cell r="Q3466">
            <v>6582</v>
          </cell>
          <cell r="R3466">
            <v>4166</v>
          </cell>
          <cell r="S3466">
            <v>1401</v>
          </cell>
          <cell r="T3466">
            <v>1324</v>
          </cell>
          <cell r="U3466">
            <v>16</v>
          </cell>
          <cell r="V3466">
            <v>42</v>
          </cell>
          <cell r="W3466">
            <v>0</v>
          </cell>
        </row>
        <row r="3467">
          <cell r="A3467" t="str">
            <v>450197</v>
          </cell>
          <cell r="B3467" t="str">
            <v>1251</v>
          </cell>
          <cell r="C3467" t="str">
            <v>12</v>
          </cell>
          <cell r="D3467" t="str">
            <v>29</v>
          </cell>
          <cell r="E3467">
            <v>9</v>
          </cell>
          <cell r="G3467">
            <v>0</v>
          </cell>
          <cell r="H3467">
            <v>0</v>
          </cell>
          <cell r="I3467">
            <v>13843</v>
          </cell>
          <cell r="J3467">
            <v>2884</v>
          </cell>
          <cell r="K3467">
            <v>0</v>
          </cell>
          <cell r="L3467">
            <v>0</v>
          </cell>
          <cell r="M3467">
            <v>0</v>
          </cell>
          <cell r="N3467">
            <v>0</v>
          </cell>
          <cell r="O3467">
            <v>15239</v>
          </cell>
          <cell r="P3467">
            <v>9131</v>
          </cell>
          <cell r="Q3467">
            <v>0</v>
          </cell>
          <cell r="R3467">
            <v>0</v>
          </cell>
          <cell r="S3467">
            <v>0</v>
          </cell>
          <cell r="T3467">
            <v>0</v>
          </cell>
          <cell r="U3467">
            <v>74208</v>
          </cell>
          <cell r="V3467">
            <v>54995</v>
          </cell>
          <cell r="W3467">
            <v>0</v>
          </cell>
        </row>
        <row r="3468">
          <cell r="A3468" t="str">
            <v>450197</v>
          </cell>
          <cell r="B3468" t="str">
            <v>1251</v>
          </cell>
          <cell r="C3468" t="str">
            <v>12</v>
          </cell>
          <cell r="D3468" t="str">
            <v>29</v>
          </cell>
          <cell r="E3468">
            <v>17</v>
          </cell>
          <cell r="G3468">
            <v>0</v>
          </cell>
          <cell r="H3468">
            <v>0</v>
          </cell>
          <cell r="I3468">
            <v>0</v>
          </cell>
          <cell r="J3468">
            <v>0</v>
          </cell>
          <cell r="K3468">
            <v>89447</v>
          </cell>
          <cell r="L3468">
            <v>64126</v>
          </cell>
          <cell r="M3468">
            <v>0</v>
          </cell>
          <cell r="N3468">
            <v>0</v>
          </cell>
          <cell r="O3468">
            <v>0</v>
          </cell>
          <cell r="P3468">
            <v>0</v>
          </cell>
          <cell r="Q3468">
            <v>89447</v>
          </cell>
          <cell r="R3468">
            <v>64126</v>
          </cell>
          <cell r="S3468">
            <v>0</v>
          </cell>
          <cell r="T3468">
            <v>0</v>
          </cell>
          <cell r="U3468">
            <v>89447</v>
          </cell>
          <cell r="V3468">
            <v>64126</v>
          </cell>
          <cell r="W3468">
            <v>0</v>
          </cell>
        </row>
        <row r="3469">
          <cell r="A3469" t="str">
            <v>450197</v>
          </cell>
          <cell r="B3469" t="str">
            <v>1251</v>
          </cell>
          <cell r="C3469" t="str">
            <v>12</v>
          </cell>
          <cell r="D3469" t="str">
            <v>29</v>
          </cell>
          <cell r="E3469">
            <v>25</v>
          </cell>
          <cell r="G3469">
            <v>0</v>
          </cell>
          <cell r="H3469">
            <v>0</v>
          </cell>
          <cell r="I3469">
            <v>178894</v>
          </cell>
          <cell r="J3469">
            <v>128252</v>
          </cell>
          <cell r="K3469">
            <v>0</v>
          </cell>
          <cell r="L3469">
            <v>0</v>
          </cell>
          <cell r="M3469">
            <v>0</v>
          </cell>
          <cell r="N3469">
            <v>0</v>
          </cell>
          <cell r="O3469">
            <v>0</v>
          </cell>
          <cell r="P3469">
            <v>0</v>
          </cell>
          <cell r="Q3469">
            <v>0</v>
          </cell>
          <cell r="R3469">
            <v>0</v>
          </cell>
          <cell r="S3469">
            <v>0</v>
          </cell>
          <cell r="T3469">
            <v>0</v>
          </cell>
          <cell r="U3469">
            <v>0</v>
          </cell>
          <cell r="V3469">
            <v>0</v>
          </cell>
          <cell r="W3469">
            <v>0</v>
          </cell>
        </row>
        <row r="3470">
          <cell r="A3470" t="str">
            <v>450197</v>
          </cell>
          <cell r="B3470" t="str">
            <v>1251</v>
          </cell>
          <cell r="C3470" t="str">
            <v>12</v>
          </cell>
          <cell r="D3470" t="str">
            <v>34</v>
          </cell>
          <cell r="E3470">
            <v>0</v>
          </cell>
          <cell r="G3470">
            <v>84</v>
          </cell>
          <cell r="H3470">
            <v>26662</v>
          </cell>
          <cell r="I3470">
            <v>0</v>
          </cell>
          <cell r="J3470">
            <v>0</v>
          </cell>
          <cell r="K3470">
            <v>5724</v>
          </cell>
          <cell r="L3470">
            <v>170</v>
          </cell>
          <cell r="M3470">
            <v>0</v>
          </cell>
          <cell r="N3470">
            <v>2475</v>
          </cell>
          <cell r="O3470">
            <v>32556</v>
          </cell>
          <cell r="P3470">
            <v>3271</v>
          </cell>
          <cell r="Q3470">
            <v>10</v>
          </cell>
          <cell r="R3470">
            <v>0</v>
          </cell>
          <cell r="S3470">
            <v>0</v>
          </cell>
          <cell r="T3470">
            <v>0</v>
          </cell>
          <cell r="U3470">
            <v>0</v>
          </cell>
          <cell r="V3470">
            <v>0</v>
          </cell>
          <cell r="W3470">
            <v>0</v>
          </cell>
        </row>
        <row r="3471">
          <cell r="A3471" t="str">
            <v>450197</v>
          </cell>
          <cell r="B3471" t="str">
            <v>1251</v>
          </cell>
          <cell r="C3471" t="str">
            <v>12</v>
          </cell>
          <cell r="D3471" t="str">
            <v>34</v>
          </cell>
          <cell r="E3471">
            <v>0</v>
          </cell>
          <cell r="G3471">
            <v>86</v>
          </cell>
          <cell r="H3471">
            <v>42754</v>
          </cell>
          <cell r="I3471">
            <v>0</v>
          </cell>
          <cell r="J3471">
            <v>0</v>
          </cell>
          <cell r="K3471">
            <v>6559</v>
          </cell>
          <cell r="L3471">
            <v>368</v>
          </cell>
          <cell r="M3471">
            <v>0</v>
          </cell>
          <cell r="N3471">
            <v>3277</v>
          </cell>
          <cell r="O3471">
            <v>49681</v>
          </cell>
          <cell r="P3471">
            <v>4947</v>
          </cell>
          <cell r="Q3471">
            <v>17</v>
          </cell>
          <cell r="R3471">
            <v>0</v>
          </cell>
          <cell r="S3471">
            <v>0</v>
          </cell>
          <cell r="T3471">
            <v>0</v>
          </cell>
          <cell r="U3471">
            <v>0</v>
          </cell>
          <cell r="V3471">
            <v>0</v>
          </cell>
          <cell r="W3471">
            <v>0</v>
          </cell>
        </row>
        <row r="3472">
          <cell r="A3472" t="str">
            <v>450197</v>
          </cell>
          <cell r="B3472" t="str">
            <v>1251</v>
          </cell>
          <cell r="C3472" t="str">
            <v>12</v>
          </cell>
          <cell r="D3472" t="str">
            <v>34</v>
          </cell>
          <cell r="E3472">
            <v>0</v>
          </cell>
          <cell r="G3472">
            <v>90</v>
          </cell>
          <cell r="H3472">
            <v>8759</v>
          </cell>
          <cell r="I3472">
            <v>0</v>
          </cell>
          <cell r="J3472">
            <v>0</v>
          </cell>
          <cell r="K3472">
            <v>1156</v>
          </cell>
          <cell r="L3472">
            <v>204</v>
          </cell>
          <cell r="M3472">
            <v>0</v>
          </cell>
          <cell r="N3472">
            <v>665</v>
          </cell>
          <cell r="O3472">
            <v>10119</v>
          </cell>
          <cell r="P3472">
            <v>1686</v>
          </cell>
          <cell r="Q3472">
            <v>5</v>
          </cell>
          <cell r="R3472">
            <v>0</v>
          </cell>
          <cell r="S3472">
            <v>0</v>
          </cell>
          <cell r="T3472">
            <v>0</v>
          </cell>
          <cell r="U3472">
            <v>0</v>
          </cell>
          <cell r="V3472">
            <v>0</v>
          </cell>
          <cell r="W3472">
            <v>0</v>
          </cell>
        </row>
        <row r="3473">
          <cell r="A3473" t="str">
            <v>450197</v>
          </cell>
          <cell r="B3473" t="str">
            <v>1251</v>
          </cell>
          <cell r="C3473" t="str">
            <v>12</v>
          </cell>
          <cell r="D3473" t="str">
            <v>34</v>
          </cell>
          <cell r="E3473">
            <v>0</v>
          </cell>
          <cell r="G3473">
            <v>91</v>
          </cell>
          <cell r="H3473">
            <v>3337</v>
          </cell>
          <cell r="I3473">
            <v>0</v>
          </cell>
          <cell r="J3473">
            <v>0</v>
          </cell>
          <cell r="K3473">
            <v>460</v>
          </cell>
          <cell r="L3473">
            <v>43</v>
          </cell>
          <cell r="M3473">
            <v>0</v>
          </cell>
          <cell r="N3473">
            <v>385</v>
          </cell>
          <cell r="O3473">
            <v>3840</v>
          </cell>
          <cell r="P3473">
            <v>848</v>
          </cell>
          <cell r="Q3473">
            <v>3</v>
          </cell>
          <cell r="R3473">
            <v>0</v>
          </cell>
          <cell r="S3473">
            <v>0</v>
          </cell>
          <cell r="T3473">
            <v>0</v>
          </cell>
          <cell r="U3473">
            <v>0</v>
          </cell>
          <cell r="V3473">
            <v>0</v>
          </cell>
          <cell r="W3473">
            <v>0</v>
          </cell>
        </row>
        <row r="3474">
          <cell r="A3474" t="str">
            <v>450197</v>
          </cell>
          <cell r="B3474" t="str">
            <v>1251</v>
          </cell>
          <cell r="C3474" t="str">
            <v>12</v>
          </cell>
          <cell r="D3474" t="str">
            <v>34</v>
          </cell>
          <cell r="E3474">
            <v>0</v>
          </cell>
          <cell r="G3474">
            <v>92</v>
          </cell>
          <cell r="H3474">
            <v>7710</v>
          </cell>
          <cell r="I3474">
            <v>0</v>
          </cell>
          <cell r="J3474">
            <v>0</v>
          </cell>
          <cell r="K3474">
            <v>495</v>
          </cell>
          <cell r="L3474">
            <v>115</v>
          </cell>
          <cell r="M3474">
            <v>0</v>
          </cell>
          <cell r="N3474">
            <v>980</v>
          </cell>
          <cell r="O3474">
            <v>8320</v>
          </cell>
          <cell r="P3474">
            <v>1147</v>
          </cell>
          <cell r="Q3474">
            <v>4</v>
          </cell>
          <cell r="R3474">
            <v>0</v>
          </cell>
          <cell r="S3474">
            <v>0</v>
          </cell>
          <cell r="T3474">
            <v>0</v>
          </cell>
          <cell r="U3474">
            <v>0</v>
          </cell>
          <cell r="V3474">
            <v>0</v>
          </cell>
          <cell r="W3474">
            <v>0</v>
          </cell>
        </row>
        <row r="3475">
          <cell r="A3475" t="str">
            <v>450197</v>
          </cell>
          <cell r="B3475" t="str">
            <v>1251</v>
          </cell>
          <cell r="C3475" t="str">
            <v>12</v>
          </cell>
          <cell r="D3475" t="str">
            <v>34</v>
          </cell>
          <cell r="E3475">
            <v>0</v>
          </cell>
          <cell r="G3475">
            <v>93</v>
          </cell>
          <cell r="H3475">
            <v>7857</v>
          </cell>
          <cell r="I3475">
            <v>0</v>
          </cell>
          <cell r="J3475">
            <v>0</v>
          </cell>
          <cell r="K3475">
            <v>364</v>
          </cell>
          <cell r="L3475">
            <v>280</v>
          </cell>
          <cell r="M3475">
            <v>0</v>
          </cell>
          <cell r="N3475">
            <v>1235</v>
          </cell>
          <cell r="O3475">
            <v>8501</v>
          </cell>
          <cell r="P3475">
            <v>1444</v>
          </cell>
          <cell r="Q3475">
            <v>6</v>
          </cell>
          <cell r="R3475">
            <v>0</v>
          </cell>
          <cell r="S3475">
            <v>0</v>
          </cell>
          <cell r="T3475">
            <v>0</v>
          </cell>
          <cell r="U3475">
            <v>0</v>
          </cell>
          <cell r="V3475">
            <v>0</v>
          </cell>
          <cell r="W3475">
            <v>0</v>
          </cell>
        </row>
        <row r="3476">
          <cell r="A3476" t="str">
            <v>450197</v>
          </cell>
          <cell r="B3476" t="str">
            <v>1251</v>
          </cell>
          <cell r="C3476" t="str">
            <v>12</v>
          </cell>
          <cell r="D3476" t="str">
            <v>34</v>
          </cell>
          <cell r="E3476">
            <v>0</v>
          </cell>
          <cell r="G3476">
            <v>94</v>
          </cell>
          <cell r="H3476">
            <v>35400</v>
          </cell>
          <cell r="I3476">
            <v>0</v>
          </cell>
          <cell r="J3476">
            <v>0</v>
          </cell>
          <cell r="K3476">
            <v>0</v>
          </cell>
          <cell r="L3476">
            <v>374</v>
          </cell>
          <cell r="M3476">
            <v>0</v>
          </cell>
          <cell r="N3476">
            <v>2943</v>
          </cell>
          <cell r="O3476">
            <v>35774</v>
          </cell>
          <cell r="P3476">
            <v>1628</v>
          </cell>
          <cell r="Q3476">
            <v>39</v>
          </cell>
          <cell r="R3476">
            <v>0</v>
          </cell>
          <cell r="S3476">
            <v>0</v>
          </cell>
          <cell r="T3476">
            <v>0</v>
          </cell>
          <cell r="U3476">
            <v>0</v>
          </cell>
          <cell r="V3476">
            <v>0</v>
          </cell>
          <cell r="W3476">
            <v>0</v>
          </cell>
        </row>
        <row r="3477">
          <cell r="A3477" t="str">
            <v>450197</v>
          </cell>
          <cell r="B3477" t="str">
            <v>1251</v>
          </cell>
          <cell r="C3477" t="str">
            <v>12</v>
          </cell>
          <cell r="D3477" t="str">
            <v>34</v>
          </cell>
          <cell r="E3477">
            <v>0</v>
          </cell>
          <cell r="G3477">
            <v>95</v>
          </cell>
          <cell r="H3477">
            <v>62446</v>
          </cell>
          <cell r="I3477">
            <v>0</v>
          </cell>
          <cell r="J3477">
            <v>0</v>
          </cell>
          <cell r="K3477">
            <v>0</v>
          </cell>
          <cell r="L3477">
            <v>107</v>
          </cell>
          <cell r="M3477">
            <v>0</v>
          </cell>
          <cell r="N3477">
            <v>4893</v>
          </cell>
          <cell r="O3477">
            <v>62553</v>
          </cell>
          <cell r="P3477">
            <v>2952</v>
          </cell>
          <cell r="Q3477">
            <v>54</v>
          </cell>
          <cell r="R3477">
            <v>0</v>
          </cell>
          <cell r="S3477">
            <v>0</v>
          </cell>
          <cell r="T3477">
            <v>0</v>
          </cell>
          <cell r="U3477">
            <v>0</v>
          </cell>
          <cell r="V3477">
            <v>0</v>
          </cell>
          <cell r="W3477">
            <v>0</v>
          </cell>
        </row>
        <row r="3478">
          <cell r="A3478" t="str">
            <v>450197</v>
          </cell>
          <cell r="B3478" t="str">
            <v>1251</v>
          </cell>
          <cell r="C3478" t="str">
            <v>12</v>
          </cell>
          <cell r="D3478" t="str">
            <v>34</v>
          </cell>
          <cell r="E3478">
            <v>0</v>
          </cell>
          <cell r="G3478">
            <v>96</v>
          </cell>
          <cell r="H3478">
            <v>22957</v>
          </cell>
          <cell r="I3478">
            <v>0</v>
          </cell>
          <cell r="J3478">
            <v>0</v>
          </cell>
          <cell r="K3478">
            <v>0</v>
          </cell>
          <cell r="L3478">
            <v>64</v>
          </cell>
          <cell r="M3478">
            <v>0</v>
          </cell>
          <cell r="N3478">
            <v>1802</v>
          </cell>
          <cell r="O3478">
            <v>23021</v>
          </cell>
          <cell r="P3478">
            <v>2079</v>
          </cell>
          <cell r="Q3478">
            <v>21</v>
          </cell>
          <cell r="R3478">
            <v>0</v>
          </cell>
          <cell r="S3478">
            <v>0</v>
          </cell>
          <cell r="T3478">
            <v>0</v>
          </cell>
          <cell r="U3478">
            <v>0</v>
          </cell>
          <cell r="V3478">
            <v>0</v>
          </cell>
          <cell r="W3478">
            <v>0</v>
          </cell>
        </row>
        <row r="3479">
          <cell r="A3479" t="str">
            <v>450197</v>
          </cell>
          <cell r="B3479" t="str">
            <v>1251</v>
          </cell>
          <cell r="C3479" t="str">
            <v>12</v>
          </cell>
          <cell r="D3479" t="str">
            <v>34</v>
          </cell>
          <cell r="E3479">
            <v>0</v>
          </cell>
          <cell r="G3479">
            <v>97</v>
          </cell>
          <cell r="H3479">
            <v>48713</v>
          </cell>
          <cell r="I3479">
            <v>0</v>
          </cell>
          <cell r="J3479">
            <v>0</v>
          </cell>
          <cell r="K3479">
            <v>0</v>
          </cell>
          <cell r="L3479">
            <v>101</v>
          </cell>
          <cell r="M3479">
            <v>0</v>
          </cell>
          <cell r="N3479">
            <v>4851</v>
          </cell>
          <cell r="O3479">
            <v>48814</v>
          </cell>
          <cell r="P3479">
            <v>2137</v>
          </cell>
          <cell r="Q3479">
            <v>41</v>
          </cell>
          <cell r="R3479">
            <v>0</v>
          </cell>
          <cell r="S3479">
            <v>0</v>
          </cell>
          <cell r="T3479">
            <v>0</v>
          </cell>
          <cell r="U3479">
            <v>0</v>
          </cell>
          <cell r="V3479">
            <v>0</v>
          </cell>
          <cell r="W3479">
            <v>0</v>
          </cell>
        </row>
        <row r="3480">
          <cell r="A3480" t="str">
            <v>450197</v>
          </cell>
          <cell r="B3480" t="str">
            <v>1251</v>
          </cell>
          <cell r="C3480" t="str">
            <v>12</v>
          </cell>
          <cell r="D3480" t="str">
            <v>34</v>
          </cell>
          <cell r="E3480">
            <v>0</v>
          </cell>
          <cell r="G3480">
            <v>98</v>
          </cell>
          <cell r="H3480">
            <v>11536</v>
          </cell>
          <cell r="I3480">
            <v>0</v>
          </cell>
          <cell r="J3480">
            <v>0</v>
          </cell>
          <cell r="K3480">
            <v>0</v>
          </cell>
          <cell r="L3480">
            <v>0</v>
          </cell>
          <cell r="M3480">
            <v>0</v>
          </cell>
          <cell r="N3480">
            <v>1611</v>
          </cell>
          <cell r="O3480">
            <v>11536</v>
          </cell>
          <cell r="P3480">
            <v>534</v>
          </cell>
          <cell r="Q3480">
            <v>9</v>
          </cell>
          <cell r="R3480">
            <v>0</v>
          </cell>
          <cell r="S3480">
            <v>0</v>
          </cell>
          <cell r="T3480">
            <v>0</v>
          </cell>
          <cell r="U3480">
            <v>0</v>
          </cell>
          <cell r="V3480">
            <v>0</v>
          </cell>
          <cell r="W3480">
            <v>0</v>
          </cell>
        </row>
        <row r="3481">
          <cell r="A3481" t="str">
            <v>450197</v>
          </cell>
          <cell r="B3481" t="str">
            <v>1251</v>
          </cell>
          <cell r="C3481" t="str">
            <v>12</v>
          </cell>
          <cell r="D3481" t="str">
            <v>34</v>
          </cell>
          <cell r="E3481">
            <v>0</v>
          </cell>
          <cell r="G3481">
            <v>99</v>
          </cell>
          <cell r="H3481">
            <v>344311</v>
          </cell>
          <cell r="I3481">
            <v>0</v>
          </cell>
          <cell r="J3481">
            <v>0</v>
          </cell>
          <cell r="K3481">
            <v>5931</v>
          </cell>
          <cell r="L3481">
            <v>329</v>
          </cell>
          <cell r="M3481">
            <v>0</v>
          </cell>
          <cell r="N3481">
            <v>27783</v>
          </cell>
          <cell r="O3481">
            <v>350571</v>
          </cell>
          <cell r="P3481">
            <v>30792</v>
          </cell>
          <cell r="Q3481">
            <v>165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</row>
        <row r="3482">
          <cell r="A3482" t="str">
            <v>450197</v>
          </cell>
          <cell r="B3482" t="str">
            <v>1251</v>
          </cell>
          <cell r="C3482" t="str">
            <v>12</v>
          </cell>
          <cell r="D3482" t="str">
            <v>34</v>
          </cell>
          <cell r="E3482">
            <v>0</v>
          </cell>
          <cell r="G3482">
            <v>100</v>
          </cell>
          <cell r="H3482">
            <v>58610</v>
          </cell>
          <cell r="I3482">
            <v>0</v>
          </cell>
          <cell r="J3482">
            <v>113</v>
          </cell>
          <cell r="K3482">
            <v>531</v>
          </cell>
          <cell r="L3482">
            <v>0</v>
          </cell>
          <cell r="M3482">
            <v>0</v>
          </cell>
          <cell r="N3482">
            <v>4685</v>
          </cell>
          <cell r="O3482">
            <v>59254</v>
          </cell>
          <cell r="P3482">
            <v>5903</v>
          </cell>
          <cell r="Q3482">
            <v>26</v>
          </cell>
          <cell r="R3482">
            <v>0</v>
          </cell>
          <cell r="S3482">
            <v>0</v>
          </cell>
          <cell r="T3482">
            <v>0</v>
          </cell>
          <cell r="U3482">
            <v>0</v>
          </cell>
          <cell r="V3482">
            <v>0</v>
          </cell>
          <cell r="W3482">
            <v>0</v>
          </cell>
        </row>
        <row r="3483">
          <cell r="A3483" t="str">
            <v>450197</v>
          </cell>
          <cell r="B3483" t="str">
            <v>1251</v>
          </cell>
          <cell r="C3483" t="str">
            <v>12</v>
          </cell>
          <cell r="D3483" t="str">
            <v>34</v>
          </cell>
          <cell r="E3483">
            <v>0</v>
          </cell>
          <cell r="G3483">
            <v>101</v>
          </cell>
          <cell r="H3483">
            <v>60018</v>
          </cell>
          <cell r="I3483">
            <v>0</v>
          </cell>
          <cell r="J3483">
            <v>0</v>
          </cell>
          <cell r="K3483">
            <v>1484</v>
          </cell>
          <cell r="L3483">
            <v>776</v>
          </cell>
          <cell r="M3483">
            <v>0</v>
          </cell>
          <cell r="N3483">
            <v>4832</v>
          </cell>
          <cell r="O3483">
            <v>62278</v>
          </cell>
          <cell r="P3483">
            <v>11989</v>
          </cell>
          <cell r="Q3483">
            <v>26</v>
          </cell>
          <cell r="R3483">
            <v>0</v>
          </cell>
          <cell r="S3483">
            <v>0</v>
          </cell>
          <cell r="T3483">
            <v>0</v>
          </cell>
          <cell r="U3483">
            <v>0</v>
          </cell>
          <cell r="V3483">
            <v>0</v>
          </cell>
          <cell r="W3483">
            <v>0</v>
          </cell>
        </row>
        <row r="3484">
          <cell r="A3484" t="str">
            <v>450197</v>
          </cell>
          <cell r="B3484" t="str">
            <v>1251</v>
          </cell>
          <cell r="C3484" t="str">
            <v>12</v>
          </cell>
          <cell r="D3484" t="str">
            <v>34</v>
          </cell>
          <cell r="E3484">
            <v>0</v>
          </cell>
          <cell r="G3484">
            <v>102</v>
          </cell>
          <cell r="H3484">
            <v>9677</v>
          </cell>
          <cell r="I3484">
            <v>0</v>
          </cell>
          <cell r="J3484">
            <v>0</v>
          </cell>
          <cell r="K3484">
            <v>97</v>
          </cell>
          <cell r="L3484">
            <v>0</v>
          </cell>
          <cell r="M3484">
            <v>0</v>
          </cell>
          <cell r="N3484">
            <v>718</v>
          </cell>
          <cell r="O3484">
            <v>9774</v>
          </cell>
          <cell r="P3484">
            <v>610</v>
          </cell>
          <cell r="Q3484">
            <v>3</v>
          </cell>
          <cell r="R3484">
            <v>0</v>
          </cell>
          <cell r="S3484">
            <v>0</v>
          </cell>
          <cell r="T3484">
            <v>0</v>
          </cell>
          <cell r="U3484">
            <v>0</v>
          </cell>
          <cell r="V3484">
            <v>0</v>
          </cell>
          <cell r="W3484">
            <v>0</v>
          </cell>
        </row>
        <row r="3485">
          <cell r="A3485" t="str">
            <v>450197</v>
          </cell>
          <cell r="B3485" t="str">
            <v>1251</v>
          </cell>
          <cell r="C3485" t="str">
            <v>12</v>
          </cell>
          <cell r="D3485" t="str">
            <v>34</v>
          </cell>
          <cell r="E3485">
            <v>0</v>
          </cell>
          <cell r="G3485">
            <v>105</v>
          </cell>
          <cell r="H3485">
            <v>750747</v>
          </cell>
          <cell r="I3485">
            <v>0</v>
          </cell>
          <cell r="J3485">
            <v>113</v>
          </cell>
          <cell r="K3485">
            <v>22801</v>
          </cell>
          <cell r="L3485">
            <v>2931</v>
          </cell>
          <cell r="M3485">
            <v>0</v>
          </cell>
          <cell r="N3485">
            <v>63135</v>
          </cell>
          <cell r="O3485">
            <v>776592</v>
          </cell>
          <cell r="P3485">
            <v>71967</v>
          </cell>
          <cell r="Q3485">
            <v>429</v>
          </cell>
          <cell r="R3485">
            <v>0</v>
          </cell>
          <cell r="S3485">
            <v>0</v>
          </cell>
          <cell r="T3485">
            <v>0</v>
          </cell>
          <cell r="U3485">
            <v>0</v>
          </cell>
          <cell r="V3485">
            <v>0</v>
          </cell>
          <cell r="W3485">
            <v>0</v>
          </cell>
        </row>
        <row r="3486">
          <cell r="A3486" t="str">
            <v>450197</v>
          </cell>
          <cell r="B3486" t="str">
            <v>1251</v>
          </cell>
          <cell r="C3486" t="str">
            <v>12</v>
          </cell>
          <cell r="D3486" t="str">
            <v>34</v>
          </cell>
          <cell r="E3486">
            <v>0</v>
          </cell>
          <cell r="G3486">
            <v>151</v>
          </cell>
          <cell r="H3486">
            <v>750747</v>
          </cell>
          <cell r="I3486">
            <v>0</v>
          </cell>
          <cell r="J3486">
            <v>113</v>
          </cell>
          <cell r="K3486">
            <v>22801</v>
          </cell>
          <cell r="L3486">
            <v>2931</v>
          </cell>
          <cell r="M3486">
            <v>0</v>
          </cell>
          <cell r="N3486">
            <v>63135</v>
          </cell>
          <cell r="O3486">
            <v>776592</v>
          </cell>
          <cell r="P3486">
            <v>71967</v>
          </cell>
          <cell r="Q3486">
            <v>429</v>
          </cell>
          <cell r="R3486">
            <v>0</v>
          </cell>
          <cell r="S3486">
            <v>0</v>
          </cell>
          <cell r="T3486">
            <v>0</v>
          </cell>
          <cell r="U3486">
            <v>0</v>
          </cell>
          <cell r="V3486">
            <v>0</v>
          </cell>
          <cell r="W3486">
            <v>0</v>
          </cell>
        </row>
        <row r="3487">
          <cell r="A3487" t="str">
            <v>450197</v>
          </cell>
          <cell r="B3487" t="str">
            <v>1251</v>
          </cell>
          <cell r="C3487" t="str">
            <v>12</v>
          </cell>
          <cell r="D3487" t="str">
            <v>34</v>
          </cell>
          <cell r="E3487">
            <v>0</v>
          </cell>
          <cell r="G3487">
            <v>153</v>
          </cell>
          <cell r="H3487">
            <v>27166</v>
          </cell>
          <cell r="I3487">
            <v>0</v>
          </cell>
          <cell r="J3487">
            <v>0</v>
          </cell>
          <cell r="K3487">
            <v>0</v>
          </cell>
          <cell r="L3487">
            <v>0</v>
          </cell>
          <cell r="M3487">
            <v>0</v>
          </cell>
          <cell r="N3487">
            <v>2195</v>
          </cell>
          <cell r="O3487">
            <v>27166</v>
          </cell>
          <cell r="P3487">
            <v>2171</v>
          </cell>
          <cell r="Q3487">
            <v>17</v>
          </cell>
          <cell r="R3487">
            <v>0</v>
          </cell>
          <cell r="S3487">
            <v>0</v>
          </cell>
          <cell r="T3487">
            <v>0</v>
          </cell>
          <cell r="U3487">
            <v>0</v>
          </cell>
          <cell r="V3487">
            <v>0</v>
          </cell>
          <cell r="W3487">
            <v>0</v>
          </cell>
        </row>
        <row r="3488">
          <cell r="A3488" t="str">
            <v>450197</v>
          </cell>
          <cell r="B3488" t="str">
            <v>1251</v>
          </cell>
          <cell r="C3488" t="str">
            <v>12</v>
          </cell>
          <cell r="D3488" t="str">
            <v>34</v>
          </cell>
          <cell r="E3488">
            <v>0</v>
          </cell>
          <cell r="G3488">
            <v>157</v>
          </cell>
          <cell r="H3488">
            <v>27166</v>
          </cell>
          <cell r="I3488">
            <v>0</v>
          </cell>
          <cell r="J3488">
            <v>0</v>
          </cell>
          <cell r="K3488">
            <v>0</v>
          </cell>
          <cell r="L3488">
            <v>0</v>
          </cell>
          <cell r="M3488">
            <v>0</v>
          </cell>
          <cell r="N3488">
            <v>2195</v>
          </cell>
          <cell r="O3488">
            <v>27166</v>
          </cell>
          <cell r="P3488">
            <v>2171</v>
          </cell>
          <cell r="Q3488">
            <v>17</v>
          </cell>
          <cell r="R3488">
            <v>0</v>
          </cell>
          <cell r="S3488">
            <v>0</v>
          </cell>
          <cell r="T3488">
            <v>0</v>
          </cell>
          <cell r="U3488">
            <v>0</v>
          </cell>
          <cell r="V3488">
            <v>0</v>
          </cell>
          <cell r="W3488">
            <v>0</v>
          </cell>
        </row>
        <row r="3489">
          <cell r="A3489" t="str">
            <v>450197</v>
          </cell>
          <cell r="B3489" t="str">
            <v>1251</v>
          </cell>
          <cell r="C3489" t="str">
            <v>12</v>
          </cell>
          <cell r="D3489" t="str">
            <v>34</v>
          </cell>
          <cell r="E3489">
            <v>0</v>
          </cell>
          <cell r="G3489">
            <v>158</v>
          </cell>
          <cell r="H3489">
            <v>777913</v>
          </cell>
          <cell r="I3489">
            <v>0</v>
          </cell>
          <cell r="J3489">
            <v>113</v>
          </cell>
          <cell r="K3489">
            <v>22801</v>
          </cell>
          <cell r="L3489">
            <v>2931</v>
          </cell>
          <cell r="M3489">
            <v>0</v>
          </cell>
          <cell r="N3489">
            <v>65330</v>
          </cell>
          <cell r="O3489">
            <v>803758</v>
          </cell>
          <cell r="P3489">
            <v>74138</v>
          </cell>
          <cell r="Q3489">
            <v>446</v>
          </cell>
          <cell r="R3489">
            <v>0</v>
          </cell>
          <cell r="S3489">
            <v>0</v>
          </cell>
          <cell r="T3489">
            <v>0</v>
          </cell>
          <cell r="U3489">
            <v>0</v>
          </cell>
          <cell r="V3489">
            <v>0</v>
          </cell>
          <cell r="W3489">
            <v>0</v>
          </cell>
        </row>
        <row r="3490">
          <cell r="A3490" t="str">
            <v>450197</v>
          </cell>
          <cell r="B3490" t="str">
            <v>1251</v>
          </cell>
          <cell r="C3490" t="str">
            <v>12</v>
          </cell>
          <cell r="D3490" t="str">
            <v>35</v>
          </cell>
          <cell r="E3490">
            <v>1</v>
          </cell>
          <cell r="G3490">
            <v>776592</v>
          </cell>
          <cell r="H3490">
            <v>27166</v>
          </cell>
          <cell r="I3490">
            <v>0</v>
          </cell>
          <cell r="J3490">
            <v>0</v>
          </cell>
          <cell r="K3490">
            <v>803758</v>
          </cell>
          <cell r="L3490">
            <v>71967</v>
          </cell>
          <cell r="M3490">
            <v>2171</v>
          </cell>
          <cell r="N3490">
            <v>0</v>
          </cell>
          <cell r="O3490">
            <v>0</v>
          </cell>
          <cell r="P3490">
            <v>74138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</row>
        <row r="3491">
          <cell r="A3491" t="str">
            <v>450197</v>
          </cell>
          <cell r="B3491" t="str">
            <v>1251</v>
          </cell>
          <cell r="C3491" t="str">
            <v>12</v>
          </cell>
          <cell r="D3491" t="str">
            <v>35</v>
          </cell>
          <cell r="E3491">
            <v>4</v>
          </cell>
          <cell r="G3491">
            <v>31738</v>
          </cell>
          <cell r="H3491">
            <v>314</v>
          </cell>
          <cell r="I3491">
            <v>0</v>
          </cell>
          <cell r="J3491">
            <v>0</v>
          </cell>
          <cell r="K3491">
            <v>32052</v>
          </cell>
          <cell r="L3491">
            <v>21839</v>
          </cell>
          <cell r="M3491">
            <v>981</v>
          </cell>
          <cell r="N3491">
            <v>0</v>
          </cell>
          <cell r="O3491">
            <v>0</v>
          </cell>
          <cell r="P3491">
            <v>22820</v>
          </cell>
          <cell r="Q3491">
            <v>0</v>
          </cell>
          <cell r="R3491">
            <v>0</v>
          </cell>
          <cell r="S3491">
            <v>0</v>
          </cell>
          <cell r="T3491">
            <v>0</v>
          </cell>
          <cell r="U3491">
            <v>0</v>
          </cell>
          <cell r="V3491">
            <v>0</v>
          </cell>
          <cell r="W3491">
            <v>0</v>
          </cell>
        </row>
        <row r="3492">
          <cell r="A3492" t="str">
            <v>450197</v>
          </cell>
          <cell r="B3492" t="str">
            <v>1251</v>
          </cell>
          <cell r="C3492" t="str">
            <v>12</v>
          </cell>
          <cell r="D3492" t="str">
            <v>35</v>
          </cell>
          <cell r="E3492">
            <v>7</v>
          </cell>
          <cell r="G3492">
            <v>0</v>
          </cell>
          <cell r="H3492">
            <v>0</v>
          </cell>
          <cell r="I3492">
            <v>0</v>
          </cell>
          <cell r="J3492">
            <v>0</v>
          </cell>
          <cell r="K3492">
            <v>0</v>
          </cell>
          <cell r="L3492">
            <v>125544</v>
          </cell>
          <cell r="M3492">
            <v>3466</v>
          </cell>
          <cell r="N3492">
            <v>0</v>
          </cell>
          <cell r="O3492">
            <v>0</v>
          </cell>
          <cell r="P3492">
            <v>129010</v>
          </cell>
          <cell r="Q3492">
            <v>0</v>
          </cell>
          <cell r="R3492">
            <v>0</v>
          </cell>
          <cell r="S3492">
            <v>34617</v>
          </cell>
          <cell r="T3492">
            <v>0</v>
          </cell>
          <cell r="U3492">
            <v>34617</v>
          </cell>
          <cell r="V3492">
            <v>0</v>
          </cell>
          <cell r="W3492">
            <v>0</v>
          </cell>
        </row>
        <row r="3493">
          <cell r="A3493" t="str">
            <v>450197</v>
          </cell>
          <cell r="B3493" t="str">
            <v>1251</v>
          </cell>
          <cell r="C3493" t="str">
            <v>12</v>
          </cell>
          <cell r="D3493" t="str">
            <v>35</v>
          </cell>
          <cell r="E3493">
            <v>10</v>
          </cell>
          <cell r="G3493">
            <v>902136</v>
          </cell>
          <cell r="H3493">
            <v>30632</v>
          </cell>
          <cell r="I3493">
            <v>34617</v>
          </cell>
          <cell r="J3493">
            <v>0</v>
          </cell>
          <cell r="K3493">
            <v>967385</v>
          </cell>
          <cell r="L3493">
            <v>446</v>
          </cell>
          <cell r="M3493">
            <v>18</v>
          </cell>
          <cell r="N3493">
            <v>0</v>
          </cell>
          <cell r="O3493">
            <v>0</v>
          </cell>
          <cell r="P3493">
            <v>464</v>
          </cell>
          <cell r="Q3493">
            <v>478</v>
          </cell>
          <cell r="R3493">
            <v>19</v>
          </cell>
          <cell r="S3493">
            <v>0</v>
          </cell>
          <cell r="T3493">
            <v>0</v>
          </cell>
          <cell r="U3493">
            <v>497</v>
          </cell>
          <cell r="V3493">
            <v>0</v>
          </cell>
          <cell r="W3493">
            <v>0</v>
          </cell>
        </row>
        <row r="3494">
          <cell r="A3494" t="str">
            <v>450197</v>
          </cell>
          <cell r="B3494" t="str">
            <v>1251</v>
          </cell>
          <cell r="C3494" t="str">
            <v>12</v>
          </cell>
          <cell r="D3494" t="str">
            <v>35</v>
          </cell>
          <cell r="E3494">
            <v>13</v>
          </cell>
          <cell r="G3494">
            <v>467</v>
          </cell>
          <cell r="H3494">
            <v>19</v>
          </cell>
          <cell r="I3494">
            <v>0</v>
          </cell>
          <cell r="J3494">
            <v>0</v>
          </cell>
          <cell r="K3494">
            <v>486</v>
          </cell>
          <cell r="L3494">
            <v>432</v>
          </cell>
          <cell r="M3494">
            <v>19</v>
          </cell>
          <cell r="N3494">
            <v>0</v>
          </cell>
          <cell r="O3494">
            <v>0</v>
          </cell>
          <cell r="P3494">
            <v>451</v>
          </cell>
          <cell r="Q3494">
            <v>446</v>
          </cell>
          <cell r="R3494">
            <v>17</v>
          </cell>
          <cell r="S3494">
            <v>0</v>
          </cell>
          <cell r="T3494">
            <v>0</v>
          </cell>
          <cell r="U3494">
            <v>463</v>
          </cell>
          <cell r="V3494">
            <v>0</v>
          </cell>
          <cell r="W3494">
            <v>0</v>
          </cell>
        </row>
        <row r="3495">
          <cell r="A3495" t="str">
            <v>450197</v>
          </cell>
          <cell r="B3495" t="str">
            <v>1251</v>
          </cell>
          <cell r="C3495" t="str">
            <v>12</v>
          </cell>
          <cell r="D3495" t="str">
            <v>35</v>
          </cell>
          <cell r="E3495">
            <v>16</v>
          </cell>
          <cell r="G3495">
            <v>0</v>
          </cell>
          <cell r="H3495">
            <v>0</v>
          </cell>
          <cell r="I3495">
            <v>0</v>
          </cell>
          <cell r="J3495">
            <v>0</v>
          </cell>
          <cell r="K3495">
            <v>1</v>
          </cell>
          <cell r="L3495">
            <v>0</v>
          </cell>
          <cell r="M3495">
            <v>0</v>
          </cell>
          <cell r="N3495">
            <v>0</v>
          </cell>
          <cell r="O3495">
            <v>0</v>
          </cell>
          <cell r="P3495">
            <v>0</v>
          </cell>
          <cell r="Q3495">
            <v>429</v>
          </cell>
          <cell r="R3495">
            <v>17</v>
          </cell>
          <cell r="S3495">
            <v>0</v>
          </cell>
          <cell r="T3495">
            <v>0</v>
          </cell>
          <cell r="U3495">
            <v>446</v>
          </cell>
          <cell r="V3495">
            <v>0</v>
          </cell>
          <cell r="W3495">
            <v>0</v>
          </cell>
        </row>
        <row r="3496">
          <cell r="A3496" t="str">
            <v>450197</v>
          </cell>
          <cell r="B3496" t="str">
            <v>1251</v>
          </cell>
          <cell r="C3496" t="str">
            <v>12</v>
          </cell>
          <cell r="D3496" t="str">
            <v>35</v>
          </cell>
          <cell r="E3496">
            <v>19</v>
          </cell>
          <cell r="G3496">
            <v>0</v>
          </cell>
          <cell r="H3496">
            <v>0</v>
          </cell>
          <cell r="I3496">
            <v>0</v>
          </cell>
          <cell r="J3496">
            <v>0</v>
          </cell>
          <cell r="K3496">
            <v>0</v>
          </cell>
          <cell r="L3496">
            <v>0</v>
          </cell>
          <cell r="M3496">
            <v>0</v>
          </cell>
          <cell r="N3496">
            <v>0</v>
          </cell>
          <cell r="O3496">
            <v>0</v>
          </cell>
          <cell r="P3496">
            <v>0</v>
          </cell>
          <cell r="Q3496">
            <v>0</v>
          </cell>
          <cell r="R3496">
            <v>0</v>
          </cell>
          <cell r="S3496">
            <v>0</v>
          </cell>
          <cell r="T3496">
            <v>0</v>
          </cell>
          <cell r="U3496">
            <v>0</v>
          </cell>
          <cell r="V3496">
            <v>0</v>
          </cell>
          <cell r="W3496">
            <v>0</v>
          </cell>
        </row>
        <row r="3497">
          <cell r="A3497" t="str">
            <v>450197</v>
          </cell>
          <cell r="B3497" t="str">
            <v>1251</v>
          </cell>
          <cell r="C3497" t="str">
            <v>12</v>
          </cell>
          <cell r="D3497" t="str">
            <v>37</v>
          </cell>
          <cell r="E3497">
            <v>0</v>
          </cell>
          <cell r="G3497">
            <v>55141401</v>
          </cell>
          <cell r="H3497">
            <v>62</v>
          </cell>
          <cell r="I3497">
            <v>0</v>
          </cell>
          <cell r="J3497">
            <v>62</v>
          </cell>
          <cell r="K3497">
            <v>0</v>
          </cell>
          <cell r="L3497">
            <v>0</v>
          </cell>
          <cell r="M3497">
            <v>0</v>
          </cell>
          <cell r="N3497">
            <v>0</v>
          </cell>
          <cell r="O3497">
            <v>0</v>
          </cell>
          <cell r="P3497">
            <v>0</v>
          </cell>
          <cell r="Q3497">
            <v>0</v>
          </cell>
          <cell r="R3497">
            <v>0</v>
          </cell>
          <cell r="S3497">
            <v>0</v>
          </cell>
          <cell r="T3497">
            <v>0</v>
          </cell>
          <cell r="U3497">
            <v>0</v>
          </cell>
          <cell r="V3497">
            <v>0</v>
          </cell>
          <cell r="W3497">
            <v>0</v>
          </cell>
        </row>
        <row r="3498">
          <cell r="A3498" t="str">
            <v>450197</v>
          </cell>
          <cell r="B3498" t="str">
            <v>1251</v>
          </cell>
          <cell r="C3498" t="str">
            <v>12</v>
          </cell>
          <cell r="D3498" t="str">
            <v>37</v>
          </cell>
          <cell r="E3498">
            <v>0</v>
          </cell>
          <cell r="G3498">
            <v>55141402</v>
          </cell>
          <cell r="H3498">
            <v>0</v>
          </cell>
          <cell r="I3498">
            <v>0</v>
          </cell>
          <cell r="J3498">
            <v>76</v>
          </cell>
          <cell r="K3498">
            <v>0</v>
          </cell>
          <cell r="L3498">
            <v>0</v>
          </cell>
          <cell r="M3498">
            <v>0</v>
          </cell>
          <cell r="N3498">
            <v>0</v>
          </cell>
          <cell r="O3498">
            <v>0</v>
          </cell>
          <cell r="P3498">
            <v>0</v>
          </cell>
          <cell r="Q3498">
            <v>0</v>
          </cell>
          <cell r="R3498">
            <v>0</v>
          </cell>
          <cell r="S3498">
            <v>0</v>
          </cell>
          <cell r="T3498">
            <v>0</v>
          </cell>
          <cell r="U3498">
            <v>0</v>
          </cell>
          <cell r="V3498">
            <v>0</v>
          </cell>
          <cell r="W3498">
            <v>0</v>
          </cell>
        </row>
        <row r="3499">
          <cell r="A3499" t="str">
            <v>450197</v>
          </cell>
          <cell r="B3499" t="str">
            <v>1251</v>
          </cell>
          <cell r="C3499" t="str">
            <v>12</v>
          </cell>
          <cell r="D3499" t="str">
            <v>37</v>
          </cell>
          <cell r="E3499">
            <v>0</v>
          </cell>
          <cell r="G3499">
            <v>55231201</v>
          </cell>
          <cell r="H3499">
            <v>540</v>
          </cell>
          <cell r="I3499">
            <v>0</v>
          </cell>
          <cell r="J3499">
            <v>432</v>
          </cell>
          <cell r="K3499">
            <v>0</v>
          </cell>
          <cell r="L3499">
            <v>0</v>
          </cell>
          <cell r="M3499">
            <v>0</v>
          </cell>
          <cell r="N3499">
            <v>0</v>
          </cell>
          <cell r="O3499">
            <v>0</v>
          </cell>
          <cell r="P3499">
            <v>0</v>
          </cell>
          <cell r="Q3499">
            <v>0</v>
          </cell>
          <cell r="R3499">
            <v>0</v>
          </cell>
          <cell r="S3499">
            <v>0</v>
          </cell>
          <cell r="T3499">
            <v>0</v>
          </cell>
          <cell r="U3499">
            <v>0</v>
          </cell>
          <cell r="V3499">
            <v>0</v>
          </cell>
          <cell r="W3499">
            <v>0</v>
          </cell>
        </row>
        <row r="3500">
          <cell r="A3500" t="str">
            <v>450197</v>
          </cell>
          <cell r="B3500" t="str">
            <v>1251</v>
          </cell>
          <cell r="C3500" t="str">
            <v>12</v>
          </cell>
          <cell r="D3500" t="str">
            <v>37</v>
          </cell>
          <cell r="E3500">
            <v>0</v>
          </cell>
          <cell r="G3500">
            <v>55231202</v>
          </cell>
          <cell r="H3500">
            <v>0</v>
          </cell>
          <cell r="I3500">
            <v>0</v>
          </cell>
          <cell r="J3500">
            <v>220</v>
          </cell>
          <cell r="K3500">
            <v>0</v>
          </cell>
          <cell r="L3500">
            <v>0</v>
          </cell>
          <cell r="M3500">
            <v>0</v>
          </cell>
          <cell r="N3500">
            <v>0</v>
          </cell>
          <cell r="O3500">
            <v>0</v>
          </cell>
          <cell r="P3500">
            <v>0</v>
          </cell>
          <cell r="Q3500">
            <v>0</v>
          </cell>
          <cell r="R3500">
            <v>0</v>
          </cell>
          <cell r="S3500">
            <v>0</v>
          </cell>
          <cell r="T3500">
            <v>0</v>
          </cell>
          <cell r="U3500">
            <v>0</v>
          </cell>
          <cell r="V3500">
            <v>0</v>
          </cell>
          <cell r="W3500">
            <v>0</v>
          </cell>
        </row>
        <row r="3501">
          <cell r="A3501" t="str">
            <v>450197</v>
          </cell>
          <cell r="B3501" t="str">
            <v>1251</v>
          </cell>
          <cell r="C3501" t="str">
            <v>12</v>
          </cell>
          <cell r="D3501" t="str">
            <v>37</v>
          </cell>
          <cell r="E3501">
            <v>0</v>
          </cell>
          <cell r="G3501">
            <v>55232301</v>
          </cell>
          <cell r="H3501">
            <v>1039</v>
          </cell>
          <cell r="I3501">
            <v>0</v>
          </cell>
          <cell r="J3501">
            <v>973</v>
          </cell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0</v>
          </cell>
          <cell r="P3501">
            <v>0</v>
          </cell>
          <cell r="Q3501">
            <v>0</v>
          </cell>
          <cell r="R3501">
            <v>0</v>
          </cell>
          <cell r="S3501">
            <v>0</v>
          </cell>
          <cell r="T3501">
            <v>0</v>
          </cell>
          <cell r="U3501">
            <v>0</v>
          </cell>
          <cell r="V3501">
            <v>0</v>
          </cell>
          <cell r="W3501">
            <v>0</v>
          </cell>
        </row>
        <row r="3502">
          <cell r="A3502" t="str">
            <v>450197</v>
          </cell>
          <cell r="B3502" t="str">
            <v>1251</v>
          </cell>
          <cell r="C3502" t="str">
            <v>12</v>
          </cell>
          <cell r="D3502" t="str">
            <v>37</v>
          </cell>
          <cell r="E3502">
            <v>0</v>
          </cell>
          <cell r="G3502">
            <v>55232302</v>
          </cell>
          <cell r="H3502">
            <v>0</v>
          </cell>
          <cell r="I3502">
            <v>0</v>
          </cell>
          <cell r="J3502">
            <v>185</v>
          </cell>
          <cell r="K3502">
            <v>0</v>
          </cell>
          <cell r="L3502">
            <v>0</v>
          </cell>
          <cell r="M3502">
            <v>0</v>
          </cell>
          <cell r="N3502">
            <v>0</v>
          </cell>
          <cell r="O3502">
            <v>0</v>
          </cell>
          <cell r="P3502">
            <v>0</v>
          </cell>
          <cell r="Q3502">
            <v>0</v>
          </cell>
          <cell r="R3502">
            <v>0</v>
          </cell>
          <cell r="S3502">
            <v>0</v>
          </cell>
          <cell r="T3502">
            <v>0</v>
          </cell>
          <cell r="U3502">
            <v>0</v>
          </cell>
          <cell r="V3502">
            <v>0</v>
          </cell>
          <cell r="W3502">
            <v>0</v>
          </cell>
        </row>
        <row r="3503">
          <cell r="A3503" t="str">
            <v>450197</v>
          </cell>
          <cell r="B3503" t="str">
            <v>1251</v>
          </cell>
          <cell r="C3503" t="str">
            <v>12</v>
          </cell>
          <cell r="D3503" t="str">
            <v>37</v>
          </cell>
          <cell r="E3503">
            <v>0</v>
          </cell>
          <cell r="G3503">
            <v>75176801</v>
          </cell>
          <cell r="H3503">
            <v>2126</v>
          </cell>
          <cell r="I3503">
            <v>0</v>
          </cell>
          <cell r="J3503">
            <v>2116</v>
          </cell>
          <cell r="K3503">
            <v>0</v>
          </cell>
          <cell r="L3503">
            <v>0</v>
          </cell>
          <cell r="M3503">
            <v>0</v>
          </cell>
          <cell r="N3503">
            <v>0</v>
          </cell>
          <cell r="O3503">
            <v>0</v>
          </cell>
          <cell r="P3503">
            <v>0</v>
          </cell>
          <cell r="Q3503">
            <v>0</v>
          </cell>
          <cell r="R3503">
            <v>0</v>
          </cell>
          <cell r="S3503">
            <v>0</v>
          </cell>
          <cell r="T3503">
            <v>0</v>
          </cell>
          <cell r="U3503">
            <v>0</v>
          </cell>
          <cell r="V3503">
            <v>0</v>
          </cell>
          <cell r="W3503">
            <v>0</v>
          </cell>
        </row>
        <row r="3504">
          <cell r="A3504" t="str">
            <v>450197</v>
          </cell>
          <cell r="B3504" t="str">
            <v>1251</v>
          </cell>
          <cell r="C3504" t="str">
            <v>12</v>
          </cell>
          <cell r="D3504" t="str">
            <v>37</v>
          </cell>
          <cell r="E3504">
            <v>0</v>
          </cell>
          <cell r="G3504">
            <v>80111501</v>
          </cell>
          <cell r="H3504">
            <v>543</v>
          </cell>
          <cell r="I3504">
            <v>0</v>
          </cell>
          <cell r="J3504">
            <v>435</v>
          </cell>
          <cell r="K3504">
            <v>0</v>
          </cell>
          <cell r="L3504">
            <v>0</v>
          </cell>
          <cell r="M3504">
            <v>0</v>
          </cell>
          <cell r="N3504">
            <v>0</v>
          </cell>
          <cell r="O3504">
            <v>0</v>
          </cell>
          <cell r="P3504">
            <v>0</v>
          </cell>
          <cell r="Q3504">
            <v>0</v>
          </cell>
          <cell r="R3504">
            <v>0</v>
          </cell>
          <cell r="S3504">
            <v>0</v>
          </cell>
          <cell r="T3504">
            <v>0</v>
          </cell>
          <cell r="U3504">
            <v>0</v>
          </cell>
          <cell r="V3504">
            <v>0</v>
          </cell>
          <cell r="W3504">
            <v>0</v>
          </cell>
        </row>
        <row r="3505">
          <cell r="A3505" t="str">
            <v>450197</v>
          </cell>
          <cell r="B3505" t="str">
            <v>1251</v>
          </cell>
          <cell r="C3505" t="str">
            <v>12</v>
          </cell>
          <cell r="D3505" t="str">
            <v>37</v>
          </cell>
          <cell r="E3505">
            <v>0</v>
          </cell>
          <cell r="G3505">
            <v>80111502</v>
          </cell>
          <cell r="H3505">
            <v>0</v>
          </cell>
          <cell r="I3505">
            <v>0</v>
          </cell>
          <cell r="J3505">
            <v>600</v>
          </cell>
          <cell r="K3505">
            <v>0</v>
          </cell>
          <cell r="L3505">
            <v>0</v>
          </cell>
          <cell r="M3505">
            <v>0</v>
          </cell>
          <cell r="N3505">
            <v>0</v>
          </cell>
          <cell r="O3505">
            <v>0</v>
          </cell>
          <cell r="P3505">
            <v>0</v>
          </cell>
          <cell r="Q3505">
            <v>0</v>
          </cell>
          <cell r="R3505">
            <v>0</v>
          </cell>
          <cell r="S3505">
            <v>0</v>
          </cell>
          <cell r="T3505">
            <v>0</v>
          </cell>
          <cell r="U3505">
            <v>0</v>
          </cell>
          <cell r="V3505">
            <v>0</v>
          </cell>
          <cell r="W3505">
            <v>0</v>
          </cell>
        </row>
        <row r="3506">
          <cell r="A3506" t="str">
            <v>450197</v>
          </cell>
          <cell r="B3506" t="str">
            <v>1251</v>
          </cell>
          <cell r="C3506" t="str">
            <v>12</v>
          </cell>
          <cell r="D3506" t="str">
            <v>37</v>
          </cell>
          <cell r="E3506">
            <v>0</v>
          </cell>
          <cell r="G3506">
            <v>80121401</v>
          </cell>
          <cell r="H3506">
            <v>1398</v>
          </cell>
          <cell r="I3506">
            <v>0</v>
          </cell>
          <cell r="J3506">
            <v>1427</v>
          </cell>
          <cell r="K3506">
            <v>0</v>
          </cell>
          <cell r="L3506">
            <v>0</v>
          </cell>
          <cell r="M3506">
            <v>0</v>
          </cell>
          <cell r="N3506">
            <v>0</v>
          </cell>
          <cell r="O3506">
            <v>0</v>
          </cell>
          <cell r="P3506">
            <v>0</v>
          </cell>
          <cell r="Q3506">
            <v>0</v>
          </cell>
          <cell r="R3506">
            <v>0</v>
          </cell>
          <cell r="S3506">
            <v>0</v>
          </cell>
          <cell r="T3506">
            <v>0</v>
          </cell>
          <cell r="U3506">
            <v>0</v>
          </cell>
          <cell r="V3506">
            <v>0</v>
          </cell>
          <cell r="W3506">
            <v>0</v>
          </cell>
        </row>
        <row r="3507">
          <cell r="A3507" t="str">
            <v>450197</v>
          </cell>
          <cell r="B3507" t="str">
            <v>1251</v>
          </cell>
          <cell r="C3507" t="str">
            <v>12</v>
          </cell>
          <cell r="D3507" t="str">
            <v>37</v>
          </cell>
          <cell r="E3507">
            <v>0</v>
          </cell>
          <cell r="G3507">
            <v>80121402</v>
          </cell>
          <cell r="H3507">
            <v>0</v>
          </cell>
          <cell r="I3507">
            <v>0</v>
          </cell>
          <cell r="J3507">
            <v>58</v>
          </cell>
          <cell r="K3507">
            <v>0</v>
          </cell>
          <cell r="L3507">
            <v>0</v>
          </cell>
          <cell r="M3507">
            <v>0</v>
          </cell>
          <cell r="N3507">
            <v>0</v>
          </cell>
          <cell r="O3507">
            <v>0</v>
          </cell>
          <cell r="P3507">
            <v>0</v>
          </cell>
          <cell r="Q3507">
            <v>0</v>
          </cell>
          <cell r="R3507">
            <v>0</v>
          </cell>
          <cell r="S3507">
            <v>0</v>
          </cell>
          <cell r="T3507">
            <v>0</v>
          </cell>
          <cell r="U3507">
            <v>0</v>
          </cell>
          <cell r="V3507">
            <v>0</v>
          </cell>
          <cell r="W3507">
            <v>0</v>
          </cell>
        </row>
        <row r="3508">
          <cell r="A3508" t="str">
            <v>450197</v>
          </cell>
          <cell r="B3508" t="str">
            <v>1251</v>
          </cell>
          <cell r="C3508" t="str">
            <v>12</v>
          </cell>
          <cell r="D3508" t="str">
            <v>37</v>
          </cell>
          <cell r="E3508">
            <v>0</v>
          </cell>
          <cell r="G3508">
            <v>80123601</v>
          </cell>
          <cell r="H3508">
            <v>83</v>
          </cell>
          <cell r="I3508">
            <v>0</v>
          </cell>
          <cell r="J3508">
            <v>95</v>
          </cell>
          <cell r="K3508">
            <v>0</v>
          </cell>
          <cell r="L3508">
            <v>0</v>
          </cell>
          <cell r="M3508">
            <v>0</v>
          </cell>
          <cell r="N3508">
            <v>0</v>
          </cell>
          <cell r="O3508">
            <v>0</v>
          </cell>
          <cell r="P3508">
            <v>0</v>
          </cell>
          <cell r="Q3508">
            <v>0</v>
          </cell>
          <cell r="R3508">
            <v>0</v>
          </cell>
          <cell r="S3508">
            <v>0</v>
          </cell>
          <cell r="T3508">
            <v>0</v>
          </cell>
          <cell r="U3508">
            <v>0</v>
          </cell>
          <cell r="V3508">
            <v>0</v>
          </cell>
          <cell r="W3508">
            <v>0</v>
          </cell>
        </row>
        <row r="3509">
          <cell r="A3509" t="str">
            <v>450197</v>
          </cell>
          <cell r="B3509" t="str">
            <v>1251</v>
          </cell>
          <cell r="C3509" t="str">
            <v>12</v>
          </cell>
          <cell r="D3509" t="str">
            <v>37</v>
          </cell>
          <cell r="E3509">
            <v>0</v>
          </cell>
          <cell r="G3509">
            <v>80123602</v>
          </cell>
          <cell r="H3509">
            <v>0</v>
          </cell>
          <cell r="I3509">
            <v>0</v>
          </cell>
          <cell r="J3509">
            <v>5</v>
          </cell>
          <cell r="K3509">
            <v>0</v>
          </cell>
          <cell r="L3509">
            <v>0</v>
          </cell>
          <cell r="M3509">
            <v>0</v>
          </cell>
          <cell r="N3509">
            <v>0</v>
          </cell>
          <cell r="O3509">
            <v>0</v>
          </cell>
          <cell r="P3509">
            <v>0</v>
          </cell>
          <cell r="Q3509">
            <v>0</v>
          </cell>
          <cell r="R3509">
            <v>0</v>
          </cell>
          <cell r="S3509">
            <v>0</v>
          </cell>
          <cell r="T3509">
            <v>0</v>
          </cell>
          <cell r="U3509">
            <v>0</v>
          </cell>
          <cell r="V3509">
            <v>0</v>
          </cell>
          <cell r="W3509">
            <v>0</v>
          </cell>
        </row>
        <row r="3510">
          <cell r="A3510" t="str">
            <v>450197</v>
          </cell>
          <cell r="B3510" t="str">
            <v>1251</v>
          </cell>
          <cell r="C3510" t="str">
            <v>12</v>
          </cell>
          <cell r="D3510" t="str">
            <v>37</v>
          </cell>
          <cell r="E3510">
            <v>0</v>
          </cell>
          <cell r="G3510">
            <v>80214401</v>
          </cell>
          <cell r="H3510">
            <v>370</v>
          </cell>
          <cell r="I3510">
            <v>0</v>
          </cell>
          <cell r="J3510">
            <v>381</v>
          </cell>
          <cell r="K3510">
            <v>0</v>
          </cell>
          <cell r="L3510">
            <v>0</v>
          </cell>
          <cell r="M3510">
            <v>0</v>
          </cell>
          <cell r="N3510">
            <v>0</v>
          </cell>
          <cell r="O3510">
            <v>0</v>
          </cell>
          <cell r="P3510">
            <v>0</v>
          </cell>
          <cell r="Q3510">
            <v>0</v>
          </cell>
          <cell r="R3510">
            <v>0</v>
          </cell>
          <cell r="S3510">
            <v>0</v>
          </cell>
          <cell r="T3510">
            <v>0</v>
          </cell>
          <cell r="U3510">
            <v>0</v>
          </cell>
          <cell r="V3510">
            <v>0</v>
          </cell>
          <cell r="W3510">
            <v>0</v>
          </cell>
        </row>
        <row r="3511">
          <cell r="A3511" t="str">
            <v>450197</v>
          </cell>
          <cell r="B3511" t="str">
            <v>1251</v>
          </cell>
          <cell r="C3511" t="str">
            <v>12</v>
          </cell>
          <cell r="D3511" t="str">
            <v>37</v>
          </cell>
          <cell r="E3511">
            <v>0</v>
          </cell>
          <cell r="G3511">
            <v>80214402</v>
          </cell>
          <cell r="H3511">
            <v>0</v>
          </cell>
          <cell r="I3511">
            <v>0</v>
          </cell>
          <cell r="J3511">
            <v>12</v>
          </cell>
          <cell r="K3511">
            <v>0</v>
          </cell>
          <cell r="L3511">
            <v>0</v>
          </cell>
          <cell r="M3511">
            <v>0</v>
          </cell>
          <cell r="N3511">
            <v>0</v>
          </cell>
          <cell r="O3511">
            <v>0</v>
          </cell>
          <cell r="P3511">
            <v>0</v>
          </cell>
          <cell r="Q3511">
            <v>0</v>
          </cell>
          <cell r="R3511">
            <v>0</v>
          </cell>
          <cell r="S3511">
            <v>0</v>
          </cell>
          <cell r="T3511">
            <v>0</v>
          </cell>
          <cell r="U3511">
            <v>0</v>
          </cell>
          <cell r="V3511">
            <v>0</v>
          </cell>
          <cell r="W3511">
            <v>0</v>
          </cell>
        </row>
        <row r="3512">
          <cell r="A3512" t="str">
            <v>450197</v>
          </cell>
          <cell r="B3512" t="str">
            <v>1251</v>
          </cell>
          <cell r="C3512" t="str">
            <v>12</v>
          </cell>
          <cell r="D3512" t="str">
            <v>37</v>
          </cell>
          <cell r="E3512">
            <v>0</v>
          </cell>
          <cell r="G3512">
            <v>80216601</v>
          </cell>
          <cell r="H3512">
            <v>386</v>
          </cell>
          <cell r="I3512">
            <v>-386</v>
          </cell>
          <cell r="J3512">
            <v>225</v>
          </cell>
          <cell r="K3512">
            <v>0</v>
          </cell>
          <cell r="L3512">
            <v>0</v>
          </cell>
          <cell r="M3512">
            <v>0</v>
          </cell>
          <cell r="N3512">
            <v>0</v>
          </cell>
          <cell r="O3512">
            <v>0</v>
          </cell>
          <cell r="P3512">
            <v>0</v>
          </cell>
          <cell r="Q3512">
            <v>0</v>
          </cell>
          <cell r="R3512">
            <v>0</v>
          </cell>
          <cell r="S3512">
            <v>0</v>
          </cell>
          <cell r="T3512">
            <v>0</v>
          </cell>
          <cell r="U3512">
            <v>0</v>
          </cell>
          <cell r="V3512">
            <v>0</v>
          </cell>
          <cell r="W3512">
            <v>0</v>
          </cell>
        </row>
        <row r="3513">
          <cell r="A3513" t="str">
            <v>450197</v>
          </cell>
          <cell r="B3513" t="str">
            <v>1251</v>
          </cell>
          <cell r="C3513" t="str">
            <v>12</v>
          </cell>
          <cell r="D3513" t="str">
            <v>37</v>
          </cell>
          <cell r="E3513">
            <v>0</v>
          </cell>
          <cell r="G3513">
            <v>80216602</v>
          </cell>
          <cell r="H3513">
            <v>0</v>
          </cell>
          <cell r="I3513">
            <v>0</v>
          </cell>
          <cell r="J3513">
            <v>19</v>
          </cell>
          <cell r="K3513">
            <v>0</v>
          </cell>
          <cell r="L3513">
            <v>0</v>
          </cell>
          <cell r="M3513">
            <v>0</v>
          </cell>
          <cell r="N3513">
            <v>0</v>
          </cell>
          <cell r="O3513">
            <v>0</v>
          </cell>
          <cell r="P3513">
            <v>0</v>
          </cell>
          <cell r="Q3513">
            <v>0</v>
          </cell>
          <cell r="R3513">
            <v>0</v>
          </cell>
          <cell r="S3513">
            <v>0</v>
          </cell>
          <cell r="T3513">
            <v>0</v>
          </cell>
          <cell r="U3513">
            <v>0</v>
          </cell>
          <cell r="V3513">
            <v>0</v>
          </cell>
          <cell r="W3513">
            <v>0</v>
          </cell>
        </row>
        <row r="3514">
          <cell r="A3514" t="str">
            <v>450197</v>
          </cell>
          <cell r="B3514" t="str">
            <v>1251</v>
          </cell>
          <cell r="C3514" t="str">
            <v>12</v>
          </cell>
          <cell r="D3514" t="str">
            <v>37</v>
          </cell>
          <cell r="E3514">
            <v>0</v>
          </cell>
          <cell r="G3514">
            <v>80217701</v>
          </cell>
          <cell r="H3514">
            <v>127</v>
          </cell>
          <cell r="I3514">
            <v>0</v>
          </cell>
          <cell r="J3514">
            <v>127</v>
          </cell>
          <cell r="K3514">
            <v>0</v>
          </cell>
          <cell r="L3514">
            <v>0</v>
          </cell>
          <cell r="M3514">
            <v>0</v>
          </cell>
          <cell r="N3514">
            <v>0</v>
          </cell>
          <cell r="O3514">
            <v>0</v>
          </cell>
          <cell r="P3514">
            <v>0</v>
          </cell>
          <cell r="Q3514">
            <v>0</v>
          </cell>
          <cell r="R3514">
            <v>0</v>
          </cell>
          <cell r="S3514">
            <v>0</v>
          </cell>
          <cell r="T3514">
            <v>0</v>
          </cell>
          <cell r="U3514">
            <v>0</v>
          </cell>
          <cell r="V3514">
            <v>0</v>
          </cell>
          <cell r="W3514">
            <v>0</v>
          </cell>
        </row>
        <row r="3515">
          <cell r="A3515" t="str">
            <v>450197</v>
          </cell>
          <cell r="B3515" t="str">
            <v>1251</v>
          </cell>
          <cell r="C3515" t="str">
            <v>12</v>
          </cell>
          <cell r="D3515" t="str">
            <v>37</v>
          </cell>
          <cell r="E3515">
            <v>0</v>
          </cell>
          <cell r="G3515">
            <v>80217702</v>
          </cell>
          <cell r="H3515">
            <v>0</v>
          </cell>
          <cell r="I3515">
            <v>0</v>
          </cell>
          <cell r="J3515">
            <v>4</v>
          </cell>
          <cell r="K3515">
            <v>0</v>
          </cell>
          <cell r="L3515">
            <v>0</v>
          </cell>
          <cell r="M3515">
            <v>0</v>
          </cell>
          <cell r="N3515">
            <v>0</v>
          </cell>
          <cell r="O3515">
            <v>0</v>
          </cell>
          <cell r="P3515">
            <v>0</v>
          </cell>
          <cell r="Q3515">
            <v>0</v>
          </cell>
          <cell r="R3515">
            <v>0</v>
          </cell>
          <cell r="S3515">
            <v>0</v>
          </cell>
          <cell r="T3515">
            <v>0</v>
          </cell>
          <cell r="U3515">
            <v>0</v>
          </cell>
          <cell r="V3515">
            <v>0</v>
          </cell>
          <cell r="W3515">
            <v>0</v>
          </cell>
        </row>
        <row r="3516">
          <cell r="A3516" t="str">
            <v>450197</v>
          </cell>
          <cell r="B3516" t="str">
            <v>1251</v>
          </cell>
          <cell r="C3516" t="str">
            <v>12</v>
          </cell>
          <cell r="D3516" t="str">
            <v>37</v>
          </cell>
          <cell r="E3516">
            <v>0</v>
          </cell>
          <cell r="G3516">
            <v>80219901</v>
          </cell>
          <cell r="H3516">
            <v>35</v>
          </cell>
          <cell r="I3516">
            <v>0</v>
          </cell>
          <cell r="J3516">
            <v>32</v>
          </cell>
          <cell r="K3516">
            <v>0</v>
          </cell>
          <cell r="L3516">
            <v>0</v>
          </cell>
          <cell r="M3516">
            <v>0</v>
          </cell>
          <cell r="N3516">
            <v>0</v>
          </cell>
          <cell r="O3516">
            <v>0</v>
          </cell>
          <cell r="P3516">
            <v>0</v>
          </cell>
          <cell r="Q3516">
            <v>0</v>
          </cell>
          <cell r="R3516">
            <v>0</v>
          </cell>
          <cell r="S3516">
            <v>0</v>
          </cell>
          <cell r="T3516">
            <v>0</v>
          </cell>
          <cell r="U3516">
            <v>0</v>
          </cell>
          <cell r="V3516">
            <v>0</v>
          </cell>
          <cell r="W3516">
            <v>0</v>
          </cell>
        </row>
        <row r="3517">
          <cell r="A3517" t="str">
            <v>450197</v>
          </cell>
          <cell r="B3517" t="str">
            <v>1251</v>
          </cell>
          <cell r="C3517" t="str">
            <v>12</v>
          </cell>
          <cell r="D3517" t="str">
            <v>37</v>
          </cell>
          <cell r="E3517">
            <v>0</v>
          </cell>
          <cell r="G3517">
            <v>80219902</v>
          </cell>
          <cell r="H3517">
            <v>0</v>
          </cell>
          <cell r="I3517">
            <v>0</v>
          </cell>
          <cell r="J3517">
            <v>2</v>
          </cell>
          <cell r="K3517">
            <v>0</v>
          </cell>
          <cell r="L3517">
            <v>0</v>
          </cell>
          <cell r="M3517">
            <v>0</v>
          </cell>
          <cell r="N3517">
            <v>0</v>
          </cell>
          <cell r="O3517">
            <v>0</v>
          </cell>
          <cell r="P3517">
            <v>0</v>
          </cell>
          <cell r="Q3517">
            <v>0</v>
          </cell>
          <cell r="R3517">
            <v>0</v>
          </cell>
          <cell r="S3517">
            <v>0</v>
          </cell>
          <cell r="T3517">
            <v>0</v>
          </cell>
          <cell r="U3517">
            <v>0</v>
          </cell>
          <cell r="V3517">
            <v>0</v>
          </cell>
          <cell r="W3517">
            <v>0</v>
          </cell>
        </row>
        <row r="3518">
          <cell r="A3518" t="str">
            <v>450197</v>
          </cell>
          <cell r="B3518" t="str">
            <v>1251</v>
          </cell>
          <cell r="C3518" t="str">
            <v>12</v>
          </cell>
          <cell r="D3518" t="str">
            <v>37</v>
          </cell>
          <cell r="E3518">
            <v>0</v>
          </cell>
          <cell r="G3518">
            <v>80226301</v>
          </cell>
          <cell r="H3518">
            <v>112</v>
          </cell>
          <cell r="I3518">
            <v>-112</v>
          </cell>
          <cell r="J3518">
            <v>65</v>
          </cell>
          <cell r="K3518">
            <v>0</v>
          </cell>
          <cell r="L3518">
            <v>0</v>
          </cell>
          <cell r="M3518">
            <v>0</v>
          </cell>
          <cell r="N3518">
            <v>0</v>
          </cell>
          <cell r="O3518">
            <v>0</v>
          </cell>
          <cell r="P3518">
            <v>0</v>
          </cell>
          <cell r="Q3518">
            <v>0</v>
          </cell>
          <cell r="R3518">
            <v>0</v>
          </cell>
          <cell r="S3518">
            <v>0</v>
          </cell>
          <cell r="T3518">
            <v>0</v>
          </cell>
          <cell r="U3518">
            <v>0</v>
          </cell>
          <cell r="V3518">
            <v>0</v>
          </cell>
          <cell r="W3518">
            <v>0</v>
          </cell>
        </row>
        <row r="3519">
          <cell r="A3519" t="str">
            <v>450197</v>
          </cell>
          <cell r="B3519" t="str">
            <v>1251</v>
          </cell>
          <cell r="C3519" t="str">
            <v>12</v>
          </cell>
          <cell r="D3519" t="str">
            <v>37</v>
          </cell>
          <cell r="E3519">
            <v>0</v>
          </cell>
          <cell r="G3519">
            <v>80226302</v>
          </cell>
          <cell r="H3519">
            <v>0</v>
          </cell>
          <cell r="I3519">
            <v>0</v>
          </cell>
          <cell r="J3519">
            <v>4</v>
          </cell>
          <cell r="K3519">
            <v>0</v>
          </cell>
          <cell r="L3519">
            <v>0</v>
          </cell>
          <cell r="M3519">
            <v>0</v>
          </cell>
          <cell r="N3519">
            <v>0</v>
          </cell>
          <cell r="O3519">
            <v>0</v>
          </cell>
          <cell r="P3519">
            <v>0</v>
          </cell>
          <cell r="Q3519">
            <v>0</v>
          </cell>
          <cell r="R3519">
            <v>0</v>
          </cell>
          <cell r="S3519">
            <v>0</v>
          </cell>
          <cell r="T3519">
            <v>0</v>
          </cell>
          <cell r="U3519">
            <v>0</v>
          </cell>
          <cell r="V3519">
            <v>0</v>
          </cell>
          <cell r="W3519">
            <v>0</v>
          </cell>
        </row>
        <row r="3520">
          <cell r="A3520" t="str">
            <v>450197</v>
          </cell>
          <cell r="B3520" t="str">
            <v>1251</v>
          </cell>
          <cell r="C3520" t="str">
            <v>12</v>
          </cell>
          <cell r="D3520" t="str">
            <v>37</v>
          </cell>
          <cell r="E3520">
            <v>0</v>
          </cell>
          <cell r="G3520">
            <v>80402801</v>
          </cell>
          <cell r="H3520">
            <v>31</v>
          </cell>
          <cell r="I3520">
            <v>0</v>
          </cell>
          <cell r="J3520">
            <v>31</v>
          </cell>
          <cell r="K3520">
            <v>0</v>
          </cell>
          <cell r="L3520">
            <v>0</v>
          </cell>
          <cell r="M3520">
            <v>0</v>
          </cell>
          <cell r="N3520">
            <v>0</v>
          </cell>
          <cell r="O3520">
            <v>0</v>
          </cell>
          <cell r="P3520">
            <v>0</v>
          </cell>
          <cell r="Q3520">
            <v>0</v>
          </cell>
          <cell r="R3520">
            <v>0</v>
          </cell>
          <cell r="S3520">
            <v>0</v>
          </cell>
          <cell r="T3520">
            <v>0</v>
          </cell>
          <cell r="U3520">
            <v>0</v>
          </cell>
          <cell r="V3520">
            <v>0</v>
          </cell>
          <cell r="W3520">
            <v>0</v>
          </cell>
        </row>
        <row r="3521">
          <cell r="A3521" t="str">
            <v>450197</v>
          </cell>
          <cell r="B3521" t="str">
            <v>1251</v>
          </cell>
          <cell r="C3521" t="str">
            <v>12</v>
          </cell>
          <cell r="D3521" t="str">
            <v>37</v>
          </cell>
          <cell r="E3521">
            <v>0</v>
          </cell>
          <cell r="G3521">
            <v>80402802</v>
          </cell>
          <cell r="H3521">
            <v>0</v>
          </cell>
          <cell r="I3521">
            <v>0</v>
          </cell>
          <cell r="J3521">
            <v>4</v>
          </cell>
          <cell r="K3521">
            <v>0</v>
          </cell>
          <cell r="L3521">
            <v>0</v>
          </cell>
          <cell r="M3521">
            <v>0</v>
          </cell>
          <cell r="N3521">
            <v>0</v>
          </cell>
          <cell r="O3521">
            <v>0</v>
          </cell>
          <cell r="P3521">
            <v>0</v>
          </cell>
          <cell r="Q3521">
            <v>0</v>
          </cell>
          <cell r="R3521">
            <v>0</v>
          </cell>
          <cell r="S3521">
            <v>0</v>
          </cell>
          <cell r="T3521">
            <v>0</v>
          </cell>
          <cell r="U3521">
            <v>0</v>
          </cell>
          <cell r="V3521">
            <v>0</v>
          </cell>
          <cell r="W3521">
            <v>0</v>
          </cell>
        </row>
        <row r="3522">
          <cell r="A3522" t="str">
            <v>450197</v>
          </cell>
          <cell r="B3522" t="str">
            <v>1251</v>
          </cell>
          <cell r="C3522" t="str">
            <v>12</v>
          </cell>
          <cell r="D3522" t="str">
            <v>37</v>
          </cell>
          <cell r="E3522">
            <v>0</v>
          </cell>
          <cell r="G3522">
            <v>80511301</v>
          </cell>
          <cell r="H3522">
            <v>812</v>
          </cell>
          <cell r="I3522">
            <v>0</v>
          </cell>
          <cell r="J3522">
            <v>837</v>
          </cell>
          <cell r="K3522">
            <v>0</v>
          </cell>
          <cell r="L3522">
            <v>0</v>
          </cell>
          <cell r="M3522">
            <v>0</v>
          </cell>
          <cell r="N3522">
            <v>0</v>
          </cell>
          <cell r="O3522">
            <v>0</v>
          </cell>
          <cell r="P3522">
            <v>0</v>
          </cell>
          <cell r="Q3522">
            <v>0</v>
          </cell>
          <cell r="R3522">
            <v>0</v>
          </cell>
          <cell r="S3522">
            <v>0</v>
          </cell>
          <cell r="T3522">
            <v>0</v>
          </cell>
          <cell r="U3522">
            <v>0</v>
          </cell>
          <cell r="V3522">
            <v>0</v>
          </cell>
          <cell r="W3522">
            <v>0</v>
          </cell>
        </row>
        <row r="3523">
          <cell r="A3523" t="str">
            <v>450197</v>
          </cell>
          <cell r="B3523" t="str">
            <v>1251</v>
          </cell>
          <cell r="C3523" t="str">
            <v>12</v>
          </cell>
          <cell r="D3523" t="str">
            <v>37</v>
          </cell>
          <cell r="E3523">
            <v>0</v>
          </cell>
          <cell r="G3523">
            <v>80511302</v>
          </cell>
          <cell r="H3523">
            <v>0</v>
          </cell>
          <cell r="I3523">
            <v>0</v>
          </cell>
          <cell r="J3523">
            <v>33</v>
          </cell>
          <cell r="K3523">
            <v>0</v>
          </cell>
          <cell r="L3523">
            <v>0</v>
          </cell>
          <cell r="M3523">
            <v>0</v>
          </cell>
          <cell r="N3523">
            <v>0</v>
          </cell>
          <cell r="O3523">
            <v>0</v>
          </cell>
          <cell r="P3523">
            <v>0</v>
          </cell>
          <cell r="Q3523">
            <v>0</v>
          </cell>
          <cell r="R3523">
            <v>0</v>
          </cell>
          <cell r="S3523">
            <v>0</v>
          </cell>
          <cell r="T3523">
            <v>0</v>
          </cell>
          <cell r="U3523">
            <v>0</v>
          </cell>
          <cell r="V3523">
            <v>0</v>
          </cell>
          <cell r="W3523">
            <v>0</v>
          </cell>
        </row>
        <row r="3524">
          <cell r="A3524" t="str">
            <v>450197</v>
          </cell>
          <cell r="B3524" t="str">
            <v>1251</v>
          </cell>
          <cell r="C3524" t="str">
            <v>12</v>
          </cell>
          <cell r="D3524" t="str">
            <v>37</v>
          </cell>
          <cell r="E3524">
            <v>0</v>
          </cell>
          <cell r="G3524">
            <v>85321101</v>
          </cell>
          <cell r="H3524">
            <v>50</v>
          </cell>
          <cell r="I3524">
            <v>0</v>
          </cell>
          <cell r="J3524">
            <v>50</v>
          </cell>
          <cell r="K3524">
            <v>0</v>
          </cell>
          <cell r="L3524">
            <v>0</v>
          </cell>
          <cell r="M3524">
            <v>0</v>
          </cell>
          <cell r="N3524">
            <v>0</v>
          </cell>
          <cell r="O3524">
            <v>0</v>
          </cell>
          <cell r="P3524">
            <v>0</v>
          </cell>
          <cell r="Q3524">
            <v>0</v>
          </cell>
          <cell r="R3524">
            <v>0</v>
          </cell>
          <cell r="S3524">
            <v>0</v>
          </cell>
          <cell r="T3524">
            <v>0</v>
          </cell>
          <cell r="U3524">
            <v>0</v>
          </cell>
          <cell r="V3524">
            <v>0</v>
          </cell>
          <cell r="W3524">
            <v>0</v>
          </cell>
        </row>
        <row r="3525">
          <cell r="A3525" t="str">
            <v>450197</v>
          </cell>
          <cell r="B3525" t="str">
            <v>1251</v>
          </cell>
          <cell r="C3525" t="str">
            <v>12</v>
          </cell>
          <cell r="D3525" t="str">
            <v>37</v>
          </cell>
          <cell r="E3525">
            <v>0</v>
          </cell>
          <cell r="G3525">
            <v>85321102</v>
          </cell>
          <cell r="H3525">
            <v>0</v>
          </cell>
          <cell r="I3525">
            <v>0</v>
          </cell>
          <cell r="J3525">
            <v>56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</row>
        <row r="3526">
          <cell r="A3526" t="str">
            <v>450197</v>
          </cell>
          <cell r="B3526" t="str">
            <v>1251</v>
          </cell>
          <cell r="C3526" t="str">
            <v>12</v>
          </cell>
          <cell r="D3526" t="str">
            <v>37</v>
          </cell>
          <cell r="E3526">
            <v>0</v>
          </cell>
          <cell r="G3526">
            <v>92181501</v>
          </cell>
          <cell r="H3526">
            <v>1</v>
          </cell>
          <cell r="I3526">
            <v>0</v>
          </cell>
          <cell r="J3526">
            <v>1</v>
          </cell>
          <cell r="K3526">
            <v>0</v>
          </cell>
          <cell r="L3526">
            <v>0</v>
          </cell>
          <cell r="M3526">
            <v>0</v>
          </cell>
          <cell r="N3526">
            <v>0</v>
          </cell>
          <cell r="O3526">
            <v>0</v>
          </cell>
          <cell r="P3526">
            <v>0</v>
          </cell>
          <cell r="Q3526">
            <v>0</v>
          </cell>
          <cell r="R3526">
            <v>0</v>
          </cell>
          <cell r="S3526">
            <v>0</v>
          </cell>
          <cell r="T3526">
            <v>0</v>
          </cell>
          <cell r="U3526">
            <v>0</v>
          </cell>
          <cell r="V3526">
            <v>0</v>
          </cell>
          <cell r="W3526">
            <v>0</v>
          </cell>
        </row>
        <row r="3527">
          <cell r="A3527" t="str">
            <v>450197</v>
          </cell>
          <cell r="B3527" t="str">
            <v>1251</v>
          </cell>
          <cell r="C3527" t="str">
            <v>12</v>
          </cell>
          <cell r="D3527" t="str">
            <v>37</v>
          </cell>
          <cell r="E3527">
            <v>0</v>
          </cell>
          <cell r="G3527">
            <v>92312701</v>
          </cell>
          <cell r="H3527">
            <v>1</v>
          </cell>
          <cell r="I3527">
            <v>0</v>
          </cell>
          <cell r="J3527">
            <v>1</v>
          </cell>
          <cell r="K3527">
            <v>0</v>
          </cell>
          <cell r="L3527">
            <v>0</v>
          </cell>
          <cell r="M3527">
            <v>0</v>
          </cell>
          <cell r="N3527">
            <v>0</v>
          </cell>
          <cell r="O3527">
            <v>0</v>
          </cell>
          <cell r="P3527">
            <v>0</v>
          </cell>
          <cell r="Q3527">
            <v>0</v>
          </cell>
          <cell r="R3527">
            <v>0</v>
          </cell>
          <cell r="S3527">
            <v>0</v>
          </cell>
          <cell r="T3527">
            <v>0</v>
          </cell>
          <cell r="U3527">
            <v>0</v>
          </cell>
          <cell r="V3527">
            <v>0</v>
          </cell>
          <cell r="W3527">
            <v>0</v>
          </cell>
        </row>
        <row r="3528">
          <cell r="A3528" t="str">
            <v>450197</v>
          </cell>
          <cell r="B3528" t="str">
            <v>1251</v>
          </cell>
          <cell r="C3528" t="str">
            <v>12</v>
          </cell>
          <cell r="D3528" t="str">
            <v>37</v>
          </cell>
          <cell r="E3528">
            <v>0</v>
          </cell>
          <cell r="G3528">
            <v>92312702</v>
          </cell>
          <cell r="H3528">
            <v>2218</v>
          </cell>
          <cell r="I3528">
            <v>0</v>
          </cell>
          <cell r="J3528">
            <v>2218</v>
          </cell>
          <cell r="K3528">
            <v>0</v>
          </cell>
          <cell r="L3528">
            <v>0</v>
          </cell>
          <cell r="M3528">
            <v>0</v>
          </cell>
          <cell r="N3528">
            <v>0</v>
          </cell>
          <cell r="O3528">
            <v>0</v>
          </cell>
          <cell r="P3528">
            <v>0</v>
          </cell>
          <cell r="Q3528">
            <v>0</v>
          </cell>
          <cell r="R3528">
            <v>0</v>
          </cell>
          <cell r="S3528">
            <v>0</v>
          </cell>
          <cell r="T3528">
            <v>0</v>
          </cell>
          <cell r="U3528">
            <v>0</v>
          </cell>
          <cell r="V3528">
            <v>0</v>
          </cell>
          <cell r="W3528">
            <v>0</v>
          </cell>
        </row>
        <row r="3529">
          <cell r="A3529" t="str">
            <v>450197</v>
          </cell>
          <cell r="B3529" t="str">
            <v>1251</v>
          </cell>
          <cell r="C3529" t="str">
            <v>12</v>
          </cell>
          <cell r="D3529" t="str">
            <v>37</v>
          </cell>
          <cell r="E3529">
            <v>0</v>
          </cell>
          <cell r="G3529">
            <v>99999901</v>
          </cell>
          <cell r="H3529">
            <v>7716</v>
          </cell>
          <cell r="I3529">
            <v>-498</v>
          </cell>
          <cell r="J3529">
            <v>7290</v>
          </cell>
          <cell r="K3529">
            <v>0</v>
          </cell>
          <cell r="L3529">
            <v>0</v>
          </cell>
          <cell r="M3529">
            <v>0</v>
          </cell>
          <cell r="N3529">
            <v>0</v>
          </cell>
          <cell r="O3529">
            <v>0</v>
          </cell>
          <cell r="P3529">
            <v>0</v>
          </cell>
          <cell r="Q3529">
            <v>0</v>
          </cell>
          <cell r="R3529">
            <v>0</v>
          </cell>
          <cell r="S3529">
            <v>0</v>
          </cell>
          <cell r="T3529">
            <v>0</v>
          </cell>
          <cell r="U3529">
            <v>0</v>
          </cell>
          <cell r="V3529">
            <v>0</v>
          </cell>
          <cell r="W3529">
            <v>0</v>
          </cell>
        </row>
        <row r="3530">
          <cell r="A3530" t="str">
            <v>450197</v>
          </cell>
          <cell r="B3530" t="str">
            <v>1251</v>
          </cell>
          <cell r="C3530" t="str">
            <v>12</v>
          </cell>
          <cell r="D3530" t="str">
            <v>37</v>
          </cell>
          <cell r="E3530">
            <v>0</v>
          </cell>
          <cell r="G3530">
            <v>99999902</v>
          </cell>
          <cell r="H3530">
            <v>2218</v>
          </cell>
          <cell r="I3530">
            <v>0</v>
          </cell>
          <cell r="J3530">
            <v>3496</v>
          </cell>
          <cell r="K3530">
            <v>0</v>
          </cell>
          <cell r="L3530">
            <v>0</v>
          </cell>
          <cell r="M3530">
            <v>0</v>
          </cell>
          <cell r="N3530">
            <v>0</v>
          </cell>
          <cell r="O3530">
            <v>0</v>
          </cell>
          <cell r="P3530">
            <v>0</v>
          </cell>
          <cell r="Q3530">
            <v>0</v>
          </cell>
          <cell r="R3530">
            <v>0</v>
          </cell>
          <cell r="S3530">
            <v>0</v>
          </cell>
          <cell r="T3530">
            <v>0</v>
          </cell>
          <cell r="U3530">
            <v>0</v>
          </cell>
          <cell r="V3530">
            <v>0</v>
          </cell>
          <cell r="W3530">
            <v>0</v>
          </cell>
        </row>
        <row r="3531">
          <cell r="A3531" t="str">
            <v>450197</v>
          </cell>
          <cell r="B3531" t="str">
            <v>1251</v>
          </cell>
          <cell r="C3531" t="str">
            <v>12</v>
          </cell>
          <cell r="D3531" t="str">
            <v>38</v>
          </cell>
          <cell r="E3531">
            <v>1</v>
          </cell>
          <cell r="G3531">
            <v>15192</v>
          </cell>
          <cell r="H3531">
            <v>1092422</v>
          </cell>
          <cell r="I3531">
            <v>247321</v>
          </cell>
          <cell r="J3531">
            <v>27592</v>
          </cell>
          <cell r="K3531">
            <v>0</v>
          </cell>
          <cell r="L3531">
            <v>0</v>
          </cell>
          <cell r="M3531">
            <v>4714</v>
          </cell>
          <cell r="N3531">
            <v>1387241</v>
          </cell>
          <cell r="O3531">
            <v>0</v>
          </cell>
          <cell r="P3531">
            <v>0</v>
          </cell>
          <cell r="Q3531">
            <v>0</v>
          </cell>
          <cell r="R3531">
            <v>0</v>
          </cell>
          <cell r="S3531">
            <v>0</v>
          </cell>
          <cell r="T3531">
            <v>0</v>
          </cell>
          <cell r="U3531">
            <v>0</v>
          </cell>
          <cell r="V3531">
            <v>0</v>
          </cell>
          <cell r="W3531">
            <v>0</v>
          </cell>
        </row>
        <row r="3532">
          <cell r="A3532" t="str">
            <v>450197</v>
          </cell>
          <cell r="B3532" t="str">
            <v>1251</v>
          </cell>
          <cell r="C3532" t="str">
            <v>12</v>
          </cell>
          <cell r="D3532" t="str">
            <v>38</v>
          </cell>
          <cell r="E3532">
            <v>2</v>
          </cell>
          <cell r="G3532">
            <v>157</v>
          </cell>
          <cell r="H3532">
            <v>0</v>
          </cell>
          <cell r="I3532">
            <v>11164</v>
          </cell>
          <cell r="J3532">
            <v>4458</v>
          </cell>
          <cell r="K3532">
            <v>0</v>
          </cell>
          <cell r="L3532">
            <v>0</v>
          </cell>
          <cell r="M3532">
            <v>0</v>
          </cell>
          <cell r="N3532">
            <v>15779</v>
          </cell>
          <cell r="O3532">
            <v>0</v>
          </cell>
          <cell r="P3532">
            <v>0</v>
          </cell>
          <cell r="Q3532">
            <v>0</v>
          </cell>
          <cell r="R3532">
            <v>0</v>
          </cell>
          <cell r="S3532">
            <v>0</v>
          </cell>
          <cell r="T3532">
            <v>0</v>
          </cell>
          <cell r="U3532">
            <v>0</v>
          </cell>
          <cell r="V3532">
            <v>0</v>
          </cell>
          <cell r="W3532">
            <v>0</v>
          </cell>
        </row>
        <row r="3533">
          <cell r="A3533" t="str">
            <v>450197</v>
          </cell>
          <cell r="B3533" t="str">
            <v>1251</v>
          </cell>
          <cell r="C3533" t="str">
            <v>12</v>
          </cell>
          <cell r="D3533" t="str">
            <v>38</v>
          </cell>
          <cell r="E3533">
            <v>3</v>
          </cell>
          <cell r="G3533">
            <v>0</v>
          </cell>
          <cell r="H3533">
            <v>0</v>
          </cell>
          <cell r="I3533">
            <v>0</v>
          </cell>
          <cell r="J3533">
            <v>0</v>
          </cell>
          <cell r="K3533">
            <v>0</v>
          </cell>
          <cell r="L3533">
            <v>0</v>
          </cell>
          <cell r="M3533">
            <v>0</v>
          </cell>
          <cell r="N3533">
            <v>0</v>
          </cell>
          <cell r="O3533">
            <v>0</v>
          </cell>
          <cell r="P3533">
            <v>0</v>
          </cell>
          <cell r="Q3533">
            <v>0</v>
          </cell>
          <cell r="R3533">
            <v>0</v>
          </cell>
          <cell r="S3533">
            <v>0</v>
          </cell>
          <cell r="T3533">
            <v>0</v>
          </cell>
          <cell r="U3533">
            <v>0</v>
          </cell>
          <cell r="V3533">
            <v>0</v>
          </cell>
          <cell r="W3533">
            <v>0</v>
          </cell>
        </row>
        <row r="3534">
          <cell r="A3534" t="str">
            <v>450197</v>
          </cell>
          <cell r="B3534" t="str">
            <v>1251</v>
          </cell>
          <cell r="C3534" t="str">
            <v>12</v>
          </cell>
          <cell r="D3534" t="str">
            <v>38</v>
          </cell>
          <cell r="E3534">
            <v>4</v>
          </cell>
          <cell r="G3534">
            <v>39</v>
          </cell>
          <cell r="H3534">
            <v>0</v>
          </cell>
          <cell r="I3534">
            <v>2309</v>
          </cell>
          <cell r="J3534">
            <v>892</v>
          </cell>
          <cell r="K3534">
            <v>0</v>
          </cell>
          <cell r="L3534">
            <v>0</v>
          </cell>
          <cell r="M3534">
            <v>0</v>
          </cell>
          <cell r="N3534">
            <v>3240</v>
          </cell>
          <cell r="O3534">
            <v>0</v>
          </cell>
          <cell r="P3534">
            <v>0</v>
          </cell>
          <cell r="Q3534">
            <v>0</v>
          </cell>
          <cell r="R3534">
            <v>0</v>
          </cell>
          <cell r="S3534">
            <v>0</v>
          </cell>
          <cell r="T3534">
            <v>0</v>
          </cell>
          <cell r="U3534">
            <v>0</v>
          </cell>
          <cell r="V3534">
            <v>0</v>
          </cell>
          <cell r="W3534">
            <v>0</v>
          </cell>
        </row>
        <row r="3535">
          <cell r="A3535" t="str">
            <v>450197</v>
          </cell>
          <cell r="B3535" t="str">
            <v>1251</v>
          </cell>
          <cell r="C3535" t="str">
            <v>12</v>
          </cell>
          <cell r="D3535" t="str">
            <v>38</v>
          </cell>
          <cell r="E3535">
            <v>5</v>
          </cell>
          <cell r="G3535">
            <v>196</v>
          </cell>
          <cell r="H3535">
            <v>0</v>
          </cell>
          <cell r="I3535">
            <v>13473</v>
          </cell>
          <cell r="J3535">
            <v>5350</v>
          </cell>
          <cell r="K3535">
            <v>0</v>
          </cell>
          <cell r="L3535">
            <v>0</v>
          </cell>
          <cell r="M3535">
            <v>0</v>
          </cell>
          <cell r="N3535">
            <v>19019</v>
          </cell>
          <cell r="O3535">
            <v>0</v>
          </cell>
          <cell r="P3535">
            <v>0</v>
          </cell>
          <cell r="Q3535">
            <v>0</v>
          </cell>
          <cell r="R3535">
            <v>0</v>
          </cell>
          <cell r="S3535">
            <v>0</v>
          </cell>
          <cell r="T3535">
            <v>0</v>
          </cell>
          <cell r="U3535">
            <v>0</v>
          </cell>
          <cell r="V3535">
            <v>0</v>
          </cell>
          <cell r="W3535">
            <v>0</v>
          </cell>
        </row>
        <row r="3536">
          <cell r="A3536" t="str">
            <v>450197</v>
          </cell>
          <cell r="B3536" t="str">
            <v>1251</v>
          </cell>
          <cell r="C3536" t="str">
            <v>12</v>
          </cell>
          <cell r="D3536" t="str">
            <v>38</v>
          </cell>
          <cell r="E3536">
            <v>6</v>
          </cell>
          <cell r="G3536">
            <v>0</v>
          </cell>
          <cell r="H3536">
            <v>0</v>
          </cell>
          <cell r="I3536">
            <v>0</v>
          </cell>
          <cell r="J3536">
            <v>0</v>
          </cell>
          <cell r="K3536">
            <v>0</v>
          </cell>
          <cell r="L3536">
            <v>0</v>
          </cell>
          <cell r="M3536">
            <v>0</v>
          </cell>
          <cell r="N3536">
            <v>0</v>
          </cell>
          <cell r="O3536">
            <v>0</v>
          </cell>
          <cell r="P3536">
            <v>0</v>
          </cell>
          <cell r="Q3536">
            <v>0</v>
          </cell>
          <cell r="R3536">
            <v>0</v>
          </cell>
          <cell r="S3536">
            <v>0</v>
          </cell>
          <cell r="T3536">
            <v>0</v>
          </cell>
          <cell r="U3536">
            <v>0</v>
          </cell>
          <cell r="V3536">
            <v>0</v>
          </cell>
          <cell r="W3536">
            <v>0</v>
          </cell>
        </row>
        <row r="3537">
          <cell r="A3537" t="str">
            <v>450197</v>
          </cell>
          <cell r="B3537" t="str">
            <v>1251</v>
          </cell>
          <cell r="C3537" t="str">
            <v>12</v>
          </cell>
          <cell r="D3537" t="str">
            <v>38</v>
          </cell>
          <cell r="E3537">
            <v>7</v>
          </cell>
          <cell r="G3537">
            <v>0</v>
          </cell>
          <cell r="H3537">
            <v>0</v>
          </cell>
          <cell r="I3537">
            <v>0</v>
          </cell>
          <cell r="J3537">
            <v>0</v>
          </cell>
          <cell r="K3537">
            <v>0</v>
          </cell>
          <cell r="L3537">
            <v>0</v>
          </cell>
          <cell r="M3537">
            <v>0</v>
          </cell>
          <cell r="N3537">
            <v>0</v>
          </cell>
          <cell r="O3537">
            <v>0</v>
          </cell>
          <cell r="P3537">
            <v>0</v>
          </cell>
          <cell r="Q3537">
            <v>0</v>
          </cell>
          <cell r="R3537">
            <v>0</v>
          </cell>
          <cell r="S3537">
            <v>0</v>
          </cell>
          <cell r="T3537">
            <v>0</v>
          </cell>
          <cell r="U3537">
            <v>0</v>
          </cell>
          <cell r="V3537">
            <v>0</v>
          </cell>
          <cell r="W3537">
            <v>0</v>
          </cell>
        </row>
        <row r="3538">
          <cell r="A3538" t="str">
            <v>450197</v>
          </cell>
          <cell r="B3538" t="str">
            <v>1251</v>
          </cell>
          <cell r="C3538" t="str">
            <v>12</v>
          </cell>
          <cell r="D3538" t="str">
            <v>38</v>
          </cell>
          <cell r="E3538">
            <v>8</v>
          </cell>
          <cell r="G3538">
            <v>0</v>
          </cell>
          <cell r="H3538">
            <v>2284</v>
          </cell>
          <cell r="I3538">
            <v>77</v>
          </cell>
          <cell r="J3538">
            <v>0</v>
          </cell>
          <cell r="K3538">
            <v>0</v>
          </cell>
          <cell r="L3538">
            <v>0</v>
          </cell>
          <cell r="M3538">
            <v>0</v>
          </cell>
          <cell r="N3538">
            <v>2361</v>
          </cell>
          <cell r="O3538">
            <v>0</v>
          </cell>
          <cell r="P3538">
            <v>0</v>
          </cell>
          <cell r="Q3538">
            <v>0</v>
          </cell>
          <cell r="R3538">
            <v>0</v>
          </cell>
          <cell r="S3538">
            <v>0</v>
          </cell>
          <cell r="T3538">
            <v>0</v>
          </cell>
          <cell r="U3538">
            <v>0</v>
          </cell>
          <cell r="V3538">
            <v>0</v>
          </cell>
          <cell r="W3538">
            <v>0</v>
          </cell>
        </row>
        <row r="3539">
          <cell r="A3539" t="str">
            <v>450197</v>
          </cell>
          <cell r="B3539" t="str">
            <v>1251</v>
          </cell>
          <cell r="C3539" t="str">
            <v>12</v>
          </cell>
          <cell r="D3539" t="str">
            <v>38</v>
          </cell>
          <cell r="E3539">
            <v>9</v>
          </cell>
          <cell r="G3539">
            <v>0</v>
          </cell>
          <cell r="H3539">
            <v>0</v>
          </cell>
          <cell r="I3539">
            <v>210</v>
          </cell>
          <cell r="J3539">
            <v>0</v>
          </cell>
          <cell r="K3539">
            <v>0</v>
          </cell>
          <cell r="L3539">
            <v>0</v>
          </cell>
          <cell r="M3539">
            <v>0</v>
          </cell>
          <cell r="N3539">
            <v>210</v>
          </cell>
          <cell r="O3539">
            <v>0</v>
          </cell>
          <cell r="P3539">
            <v>0</v>
          </cell>
          <cell r="Q3539">
            <v>0</v>
          </cell>
          <cell r="R3539">
            <v>0</v>
          </cell>
          <cell r="S3539">
            <v>0</v>
          </cell>
          <cell r="T3539">
            <v>0</v>
          </cell>
          <cell r="U3539">
            <v>0</v>
          </cell>
          <cell r="V3539">
            <v>0</v>
          </cell>
          <cell r="W3539">
            <v>0</v>
          </cell>
        </row>
        <row r="3540">
          <cell r="A3540" t="str">
            <v>450197</v>
          </cell>
          <cell r="B3540" t="str">
            <v>1251</v>
          </cell>
          <cell r="C3540" t="str">
            <v>12</v>
          </cell>
          <cell r="D3540" t="str">
            <v>38</v>
          </cell>
          <cell r="E3540">
            <v>10</v>
          </cell>
          <cell r="G3540">
            <v>0</v>
          </cell>
          <cell r="H3540">
            <v>2284</v>
          </cell>
          <cell r="I3540">
            <v>287</v>
          </cell>
          <cell r="J3540">
            <v>0</v>
          </cell>
          <cell r="K3540">
            <v>0</v>
          </cell>
          <cell r="L3540">
            <v>0</v>
          </cell>
          <cell r="M3540">
            <v>0</v>
          </cell>
          <cell r="N3540">
            <v>2571</v>
          </cell>
          <cell r="O3540">
            <v>0</v>
          </cell>
          <cell r="P3540">
            <v>0</v>
          </cell>
          <cell r="Q3540">
            <v>0</v>
          </cell>
          <cell r="R3540">
            <v>0</v>
          </cell>
          <cell r="S3540">
            <v>0</v>
          </cell>
          <cell r="T3540">
            <v>0</v>
          </cell>
          <cell r="U3540">
            <v>0</v>
          </cell>
          <cell r="V3540">
            <v>0</v>
          </cell>
          <cell r="W3540">
            <v>0</v>
          </cell>
        </row>
        <row r="3541">
          <cell r="A3541" t="str">
            <v>450197</v>
          </cell>
          <cell r="B3541" t="str">
            <v>1251</v>
          </cell>
          <cell r="C3541" t="str">
            <v>12</v>
          </cell>
          <cell r="D3541" t="str">
            <v>38</v>
          </cell>
          <cell r="E3541">
            <v>11</v>
          </cell>
          <cell r="G3541">
            <v>196</v>
          </cell>
          <cell r="H3541">
            <v>2284</v>
          </cell>
          <cell r="I3541">
            <v>13760</v>
          </cell>
          <cell r="J3541">
            <v>5350</v>
          </cell>
          <cell r="K3541">
            <v>0</v>
          </cell>
          <cell r="L3541">
            <v>0</v>
          </cell>
          <cell r="M3541">
            <v>0</v>
          </cell>
          <cell r="N3541">
            <v>21590</v>
          </cell>
          <cell r="O3541">
            <v>0</v>
          </cell>
          <cell r="P3541">
            <v>0</v>
          </cell>
          <cell r="Q3541">
            <v>0</v>
          </cell>
          <cell r="R3541">
            <v>0</v>
          </cell>
          <cell r="S3541">
            <v>0</v>
          </cell>
          <cell r="T3541">
            <v>0</v>
          </cell>
          <cell r="U3541">
            <v>0</v>
          </cell>
          <cell r="V3541">
            <v>0</v>
          </cell>
          <cell r="W3541">
            <v>0</v>
          </cell>
        </row>
        <row r="3542">
          <cell r="A3542" t="str">
            <v>450197</v>
          </cell>
          <cell r="B3542" t="str">
            <v>1251</v>
          </cell>
          <cell r="C3542" t="str">
            <v>12</v>
          </cell>
          <cell r="D3542" t="str">
            <v>38</v>
          </cell>
          <cell r="E3542">
            <v>12</v>
          </cell>
          <cell r="G3542">
            <v>0</v>
          </cell>
          <cell r="H3542">
            <v>238</v>
          </cell>
          <cell r="I3542">
            <v>0</v>
          </cell>
          <cell r="J3542">
            <v>173</v>
          </cell>
          <cell r="K3542">
            <v>0</v>
          </cell>
          <cell r="L3542">
            <v>0</v>
          </cell>
          <cell r="M3542">
            <v>0</v>
          </cell>
          <cell r="N3542">
            <v>411</v>
          </cell>
          <cell r="O3542">
            <v>0</v>
          </cell>
          <cell r="P3542">
            <v>0</v>
          </cell>
          <cell r="Q3542">
            <v>0</v>
          </cell>
          <cell r="R3542">
            <v>0</v>
          </cell>
          <cell r="S3542">
            <v>0</v>
          </cell>
          <cell r="T3542">
            <v>0</v>
          </cell>
          <cell r="U3542">
            <v>0</v>
          </cell>
          <cell r="V3542">
            <v>0</v>
          </cell>
          <cell r="W3542">
            <v>0</v>
          </cell>
        </row>
        <row r="3543">
          <cell r="A3543" t="str">
            <v>450197</v>
          </cell>
          <cell r="B3543" t="str">
            <v>1251</v>
          </cell>
          <cell r="C3543" t="str">
            <v>12</v>
          </cell>
          <cell r="D3543" t="str">
            <v>38</v>
          </cell>
          <cell r="E3543">
            <v>13</v>
          </cell>
          <cell r="G3543">
            <v>0</v>
          </cell>
          <cell r="H3543">
            <v>0</v>
          </cell>
          <cell r="I3543">
            <v>158</v>
          </cell>
          <cell r="J3543">
            <v>892</v>
          </cell>
          <cell r="K3543">
            <v>0</v>
          </cell>
          <cell r="L3543">
            <v>0</v>
          </cell>
          <cell r="M3543">
            <v>0</v>
          </cell>
          <cell r="N3543">
            <v>1050</v>
          </cell>
          <cell r="O3543">
            <v>0</v>
          </cell>
          <cell r="P3543">
            <v>0</v>
          </cell>
          <cell r="Q3543">
            <v>0</v>
          </cell>
          <cell r="R3543">
            <v>0</v>
          </cell>
          <cell r="S3543">
            <v>0</v>
          </cell>
          <cell r="T3543">
            <v>0</v>
          </cell>
          <cell r="U3543">
            <v>0</v>
          </cell>
          <cell r="V3543">
            <v>0</v>
          </cell>
          <cell r="W3543">
            <v>0</v>
          </cell>
        </row>
        <row r="3544">
          <cell r="A3544" t="str">
            <v>450197</v>
          </cell>
          <cell r="B3544" t="str">
            <v>1251</v>
          </cell>
          <cell r="C3544" t="str">
            <v>12</v>
          </cell>
          <cell r="D3544" t="str">
            <v>38</v>
          </cell>
          <cell r="E3544">
            <v>14</v>
          </cell>
          <cell r="G3544">
            <v>0</v>
          </cell>
          <cell r="H3544">
            <v>0</v>
          </cell>
          <cell r="I3544">
            <v>0</v>
          </cell>
          <cell r="J3544">
            <v>0</v>
          </cell>
          <cell r="K3544">
            <v>0</v>
          </cell>
          <cell r="L3544">
            <v>0</v>
          </cell>
          <cell r="M3544">
            <v>0</v>
          </cell>
          <cell r="N3544">
            <v>0</v>
          </cell>
          <cell r="O3544">
            <v>0</v>
          </cell>
          <cell r="P3544">
            <v>0</v>
          </cell>
          <cell r="Q3544">
            <v>0</v>
          </cell>
          <cell r="R3544">
            <v>0</v>
          </cell>
          <cell r="S3544">
            <v>0</v>
          </cell>
          <cell r="T3544">
            <v>0</v>
          </cell>
          <cell r="U3544">
            <v>0</v>
          </cell>
          <cell r="V3544">
            <v>0</v>
          </cell>
          <cell r="W3544">
            <v>0</v>
          </cell>
        </row>
        <row r="3545">
          <cell r="A3545" t="str">
            <v>450197</v>
          </cell>
          <cell r="B3545" t="str">
            <v>1251</v>
          </cell>
          <cell r="C3545" t="str">
            <v>12</v>
          </cell>
          <cell r="D3545" t="str">
            <v>38</v>
          </cell>
          <cell r="E3545">
            <v>15</v>
          </cell>
          <cell r="G3545">
            <v>0</v>
          </cell>
          <cell r="H3545">
            <v>0</v>
          </cell>
          <cell r="I3545">
            <v>6988</v>
          </cell>
          <cell r="J3545">
            <v>0</v>
          </cell>
          <cell r="K3545">
            <v>0</v>
          </cell>
          <cell r="L3545">
            <v>0</v>
          </cell>
          <cell r="M3545">
            <v>0</v>
          </cell>
          <cell r="N3545">
            <v>6988</v>
          </cell>
          <cell r="O3545">
            <v>0</v>
          </cell>
          <cell r="P3545">
            <v>0</v>
          </cell>
          <cell r="Q3545">
            <v>0</v>
          </cell>
          <cell r="R3545">
            <v>0</v>
          </cell>
          <cell r="S3545">
            <v>0</v>
          </cell>
          <cell r="T3545">
            <v>0</v>
          </cell>
          <cell r="U3545">
            <v>0</v>
          </cell>
          <cell r="V3545">
            <v>0</v>
          </cell>
          <cell r="W3545">
            <v>0</v>
          </cell>
        </row>
        <row r="3546">
          <cell r="A3546" t="str">
            <v>450197</v>
          </cell>
          <cell r="B3546" t="str">
            <v>1251</v>
          </cell>
          <cell r="C3546" t="str">
            <v>12</v>
          </cell>
          <cell r="D3546" t="str">
            <v>38</v>
          </cell>
          <cell r="E3546">
            <v>16</v>
          </cell>
          <cell r="G3546">
            <v>0</v>
          </cell>
          <cell r="H3546">
            <v>0</v>
          </cell>
          <cell r="I3546">
            <v>2293</v>
          </cell>
          <cell r="J3546">
            <v>0</v>
          </cell>
          <cell r="K3546">
            <v>0</v>
          </cell>
          <cell r="L3546">
            <v>0</v>
          </cell>
          <cell r="M3546">
            <v>0</v>
          </cell>
          <cell r="N3546">
            <v>2293</v>
          </cell>
          <cell r="O3546">
            <v>0</v>
          </cell>
          <cell r="P3546">
            <v>0</v>
          </cell>
          <cell r="Q3546">
            <v>0</v>
          </cell>
          <cell r="R3546">
            <v>0</v>
          </cell>
          <cell r="S3546">
            <v>0</v>
          </cell>
          <cell r="T3546">
            <v>0</v>
          </cell>
          <cell r="U3546">
            <v>0</v>
          </cell>
          <cell r="V3546">
            <v>0</v>
          </cell>
          <cell r="W3546">
            <v>0</v>
          </cell>
        </row>
        <row r="3547">
          <cell r="A3547" t="str">
            <v>450197</v>
          </cell>
          <cell r="B3547" t="str">
            <v>1251</v>
          </cell>
          <cell r="C3547" t="str">
            <v>12</v>
          </cell>
          <cell r="D3547" t="str">
            <v>38</v>
          </cell>
          <cell r="E3547">
            <v>17</v>
          </cell>
          <cell r="G3547">
            <v>7953</v>
          </cell>
          <cell r="H3547">
            <v>0</v>
          </cell>
          <cell r="I3547">
            <v>62389</v>
          </cell>
          <cell r="J3547">
            <v>0</v>
          </cell>
          <cell r="K3547">
            <v>0</v>
          </cell>
          <cell r="L3547">
            <v>0</v>
          </cell>
          <cell r="M3547">
            <v>0</v>
          </cell>
          <cell r="N3547">
            <v>70342</v>
          </cell>
          <cell r="O3547">
            <v>0</v>
          </cell>
          <cell r="P3547">
            <v>0</v>
          </cell>
          <cell r="Q3547">
            <v>0</v>
          </cell>
          <cell r="R3547">
            <v>0</v>
          </cell>
          <cell r="S3547">
            <v>0</v>
          </cell>
          <cell r="T3547">
            <v>0</v>
          </cell>
          <cell r="U3547">
            <v>0</v>
          </cell>
          <cell r="V3547">
            <v>0</v>
          </cell>
          <cell r="W3547">
            <v>0</v>
          </cell>
        </row>
        <row r="3548">
          <cell r="A3548" t="str">
            <v>450197</v>
          </cell>
          <cell r="B3548" t="str">
            <v>1251</v>
          </cell>
          <cell r="C3548" t="str">
            <v>12</v>
          </cell>
          <cell r="D3548" t="str">
            <v>38</v>
          </cell>
          <cell r="E3548">
            <v>18</v>
          </cell>
          <cell r="G3548">
            <v>7953</v>
          </cell>
          <cell r="H3548">
            <v>238</v>
          </cell>
          <cell r="I3548">
            <v>71828</v>
          </cell>
          <cell r="J3548">
            <v>1065</v>
          </cell>
          <cell r="K3548">
            <v>0</v>
          </cell>
          <cell r="L3548">
            <v>0</v>
          </cell>
          <cell r="M3548">
            <v>0</v>
          </cell>
          <cell r="N3548">
            <v>81084</v>
          </cell>
          <cell r="O3548">
            <v>0</v>
          </cell>
          <cell r="P3548">
            <v>0</v>
          </cell>
          <cell r="Q3548">
            <v>0</v>
          </cell>
          <cell r="R3548">
            <v>0</v>
          </cell>
          <cell r="S3548">
            <v>0</v>
          </cell>
          <cell r="T3548">
            <v>0</v>
          </cell>
          <cell r="U3548">
            <v>0</v>
          </cell>
          <cell r="V3548">
            <v>0</v>
          </cell>
          <cell r="W3548">
            <v>0</v>
          </cell>
        </row>
        <row r="3549">
          <cell r="A3549" t="str">
            <v>450197</v>
          </cell>
          <cell r="B3549" t="str">
            <v>1251</v>
          </cell>
          <cell r="C3549" t="str">
            <v>12</v>
          </cell>
          <cell r="D3549" t="str">
            <v>38</v>
          </cell>
          <cell r="E3549">
            <v>19</v>
          </cell>
          <cell r="G3549">
            <v>7435</v>
          </cell>
          <cell r="H3549">
            <v>1094468</v>
          </cell>
          <cell r="I3549">
            <v>189253</v>
          </cell>
          <cell r="J3549">
            <v>31877</v>
          </cell>
          <cell r="K3549">
            <v>0</v>
          </cell>
          <cell r="L3549">
            <v>0</v>
          </cell>
          <cell r="M3549">
            <v>4714</v>
          </cell>
          <cell r="N3549">
            <v>1327747</v>
          </cell>
          <cell r="O3549">
            <v>0</v>
          </cell>
          <cell r="P3549">
            <v>0</v>
          </cell>
          <cell r="Q3549">
            <v>0</v>
          </cell>
          <cell r="R3549">
            <v>0</v>
          </cell>
          <cell r="S3549">
            <v>0</v>
          </cell>
          <cell r="T3549">
            <v>0</v>
          </cell>
          <cell r="U3549">
            <v>0</v>
          </cell>
          <cell r="V3549">
            <v>0</v>
          </cell>
          <cell r="W3549">
            <v>0</v>
          </cell>
        </row>
        <row r="3550">
          <cell r="A3550" t="str">
            <v>450197</v>
          </cell>
          <cell r="B3550" t="str">
            <v>1251</v>
          </cell>
          <cell r="C3550" t="str">
            <v>12</v>
          </cell>
          <cell r="D3550" t="str">
            <v>38</v>
          </cell>
          <cell r="E3550">
            <v>20</v>
          </cell>
          <cell r="G3550">
            <v>14017</v>
          </cell>
          <cell r="H3550">
            <v>175207</v>
          </cell>
          <cell r="I3550">
            <v>171316</v>
          </cell>
          <cell r="J3550">
            <v>22388</v>
          </cell>
          <cell r="K3550">
            <v>0</v>
          </cell>
          <cell r="L3550">
            <v>0</v>
          </cell>
          <cell r="M3550">
            <v>3271</v>
          </cell>
          <cell r="N3550">
            <v>386199</v>
          </cell>
          <cell r="O3550">
            <v>0</v>
          </cell>
          <cell r="P3550">
            <v>0</v>
          </cell>
          <cell r="Q3550">
            <v>0</v>
          </cell>
          <cell r="R3550">
            <v>0</v>
          </cell>
          <cell r="S3550">
            <v>0</v>
          </cell>
          <cell r="T3550">
            <v>0</v>
          </cell>
          <cell r="U3550">
            <v>0</v>
          </cell>
          <cell r="V3550">
            <v>0</v>
          </cell>
          <cell r="W3550">
            <v>0</v>
          </cell>
        </row>
        <row r="3551">
          <cell r="A3551" t="str">
            <v>450197</v>
          </cell>
          <cell r="B3551" t="str">
            <v>1251</v>
          </cell>
          <cell r="C3551" t="str">
            <v>12</v>
          </cell>
          <cell r="D3551" t="str">
            <v>38</v>
          </cell>
          <cell r="E3551">
            <v>21</v>
          </cell>
          <cell r="G3551">
            <v>906</v>
          </cell>
          <cell r="H3551">
            <v>14812</v>
          </cell>
          <cell r="I3551">
            <v>20948</v>
          </cell>
          <cell r="J3551">
            <v>1809</v>
          </cell>
          <cell r="K3551">
            <v>0</v>
          </cell>
          <cell r="L3551">
            <v>0</v>
          </cell>
          <cell r="M3551">
            <v>94</v>
          </cell>
          <cell r="N3551">
            <v>38569</v>
          </cell>
          <cell r="O3551">
            <v>0</v>
          </cell>
          <cell r="P3551">
            <v>0</v>
          </cell>
          <cell r="Q3551">
            <v>0</v>
          </cell>
          <cell r="R3551">
            <v>0</v>
          </cell>
          <cell r="S3551">
            <v>0</v>
          </cell>
          <cell r="T3551">
            <v>0</v>
          </cell>
          <cell r="U3551">
            <v>0</v>
          </cell>
          <cell r="V3551">
            <v>0</v>
          </cell>
          <cell r="W3551">
            <v>0</v>
          </cell>
        </row>
        <row r="3552">
          <cell r="A3552" t="str">
            <v>450197</v>
          </cell>
          <cell r="B3552" t="str">
            <v>1251</v>
          </cell>
          <cell r="C3552" t="str">
            <v>12</v>
          </cell>
          <cell r="D3552" t="str">
            <v>38</v>
          </cell>
          <cell r="E3552">
            <v>22</v>
          </cell>
          <cell r="G3552">
            <v>7589</v>
          </cell>
          <cell r="H3552">
            <v>145</v>
          </cell>
          <cell r="I3552">
            <v>45264</v>
          </cell>
          <cell r="J3552">
            <v>173</v>
          </cell>
          <cell r="K3552">
            <v>0</v>
          </cell>
          <cell r="L3552">
            <v>0</v>
          </cell>
          <cell r="M3552">
            <v>0</v>
          </cell>
          <cell r="N3552">
            <v>53171</v>
          </cell>
          <cell r="O3552">
            <v>0</v>
          </cell>
          <cell r="P3552">
            <v>0</v>
          </cell>
          <cell r="Q3552">
            <v>0</v>
          </cell>
          <cell r="R3552">
            <v>0</v>
          </cell>
          <cell r="S3552">
            <v>0</v>
          </cell>
          <cell r="T3552">
            <v>0</v>
          </cell>
          <cell r="U3552">
            <v>0</v>
          </cell>
          <cell r="V3552">
            <v>0</v>
          </cell>
          <cell r="W3552">
            <v>0</v>
          </cell>
        </row>
        <row r="3553">
          <cell r="A3553" t="str">
            <v>450197</v>
          </cell>
          <cell r="B3553" t="str">
            <v>1251</v>
          </cell>
          <cell r="C3553" t="str">
            <v>12</v>
          </cell>
          <cell r="D3553" t="str">
            <v>38</v>
          </cell>
          <cell r="E3553">
            <v>23</v>
          </cell>
          <cell r="G3553">
            <v>7334</v>
          </cell>
          <cell r="H3553">
            <v>189874</v>
          </cell>
          <cell r="I3553">
            <v>147000</v>
          </cell>
          <cell r="J3553">
            <v>24024</v>
          </cell>
          <cell r="K3553">
            <v>0</v>
          </cell>
          <cell r="L3553">
            <v>0</v>
          </cell>
          <cell r="M3553">
            <v>3365</v>
          </cell>
          <cell r="N3553">
            <v>371597</v>
          </cell>
          <cell r="O3553">
            <v>0</v>
          </cell>
          <cell r="P3553">
            <v>0</v>
          </cell>
          <cell r="Q3553">
            <v>0</v>
          </cell>
          <cell r="R3553">
            <v>0</v>
          </cell>
          <cell r="S3553">
            <v>0</v>
          </cell>
          <cell r="T3553">
            <v>0</v>
          </cell>
          <cell r="U3553">
            <v>0</v>
          </cell>
          <cell r="V3553">
            <v>0</v>
          </cell>
          <cell r="W3553">
            <v>0</v>
          </cell>
        </row>
        <row r="3554">
          <cell r="A3554" t="str">
            <v>450197</v>
          </cell>
          <cell r="B3554" t="str">
            <v>1251</v>
          </cell>
          <cell r="C3554" t="str">
            <v>12</v>
          </cell>
          <cell r="D3554" t="str">
            <v>38</v>
          </cell>
          <cell r="E3554">
            <v>24</v>
          </cell>
          <cell r="G3554">
            <v>0</v>
          </cell>
          <cell r="H3554">
            <v>0</v>
          </cell>
          <cell r="I3554">
            <v>0</v>
          </cell>
          <cell r="J3554">
            <v>0</v>
          </cell>
          <cell r="K3554">
            <v>0</v>
          </cell>
          <cell r="L3554">
            <v>0</v>
          </cell>
          <cell r="M3554">
            <v>0</v>
          </cell>
          <cell r="N3554">
            <v>0</v>
          </cell>
          <cell r="O3554">
            <v>0</v>
          </cell>
          <cell r="P3554">
            <v>0</v>
          </cell>
          <cell r="Q3554">
            <v>0</v>
          </cell>
          <cell r="R3554">
            <v>0</v>
          </cell>
          <cell r="S3554">
            <v>0</v>
          </cell>
          <cell r="T3554">
            <v>0</v>
          </cell>
          <cell r="U3554">
            <v>0</v>
          </cell>
          <cell r="V3554">
            <v>0</v>
          </cell>
          <cell r="W3554">
            <v>0</v>
          </cell>
        </row>
        <row r="3555">
          <cell r="A3555" t="str">
            <v>450197</v>
          </cell>
          <cell r="B3555" t="str">
            <v>1251</v>
          </cell>
          <cell r="C3555" t="str">
            <v>12</v>
          </cell>
          <cell r="D3555" t="str">
            <v>38</v>
          </cell>
          <cell r="E3555">
            <v>25</v>
          </cell>
          <cell r="G3555">
            <v>0</v>
          </cell>
          <cell r="H3555">
            <v>93</v>
          </cell>
          <cell r="I3555">
            <v>0</v>
          </cell>
          <cell r="J3555">
            <v>0</v>
          </cell>
          <cell r="K3555">
            <v>0</v>
          </cell>
          <cell r="L3555">
            <v>0</v>
          </cell>
          <cell r="M3555">
            <v>0</v>
          </cell>
          <cell r="N3555">
            <v>93</v>
          </cell>
          <cell r="O3555">
            <v>0</v>
          </cell>
          <cell r="P3555">
            <v>0</v>
          </cell>
          <cell r="Q3555">
            <v>0</v>
          </cell>
          <cell r="R3555">
            <v>0</v>
          </cell>
          <cell r="S3555">
            <v>0</v>
          </cell>
          <cell r="T3555">
            <v>0</v>
          </cell>
          <cell r="U3555">
            <v>0</v>
          </cell>
          <cell r="V3555">
            <v>0</v>
          </cell>
          <cell r="W3555">
            <v>0</v>
          </cell>
        </row>
        <row r="3556">
          <cell r="A3556" t="str">
            <v>450197</v>
          </cell>
          <cell r="B3556" t="str">
            <v>1251</v>
          </cell>
          <cell r="C3556" t="str">
            <v>12</v>
          </cell>
          <cell r="D3556" t="str">
            <v>38</v>
          </cell>
          <cell r="E3556">
            <v>26</v>
          </cell>
          <cell r="G3556">
            <v>0</v>
          </cell>
          <cell r="H3556">
            <v>93</v>
          </cell>
          <cell r="I3556">
            <v>0</v>
          </cell>
          <cell r="J3556">
            <v>0</v>
          </cell>
          <cell r="K3556">
            <v>0</v>
          </cell>
          <cell r="L3556">
            <v>0</v>
          </cell>
          <cell r="M3556">
            <v>0</v>
          </cell>
          <cell r="N3556">
            <v>93</v>
          </cell>
          <cell r="O3556">
            <v>0</v>
          </cell>
          <cell r="P3556">
            <v>0</v>
          </cell>
          <cell r="Q3556">
            <v>0</v>
          </cell>
          <cell r="R3556">
            <v>0</v>
          </cell>
          <cell r="S3556">
            <v>0</v>
          </cell>
          <cell r="T3556">
            <v>0</v>
          </cell>
          <cell r="U3556">
            <v>0</v>
          </cell>
          <cell r="V3556">
            <v>0</v>
          </cell>
          <cell r="W3556">
            <v>0</v>
          </cell>
        </row>
        <row r="3557">
          <cell r="A3557" t="str">
            <v>450197</v>
          </cell>
          <cell r="B3557" t="str">
            <v>1251</v>
          </cell>
          <cell r="C3557" t="str">
            <v>12</v>
          </cell>
          <cell r="D3557" t="str">
            <v>38</v>
          </cell>
          <cell r="E3557">
            <v>27</v>
          </cell>
          <cell r="G3557">
            <v>0</v>
          </cell>
          <cell r="H3557">
            <v>0</v>
          </cell>
          <cell r="I3557">
            <v>0</v>
          </cell>
          <cell r="J3557">
            <v>0</v>
          </cell>
          <cell r="K3557">
            <v>0</v>
          </cell>
          <cell r="L3557">
            <v>0</v>
          </cell>
          <cell r="M3557">
            <v>0</v>
          </cell>
          <cell r="N3557">
            <v>0</v>
          </cell>
          <cell r="O3557">
            <v>0</v>
          </cell>
          <cell r="P3557">
            <v>0</v>
          </cell>
          <cell r="Q3557">
            <v>0</v>
          </cell>
          <cell r="R3557">
            <v>0</v>
          </cell>
          <cell r="S3557">
            <v>0</v>
          </cell>
          <cell r="T3557">
            <v>0</v>
          </cell>
          <cell r="U3557">
            <v>0</v>
          </cell>
          <cell r="V3557">
            <v>0</v>
          </cell>
          <cell r="W3557">
            <v>0</v>
          </cell>
        </row>
        <row r="3558">
          <cell r="A3558" t="str">
            <v>450197</v>
          </cell>
          <cell r="B3558" t="str">
            <v>1251</v>
          </cell>
          <cell r="C3558" t="str">
            <v>12</v>
          </cell>
          <cell r="D3558" t="str">
            <v>38</v>
          </cell>
          <cell r="E3558">
            <v>28</v>
          </cell>
          <cell r="G3558">
            <v>0</v>
          </cell>
          <cell r="H3558">
            <v>0</v>
          </cell>
          <cell r="I3558">
            <v>0</v>
          </cell>
          <cell r="J3558">
            <v>0</v>
          </cell>
          <cell r="K3558">
            <v>0</v>
          </cell>
          <cell r="L3558">
            <v>0</v>
          </cell>
          <cell r="M3558">
            <v>0</v>
          </cell>
          <cell r="N3558">
            <v>0</v>
          </cell>
          <cell r="O3558">
            <v>0</v>
          </cell>
          <cell r="P3558">
            <v>0</v>
          </cell>
          <cell r="Q3558">
            <v>0</v>
          </cell>
          <cell r="R3558">
            <v>0</v>
          </cell>
          <cell r="S3558">
            <v>0</v>
          </cell>
          <cell r="T3558">
            <v>0</v>
          </cell>
          <cell r="U3558">
            <v>0</v>
          </cell>
          <cell r="V3558">
            <v>0</v>
          </cell>
          <cell r="W3558">
            <v>0</v>
          </cell>
        </row>
        <row r="3559">
          <cell r="A3559" t="str">
            <v>450197</v>
          </cell>
          <cell r="B3559" t="str">
            <v>1251</v>
          </cell>
          <cell r="C3559" t="str">
            <v>12</v>
          </cell>
          <cell r="D3559" t="str">
            <v>38</v>
          </cell>
          <cell r="E3559">
            <v>29</v>
          </cell>
          <cell r="G3559">
            <v>7334</v>
          </cell>
          <cell r="H3559">
            <v>189874</v>
          </cell>
          <cell r="I3559">
            <v>147000</v>
          </cell>
          <cell r="J3559">
            <v>24024</v>
          </cell>
          <cell r="K3559">
            <v>0</v>
          </cell>
          <cell r="L3559">
            <v>0</v>
          </cell>
          <cell r="M3559">
            <v>3365</v>
          </cell>
          <cell r="N3559">
            <v>371597</v>
          </cell>
          <cell r="O3559">
            <v>0</v>
          </cell>
          <cell r="P3559">
            <v>0</v>
          </cell>
          <cell r="Q3559">
            <v>0</v>
          </cell>
          <cell r="R3559">
            <v>0</v>
          </cell>
          <cell r="S3559">
            <v>0</v>
          </cell>
          <cell r="T3559">
            <v>0</v>
          </cell>
          <cell r="U3559">
            <v>0</v>
          </cell>
          <cell r="V3559">
            <v>0</v>
          </cell>
          <cell r="W3559">
            <v>0</v>
          </cell>
        </row>
        <row r="3560">
          <cell r="A3560" t="str">
            <v>450197</v>
          </cell>
          <cell r="B3560" t="str">
            <v>1251</v>
          </cell>
          <cell r="C3560" t="str">
            <v>12</v>
          </cell>
          <cell r="D3560" t="str">
            <v>38</v>
          </cell>
          <cell r="E3560">
            <v>30</v>
          </cell>
          <cell r="G3560">
            <v>101</v>
          </cell>
          <cell r="H3560">
            <v>904594</v>
          </cell>
          <cell r="I3560">
            <v>42253</v>
          </cell>
          <cell r="J3560">
            <v>7853</v>
          </cell>
          <cell r="K3560">
            <v>0</v>
          </cell>
          <cell r="L3560">
            <v>0</v>
          </cell>
          <cell r="M3560">
            <v>1349</v>
          </cell>
          <cell r="N3560">
            <v>956150</v>
          </cell>
          <cell r="O3560">
            <v>0</v>
          </cell>
          <cell r="P3560">
            <v>0</v>
          </cell>
          <cell r="Q3560">
            <v>0</v>
          </cell>
          <cell r="R3560">
            <v>0</v>
          </cell>
          <cell r="S3560">
            <v>0</v>
          </cell>
          <cell r="T3560">
            <v>0</v>
          </cell>
          <cell r="U3560">
            <v>0</v>
          </cell>
          <cell r="V3560">
            <v>0</v>
          </cell>
          <cell r="W3560">
            <v>0</v>
          </cell>
        </row>
        <row r="3561">
          <cell r="A3561" t="str">
            <v>450197</v>
          </cell>
          <cell r="B3561" t="str">
            <v>1251</v>
          </cell>
          <cell r="C3561" t="str">
            <v>12</v>
          </cell>
          <cell r="D3561" t="str">
            <v>38</v>
          </cell>
          <cell r="E3561">
            <v>31</v>
          </cell>
          <cell r="G3561">
            <v>7278</v>
          </cell>
          <cell r="H3561">
            <v>1803</v>
          </cell>
          <cell r="I3561">
            <v>117713</v>
          </cell>
          <cell r="J3561">
            <v>21789</v>
          </cell>
          <cell r="K3561">
            <v>0</v>
          </cell>
          <cell r="L3561">
            <v>0</v>
          </cell>
          <cell r="M3561">
            <v>0</v>
          </cell>
          <cell r="N3561">
            <v>148583</v>
          </cell>
          <cell r="O3561">
            <v>0</v>
          </cell>
          <cell r="P3561">
            <v>0</v>
          </cell>
          <cell r="Q3561">
            <v>0</v>
          </cell>
          <cell r="R3561">
            <v>0</v>
          </cell>
          <cell r="S3561">
            <v>0</v>
          </cell>
          <cell r="T3561">
            <v>0</v>
          </cell>
          <cell r="U3561">
            <v>0</v>
          </cell>
          <cell r="V3561">
            <v>0</v>
          </cell>
          <cell r="W3561">
            <v>0</v>
          </cell>
        </row>
        <row r="3562">
          <cell r="A3562" t="str">
            <v>450197</v>
          </cell>
          <cell r="B3562" t="str">
            <v>1251</v>
          </cell>
          <cell r="C3562" t="str">
            <v>12</v>
          </cell>
          <cell r="D3562" t="str">
            <v>44</v>
          </cell>
          <cell r="E3562">
            <v>1</v>
          </cell>
          <cell r="G3562">
            <v>0</v>
          </cell>
          <cell r="H3562">
            <v>0</v>
          </cell>
          <cell r="I3562">
            <v>0</v>
          </cell>
          <cell r="J3562">
            <v>0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0</v>
          </cell>
          <cell r="R3562">
            <v>0</v>
          </cell>
          <cell r="S3562">
            <v>0</v>
          </cell>
          <cell r="T3562">
            <v>0</v>
          </cell>
          <cell r="U3562">
            <v>0</v>
          </cell>
          <cell r="V3562">
            <v>0</v>
          </cell>
          <cell r="W3562">
            <v>0</v>
          </cell>
        </row>
        <row r="3563">
          <cell r="A3563" t="str">
            <v>450197</v>
          </cell>
          <cell r="B3563" t="str">
            <v>1251</v>
          </cell>
          <cell r="C3563" t="str">
            <v>12</v>
          </cell>
          <cell r="D3563" t="str">
            <v>44</v>
          </cell>
          <cell r="E3563">
            <v>2</v>
          </cell>
          <cell r="G3563">
            <v>0</v>
          </cell>
          <cell r="H3563">
            <v>0</v>
          </cell>
          <cell r="I3563">
            <v>0</v>
          </cell>
          <cell r="J3563">
            <v>0</v>
          </cell>
          <cell r="K3563">
            <v>0</v>
          </cell>
          <cell r="L3563">
            <v>0</v>
          </cell>
          <cell r="M3563">
            <v>0</v>
          </cell>
          <cell r="N3563">
            <v>0</v>
          </cell>
          <cell r="O3563">
            <v>0</v>
          </cell>
          <cell r="P3563">
            <v>0</v>
          </cell>
          <cell r="Q3563">
            <v>0</v>
          </cell>
          <cell r="R3563">
            <v>0</v>
          </cell>
          <cell r="S3563">
            <v>0</v>
          </cell>
          <cell r="T3563">
            <v>0</v>
          </cell>
          <cell r="U3563">
            <v>0</v>
          </cell>
          <cell r="V3563">
            <v>0</v>
          </cell>
          <cell r="W3563">
            <v>0</v>
          </cell>
        </row>
        <row r="3564">
          <cell r="A3564" t="str">
            <v>450197</v>
          </cell>
          <cell r="B3564" t="str">
            <v>1251</v>
          </cell>
          <cell r="C3564" t="str">
            <v>12</v>
          </cell>
          <cell r="D3564" t="str">
            <v>44</v>
          </cell>
          <cell r="E3564">
            <v>3</v>
          </cell>
          <cell r="G3564">
            <v>0</v>
          </cell>
          <cell r="H3564">
            <v>0</v>
          </cell>
          <cell r="I3564">
            <v>0</v>
          </cell>
          <cell r="J3564">
            <v>0</v>
          </cell>
          <cell r="K3564">
            <v>0</v>
          </cell>
          <cell r="L3564">
            <v>0</v>
          </cell>
          <cell r="M3564">
            <v>0</v>
          </cell>
          <cell r="N3564">
            <v>0</v>
          </cell>
          <cell r="O3564">
            <v>0</v>
          </cell>
          <cell r="P3564">
            <v>0</v>
          </cell>
          <cell r="Q3564">
            <v>0</v>
          </cell>
          <cell r="R3564">
            <v>0</v>
          </cell>
          <cell r="S3564">
            <v>0</v>
          </cell>
          <cell r="T3564">
            <v>0</v>
          </cell>
          <cell r="U3564">
            <v>0</v>
          </cell>
          <cell r="V3564">
            <v>0</v>
          </cell>
          <cell r="W3564">
            <v>0</v>
          </cell>
        </row>
        <row r="3565">
          <cell r="A3565" t="str">
            <v>450197</v>
          </cell>
          <cell r="B3565" t="str">
            <v>1251</v>
          </cell>
          <cell r="C3565" t="str">
            <v>12</v>
          </cell>
          <cell r="D3565" t="str">
            <v>44</v>
          </cell>
          <cell r="E3565">
            <v>4</v>
          </cell>
          <cell r="G3565">
            <v>0</v>
          </cell>
          <cell r="H3565">
            <v>0</v>
          </cell>
          <cell r="I3565">
            <v>0</v>
          </cell>
          <cell r="J3565">
            <v>0</v>
          </cell>
          <cell r="K3565">
            <v>0</v>
          </cell>
          <cell r="L3565">
            <v>0</v>
          </cell>
          <cell r="M3565">
            <v>0</v>
          </cell>
          <cell r="N3565">
            <v>0</v>
          </cell>
          <cell r="O3565">
            <v>0</v>
          </cell>
          <cell r="P3565">
            <v>0</v>
          </cell>
          <cell r="Q3565">
            <v>0</v>
          </cell>
          <cell r="R3565">
            <v>0</v>
          </cell>
          <cell r="S3565">
            <v>0</v>
          </cell>
          <cell r="T3565">
            <v>0</v>
          </cell>
          <cell r="U3565">
            <v>0</v>
          </cell>
          <cell r="V3565">
            <v>0</v>
          </cell>
          <cell r="W3565">
            <v>0</v>
          </cell>
        </row>
        <row r="3566">
          <cell r="A3566" t="str">
            <v>450197</v>
          </cell>
          <cell r="B3566" t="str">
            <v>1251</v>
          </cell>
          <cell r="C3566" t="str">
            <v>12</v>
          </cell>
          <cell r="D3566" t="str">
            <v>44</v>
          </cell>
          <cell r="E3566">
            <v>5</v>
          </cell>
          <cell r="G3566">
            <v>0</v>
          </cell>
          <cell r="H3566">
            <v>0</v>
          </cell>
          <cell r="I3566">
            <v>0</v>
          </cell>
          <cell r="J3566">
            <v>0</v>
          </cell>
          <cell r="K3566">
            <v>0</v>
          </cell>
          <cell r="L3566">
            <v>0</v>
          </cell>
          <cell r="M3566">
            <v>0</v>
          </cell>
          <cell r="N3566">
            <v>0</v>
          </cell>
          <cell r="O3566">
            <v>0</v>
          </cell>
          <cell r="P3566">
            <v>0</v>
          </cell>
          <cell r="Q3566">
            <v>0</v>
          </cell>
          <cell r="R3566">
            <v>0</v>
          </cell>
          <cell r="S3566">
            <v>0</v>
          </cell>
          <cell r="T3566">
            <v>0</v>
          </cell>
          <cell r="U3566">
            <v>0</v>
          </cell>
          <cell r="V3566">
            <v>0</v>
          </cell>
          <cell r="W3566">
            <v>0</v>
          </cell>
        </row>
        <row r="3567">
          <cell r="A3567" t="str">
            <v>450197</v>
          </cell>
          <cell r="B3567" t="str">
            <v>1251</v>
          </cell>
          <cell r="C3567" t="str">
            <v>12</v>
          </cell>
          <cell r="D3567" t="str">
            <v>44</v>
          </cell>
          <cell r="E3567">
            <v>6</v>
          </cell>
          <cell r="G3567">
            <v>758</v>
          </cell>
          <cell r="H3567">
            <v>755</v>
          </cell>
          <cell r="I3567">
            <v>708</v>
          </cell>
          <cell r="J3567">
            <v>983</v>
          </cell>
          <cell r="K3567">
            <v>0</v>
          </cell>
          <cell r="L3567">
            <v>0</v>
          </cell>
          <cell r="M3567">
            <v>2446</v>
          </cell>
          <cell r="N3567">
            <v>3204</v>
          </cell>
          <cell r="O3567">
            <v>0</v>
          </cell>
          <cell r="P3567">
            <v>0</v>
          </cell>
          <cell r="Q3567">
            <v>0</v>
          </cell>
          <cell r="R3567">
            <v>0</v>
          </cell>
          <cell r="S3567">
            <v>0</v>
          </cell>
          <cell r="T3567">
            <v>0</v>
          </cell>
          <cell r="U3567">
            <v>0</v>
          </cell>
          <cell r="V3567">
            <v>0</v>
          </cell>
          <cell r="W3567">
            <v>0</v>
          </cell>
        </row>
        <row r="3568">
          <cell r="A3568" t="str">
            <v>450197</v>
          </cell>
          <cell r="B3568" t="str">
            <v>1251</v>
          </cell>
          <cell r="C3568" t="str">
            <v>12</v>
          </cell>
          <cell r="D3568" t="str">
            <v>44</v>
          </cell>
          <cell r="E3568">
            <v>7</v>
          </cell>
          <cell r="G3568">
            <v>758</v>
          </cell>
          <cell r="H3568">
            <v>755</v>
          </cell>
          <cell r="I3568">
            <v>708</v>
          </cell>
          <cell r="J3568">
            <v>983</v>
          </cell>
          <cell r="K3568">
            <v>0</v>
          </cell>
          <cell r="L3568">
            <v>0</v>
          </cell>
          <cell r="M3568">
            <v>2446</v>
          </cell>
          <cell r="N3568">
            <v>3204</v>
          </cell>
          <cell r="O3568">
            <v>0</v>
          </cell>
          <cell r="P3568">
            <v>0</v>
          </cell>
          <cell r="Q3568">
            <v>0</v>
          </cell>
          <cell r="R3568">
            <v>0</v>
          </cell>
          <cell r="S3568">
            <v>0</v>
          </cell>
          <cell r="T3568">
            <v>0</v>
          </cell>
          <cell r="U3568">
            <v>0</v>
          </cell>
          <cell r="V3568">
            <v>0</v>
          </cell>
          <cell r="W3568">
            <v>0</v>
          </cell>
        </row>
        <row r="3569">
          <cell r="A3569" t="str">
            <v>450197</v>
          </cell>
          <cell r="B3569" t="str">
            <v>1251</v>
          </cell>
          <cell r="C3569" t="str">
            <v>12</v>
          </cell>
          <cell r="D3569" t="str">
            <v>53</v>
          </cell>
          <cell r="E3569">
            <v>1</v>
          </cell>
          <cell r="G3569">
            <v>7648</v>
          </cell>
          <cell r="H3569">
            <v>300</v>
          </cell>
          <cell r="I3569">
            <v>0</v>
          </cell>
          <cell r="J3569">
            <v>0</v>
          </cell>
          <cell r="K3569">
            <v>0</v>
          </cell>
          <cell r="L3569">
            <v>0</v>
          </cell>
          <cell r="M3569">
            <v>0</v>
          </cell>
          <cell r="N3569">
            <v>0</v>
          </cell>
          <cell r="O3569">
            <v>0</v>
          </cell>
          <cell r="P3569">
            <v>0</v>
          </cell>
          <cell r="Q3569">
            <v>0</v>
          </cell>
          <cell r="R3569">
            <v>0</v>
          </cell>
          <cell r="S3569">
            <v>0</v>
          </cell>
          <cell r="T3569">
            <v>581</v>
          </cell>
          <cell r="U3569">
            <v>0</v>
          </cell>
          <cell r="V3569">
            <v>0</v>
          </cell>
          <cell r="W3569">
            <v>0</v>
          </cell>
        </row>
        <row r="3570">
          <cell r="A3570" t="str">
            <v>450197</v>
          </cell>
          <cell r="B3570" t="str">
            <v>1251</v>
          </cell>
          <cell r="C3570" t="str">
            <v>12</v>
          </cell>
          <cell r="D3570" t="str">
            <v>53</v>
          </cell>
          <cell r="E3570">
            <v>15</v>
          </cell>
          <cell r="G3570">
            <v>68</v>
          </cell>
          <cell r="H3570">
            <v>0</v>
          </cell>
          <cell r="I3570">
            <v>72871</v>
          </cell>
          <cell r="J3570">
            <v>60770</v>
          </cell>
          <cell r="K3570">
            <v>655240</v>
          </cell>
          <cell r="L3570">
            <v>58311</v>
          </cell>
          <cell r="M3570">
            <v>20791</v>
          </cell>
          <cell r="N3570">
            <v>17623</v>
          </cell>
          <cell r="O3570">
            <v>18710</v>
          </cell>
          <cell r="P3570">
            <v>16910</v>
          </cell>
          <cell r="Q3570">
            <v>2130</v>
          </cell>
          <cell r="R3570">
            <v>1823</v>
          </cell>
          <cell r="S3570">
            <v>1913</v>
          </cell>
          <cell r="T3570">
            <v>1749</v>
          </cell>
          <cell r="U3570">
            <v>0</v>
          </cell>
          <cell r="V3570">
            <v>0</v>
          </cell>
          <cell r="W3570">
            <v>0</v>
          </cell>
        </row>
        <row r="3571">
          <cell r="A3571" t="str">
            <v>450197</v>
          </cell>
          <cell r="B3571" t="str">
            <v>1251</v>
          </cell>
          <cell r="C3571" t="str">
            <v>12</v>
          </cell>
          <cell r="D3571" t="str">
            <v>53</v>
          </cell>
          <cell r="E3571">
            <v>29</v>
          </cell>
          <cell r="G3571">
            <v>932</v>
          </cell>
          <cell r="H3571">
            <v>894</v>
          </cell>
          <cell r="I3571">
            <v>0</v>
          </cell>
          <cell r="J3571">
            <v>0</v>
          </cell>
          <cell r="K3571">
            <v>0</v>
          </cell>
          <cell r="L3571">
            <v>0</v>
          </cell>
          <cell r="M3571">
            <v>0</v>
          </cell>
          <cell r="N3571">
            <v>0</v>
          </cell>
          <cell r="O3571">
            <v>0</v>
          </cell>
          <cell r="P3571">
            <v>0</v>
          </cell>
          <cell r="Q3571">
            <v>0</v>
          </cell>
          <cell r="R3571">
            <v>206336</v>
          </cell>
          <cell r="S3571">
            <v>9073</v>
          </cell>
          <cell r="T3571">
            <v>90966</v>
          </cell>
          <cell r="U3571">
            <v>0</v>
          </cell>
          <cell r="V3571">
            <v>0</v>
          </cell>
          <cell r="W3571">
            <v>0</v>
          </cell>
        </row>
        <row r="3572">
          <cell r="A3572" t="str">
            <v>450197</v>
          </cell>
          <cell r="B3572" t="str">
            <v>1251</v>
          </cell>
          <cell r="C3572" t="str">
            <v>12</v>
          </cell>
          <cell r="D3572" t="str">
            <v>53</v>
          </cell>
          <cell r="E3572">
            <v>43</v>
          </cell>
          <cell r="G3572">
            <v>101055</v>
          </cell>
          <cell r="H3572">
            <v>5242</v>
          </cell>
          <cell r="I3572">
            <v>23</v>
          </cell>
          <cell r="J3572">
            <v>0</v>
          </cell>
          <cell r="K3572">
            <v>0</v>
          </cell>
          <cell r="L3572">
            <v>0</v>
          </cell>
          <cell r="M3572">
            <v>0</v>
          </cell>
          <cell r="N3572">
            <v>0</v>
          </cell>
          <cell r="O3572">
            <v>0</v>
          </cell>
          <cell r="P3572">
            <v>0</v>
          </cell>
          <cell r="Q3572">
            <v>0</v>
          </cell>
          <cell r="R3572">
            <v>0</v>
          </cell>
          <cell r="S3572">
            <v>0</v>
          </cell>
          <cell r="T3572">
            <v>0</v>
          </cell>
          <cell r="U3572">
            <v>0</v>
          </cell>
          <cell r="V3572">
            <v>0</v>
          </cell>
          <cell r="W3572">
            <v>0</v>
          </cell>
        </row>
        <row r="3573">
          <cell r="A3573" t="str">
            <v>450197</v>
          </cell>
          <cell r="B3573" t="str">
            <v>1251</v>
          </cell>
          <cell r="C3573" t="str">
            <v>12</v>
          </cell>
          <cell r="D3573" t="str">
            <v>53</v>
          </cell>
          <cell r="E3573">
            <v>57</v>
          </cell>
          <cell r="G3573">
            <v>0</v>
          </cell>
          <cell r="H3573">
            <v>0</v>
          </cell>
          <cell r="I3573">
            <v>0</v>
          </cell>
          <cell r="J3573">
            <v>0</v>
          </cell>
          <cell r="K3573">
            <v>0</v>
          </cell>
          <cell r="L3573">
            <v>0</v>
          </cell>
          <cell r="M3573">
            <v>0</v>
          </cell>
          <cell r="N3573">
            <v>0</v>
          </cell>
          <cell r="O3573">
            <v>0</v>
          </cell>
          <cell r="P3573">
            <v>0</v>
          </cell>
          <cell r="Q3573">
            <v>0</v>
          </cell>
          <cell r="R3573">
            <v>0</v>
          </cell>
          <cell r="S3573">
            <v>0</v>
          </cell>
          <cell r="T3573">
            <v>0</v>
          </cell>
          <cell r="U3573">
            <v>0</v>
          </cell>
          <cell r="V3573">
            <v>0</v>
          </cell>
          <cell r="W3573">
            <v>0</v>
          </cell>
        </row>
        <row r="3574">
          <cell r="A3574" t="str">
            <v>450197</v>
          </cell>
          <cell r="B3574" t="str">
            <v>1251</v>
          </cell>
          <cell r="C3574" t="str">
            <v>12</v>
          </cell>
          <cell r="D3574" t="str">
            <v>53</v>
          </cell>
          <cell r="E3574">
            <v>71</v>
          </cell>
          <cell r="G3574">
            <v>0</v>
          </cell>
          <cell r="H3574">
            <v>0</v>
          </cell>
          <cell r="I3574">
            <v>0</v>
          </cell>
          <cell r="J3574">
            <v>0</v>
          </cell>
          <cell r="K3574">
            <v>0</v>
          </cell>
          <cell r="L3574">
            <v>0</v>
          </cell>
          <cell r="M3574">
            <v>0</v>
          </cell>
          <cell r="N3574">
            <v>0</v>
          </cell>
          <cell r="O3574">
            <v>0</v>
          </cell>
          <cell r="P3574">
            <v>0</v>
          </cell>
          <cell r="Q3574">
            <v>0</v>
          </cell>
          <cell r="R3574">
            <v>0</v>
          </cell>
          <cell r="S3574">
            <v>0</v>
          </cell>
          <cell r="T3574">
            <v>0</v>
          </cell>
          <cell r="U3574">
            <v>0</v>
          </cell>
          <cell r="V3574">
            <v>0</v>
          </cell>
          <cell r="W3574">
            <v>0</v>
          </cell>
        </row>
        <row r="3575">
          <cell r="A3575" t="str">
            <v>450197</v>
          </cell>
          <cell r="B3575" t="str">
            <v>1251</v>
          </cell>
          <cell r="C3575" t="str">
            <v>12</v>
          </cell>
          <cell r="D3575" t="str">
            <v>56</v>
          </cell>
          <cell r="E3575">
            <v>1</v>
          </cell>
          <cell r="G3575">
            <v>152849</v>
          </cell>
          <cell r="H3575">
            <v>2989</v>
          </cell>
          <cell r="I3575">
            <v>0</v>
          </cell>
          <cell r="J3575">
            <v>52555</v>
          </cell>
          <cell r="K3575">
            <v>3398</v>
          </cell>
          <cell r="L3575">
            <v>0</v>
          </cell>
          <cell r="M3575">
            <v>13566</v>
          </cell>
          <cell r="N3575">
            <v>3226</v>
          </cell>
          <cell r="O3575">
            <v>0</v>
          </cell>
          <cell r="P3575">
            <v>15748</v>
          </cell>
          <cell r="Q3575">
            <v>0</v>
          </cell>
          <cell r="R3575">
            <v>0</v>
          </cell>
          <cell r="S3575">
            <v>12603</v>
          </cell>
          <cell r="T3575">
            <v>17979</v>
          </cell>
          <cell r="U3575">
            <v>0</v>
          </cell>
          <cell r="V3575">
            <v>0</v>
          </cell>
          <cell r="W3575">
            <v>0</v>
          </cell>
        </row>
        <row r="3576">
          <cell r="A3576" t="str">
            <v>450197</v>
          </cell>
          <cell r="B3576" t="str">
            <v>1251</v>
          </cell>
          <cell r="C3576" t="str">
            <v>12</v>
          </cell>
          <cell r="D3576" t="str">
            <v>56</v>
          </cell>
          <cell r="E3576">
            <v>6</v>
          </cell>
          <cell r="G3576">
            <v>0</v>
          </cell>
          <cell r="H3576">
            <v>0</v>
          </cell>
          <cell r="I3576">
            <v>0</v>
          </cell>
          <cell r="J3576">
            <v>0</v>
          </cell>
          <cell r="K3576">
            <v>0</v>
          </cell>
          <cell r="L3576">
            <v>0</v>
          </cell>
          <cell r="M3576">
            <v>0</v>
          </cell>
          <cell r="N3576">
            <v>0</v>
          </cell>
          <cell r="O3576">
            <v>0</v>
          </cell>
          <cell r="P3576">
            <v>247321</v>
          </cell>
          <cell r="Q3576">
            <v>27592</v>
          </cell>
          <cell r="R3576">
            <v>0</v>
          </cell>
          <cell r="S3576">
            <v>0</v>
          </cell>
          <cell r="T3576">
            <v>0</v>
          </cell>
          <cell r="U3576">
            <v>0</v>
          </cell>
          <cell r="V3576">
            <v>0</v>
          </cell>
          <cell r="W3576">
            <v>0</v>
          </cell>
        </row>
        <row r="3577">
          <cell r="A3577" t="str">
            <v>450197</v>
          </cell>
          <cell r="B3577" t="str">
            <v>1251</v>
          </cell>
          <cell r="C3577" t="str">
            <v>12</v>
          </cell>
          <cell r="D3577" t="str">
            <v>57</v>
          </cell>
          <cell r="E3577">
            <v>1</v>
          </cell>
          <cell r="G3577">
            <v>0</v>
          </cell>
          <cell r="H3577">
            <v>0</v>
          </cell>
          <cell r="I3577">
            <v>0</v>
          </cell>
          <cell r="J3577">
            <v>0</v>
          </cell>
          <cell r="K3577">
            <v>0</v>
          </cell>
          <cell r="L3577">
            <v>0</v>
          </cell>
          <cell r="M3577">
            <v>0</v>
          </cell>
          <cell r="N3577">
            <v>0</v>
          </cell>
          <cell r="O3577">
            <v>0</v>
          </cell>
          <cell r="P3577">
            <v>0</v>
          </cell>
          <cell r="Q3577">
            <v>0</v>
          </cell>
          <cell r="R3577">
            <v>0</v>
          </cell>
          <cell r="S3577">
            <v>0</v>
          </cell>
          <cell r="T3577">
            <v>0</v>
          </cell>
          <cell r="U3577">
            <v>0</v>
          </cell>
          <cell r="V3577">
            <v>0</v>
          </cell>
          <cell r="W3577">
            <v>0</v>
          </cell>
        </row>
        <row r="3578">
          <cell r="A3578" t="str">
            <v>450197</v>
          </cell>
          <cell r="B3578" t="str">
            <v>1251</v>
          </cell>
          <cell r="C3578" t="str">
            <v>12</v>
          </cell>
          <cell r="D3578" t="str">
            <v>57</v>
          </cell>
          <cell r="E3578">
            <v>3</v>
          </cell>
          <cell r="G3578">
            <v>0</v>
          </cell>
          <cell r="H3578">
            <v>0</v>
          </cell>
          <cell r="I3578">
            <v>0</v>
          </cell>
          <cell r="J3578">
            <v>0</v>
          </cell>
          <cell r="K3578">
            <v>0</v>
          </cell>
          <cell r="L3578">
            <v>0</v>
          </cell>
          <cell r="M3578">
            <v>0</v>
          </cell>
          <cell r="N3578">
            <v>0</v>
          </cell>
          <cell r="O3578">
            <v>0</v>
          </cell>
          <cell r="P3578">
            <v>0</v>
          </cell>
          <cell r="Q3578">
            <v>0</v>
          </cell>
          <cell r="R3578">
            <v>0</v>
          </cell>
          <cell r="S3578">
            <v>0</v>
          </cell>
          <cell r="T3578">
            <v>0</v>
          </cell>
          <cell r="U3578">
            <v>0</v>
          </cell>
          <cell r="V3578">
            <v>0</v>
          </cell>
          <cell r="W3578">
            <v>0</v>
          </cell>
        </row>
        <row r="3579">
          <cell r="A3579" t="str">
            <v>450197</v>
          </cell>
          <cell r="B3579" t="str">
            <v>1251</v>
          </cell>
          <cell r="C3579" t="str">
            <v>12</v>
          </cell>
          <cell r="D3579" t="str">
            <v>57</v>
          </cell>
          <cell r="E3579">
            <v>5</v>
          </cell>
          <cell r="G3579">
            <v>66</v>
          </cell>
          <cell r="H3579">
            <v>0</v>
          </cell>
          <cell r="I3579">
            <v>0</v>
          </cell>
          <cell r="J3579">
            <v>0</v>
          </cell>
          <cell r="K3579">
            <v>41</v>
          </cell>
          <cell r="L3579">
            <v>0</v>
          </cell>
          <cell r="M3579">
            <v>0</v>
          </cell>
          <cell r="N3579">
            <v>0</v>
          </cell>
          <cell r="O3579">
            <v>0</v>
          </cell>
          <cell r="P3579">
            <v>0</v>
          </cell>
          <cell r="Q3579">
            <v>0</v>
          </cell>
          <cell r="R3579">
            <v>0</v>
          </cell>
          <cell r="S3579">
            <v>0</v>
          </cell>
          <cell r="T3579">
            <v>0</v>
          </cell>
          <cell r="U3579">
            <v>0</v>
          </cell>
          <cell r="V3579">
            <v>0</v>
          </cell>
          <cell r="W3579">
            <v>0</v>
          </cell>
        </row>
        <row r="3580">
          <cell r="A3580" t="str">
            <v>450197</v>
          </cell>
          <cell r="B3580" t="str">
            <v>1251</v>
          </cell>
          <cell r="C3580" t="str">
            <v>12</v>
          </cell>
          <cell r="D3580" t="str">
            <v>57</v>
          </cell>
          <cell r="E3580">
            <v>7</v>
          </cell>
          <cell r="G3580">
            <v>66</v>
          </cell>
          <cell r="H3580">
            <v>0</v>
          </cell>
          <cell r="I3580">
            <v>0</v>
          </cell>
          <cell r="J3580">
            <v>0</v>
          </cell>
          <cell r="K3580">
            <v>41</v>
          </cell>
          <cell r="L3580">
            <v>0</v>
          </cell>
          <cell r="M3580">
            <v>2949</v>
          </cell>
          <cell r="N3580">
            <v>0</v>
          </cell>
          <cell r="O3580">
            <v>0</v>
          </cell>
          <cell r="P3580">
            <v>0</v>
          </cell>
          <cell r="Q3580">
            <v>2919</v>
          </cell>
          <cell r="R3580">
            <v>0</v>
          </cell>
          <cell r="S3580">
            <v>0</v>
          </cell>
          <cell r="T3580">
            <v>0</v>
          </cell>
          <cell r="U3580">
            <v>0</v>
          </cell>
          <cell r="V3580">
            <v>0</v>
          </cell>
          <cell r="W3580">
            <v>0</v>
          </cell>
        </row>
        <row r="3581">
          <cell r="A3581" t="str">
            <v>450197</v>
          </cell>
          <cell r="B3581" t="str">
            <v>1251</v>
          </cell>
          <cell r="C3581" t="str">
            <v>12</v>
          </cell>
          <cell r="D3581" t="str">
            <v>57</v>
          </cell>
          <cell r="E3581">
            <v>9</v>
          </cell>
          <cell r="G3581">
            <v>1279</v>
          </cell>
          <cell r="H3581">
            <v>202</v>
          </cell>
          <cell r="I3581">
            <v>0</v>
          </cell>
          <cell r="J3581">
            <v>0</v>
          </cell>
          <cell r="K3581">
            <v>3384</v>
          </cell>
          <cell r="L3581">
            <v>202</v>
          </cell>
          <cell r="M3581">
            <v>158</v>
          </cell>
          <cell r="N3581">
            <v>0</v>
          </cell>
          <cell r="O3581">
            <v>0</v>
          </cell>
          <cell r="P3581">
            <v>0</v>
          </cell>
          <cell r="Q3581">
            <v>379</v>
          </cell>
          <cell r="R3581">
            <v>0</v>
          </cell>
          <cell r="S3581">
            <v>0</v>
          </cell>
          <cell r="T3581">
            <v>0</v>
          </cell>
          <cell r="U3581">
            <v>0</v>
          </cell>
          <cell r="V3581">
            <v>0</v>
          </cell>
          <cell r="W3581">
            <v>0</v>
          </cell>
        </row>
        <row r="3582">
          <cell r="A3582" t="str">
            <v>450197</v>
          </cell>
          <cell r="B3582" t="str">
            <v>1251</v>
          </cell>
          <cell r="C3582" t="str">
            <v>12</v>
          </cell>
          <cell r="D3582" t="str">
            <v>57</v>
          </cell>
          <cell r="E3582">
            <v>11</v>
          </cell>
          <cell r="G3582">
            <v>0</v>
          </cell>
          <cell r="H3582">
            <v>0</v>
          </cell>
          <cell r="I3582">
            <v>0</v>
          </cell>
          <cell r="J3582">
            <v>0</v>
          </cell>
          <cell r="K3582">
            <v>0</v>
          </cell>
          <cell r="L3582">
            <v>0</v>
          </cell>
          <cell r="M3582">
            <v>0</v>
          </cell>
          <cell r="N3582">
            <v>0</v>
          </cell>
          <cell r="O3582">
            <v>0</v>
          </cell>
          <cell r="P3582">
            <v>0</v>
          </cell>
          <cell r="Q3582">
            <v>0</v>
          </cell>
          <cell r="R3582">
            <v>0</v>
          </cell>
          <cell r="S3582">
            <v>0</v>
          </cell>
          <cell r="T3582">
            <v>0</v>
          </cell>
          <cell r="U3582">
            <v>0</v>
          </cell>
          <cell r="V3582">
            <v>0</v>
          </cell>
          <cell r="W3582">
            <v>0</v>
          </cell>
        </row>
        <row r="3583">
          <cell r="A3583" t="str">
            <v>450197</v>
          </cell>
          <cell r="B3583" t="str">
            <v>1251</v>
          </cell>
          <cell r="C3583" t="str">
            <v>12</v>
          </cell>
          <cell r="D3583" t="str">
            <v>57</v>
          </cell>
          <cell r="E3583">
            <v>13</v>
          </cell>
          <cell r="G3583">
            <v>19</v>
          </cell>
          <cell r="H3583">
            <v>0</v>
          </cell>
          <cell r="I3583">
            <v>0</v>
          </cell>
          <cell r="J3583">
            <v>0</v>
          </cell>
          <cell r="K3583">
            <v>13</v>
          </cell>
          <cell r="L3583">
            <v>0</v>
          </cell>
          <cell r="M3583">
            <v>0</v>
          </cell>
          <cell r="N3583">
            <v>0</v>
          </cell>
          <cell r="O3583">
            <v>0</v>
          </cell>
          <cell r="P3583">
            <v>0</v>
          </cell>
          <cell r="Q3583">
            <v>0</v>
          </cell>
          <cell r="R3583">
            <v>0</v>
          </cell>
          <cell r="S3583">
            <v>0</v>
          </cell>
          <cell r="T3583">
            <v>0</v>
          </cell>
          <cell r="U3583">
            <v>0</v>
          </cell>
          <cell r="V3583">
            <v>0</v>
          </cell>
          <cell r="W3583">
            <v>0</v>
          </cell>
        </row>
        <row r="3584">
          <cell r="A3584" t="str">
            <v>450197</v>
          </cell>
          <cell r="B3584" t="str">
            <v>1251</v>
          </cell>
          <cell r="C3584" t="str">
            <v>12</v>
          </cell>
          <cell r="D3584" t="str">
            <v>57</v>
          </cell>
          <cell r="E3584">
            <v>15</v>
          </cell>
          <cell r="G3584">
            <v>0</v>
          </cell>
          <cell r="H3584">
            <v>0</v>
          </cell>
          <cell r="I3584">
            <v>0</v>
          </cell>
          <cell r="J3584">
            <v>0</v>
          </cell>
          <cell r="K3584">
            <v>0</v>
          </cell>
          <cell r="L3584">
            <v>0</v>
          </cell>
          <cell r="M3584">
            <v>4405</v>
          </cell>
          <cell r="N3584">
            <v>202</v>
          </cell>
          <cell r="O3584">
            <v>0</v>
          </cell>
          <cell r="P3584">
            <v>0</v>
          </cell>
          <cell r="Q3584">
            <v>6695</v>
          </cell>
          <cell r="R3584">
            <v>202</v>
          </cell>
          <cell r="S3584">
            <v>0</v>
          </cell>
          <cell r="T3584">
            <v>0</v>
          </cell>
          <cell r="U3584">
            <v>0</v>
          </cell>
          <cell r="V3584">
            <v>0</v>
          </cell>
          <cell r="W3584">
            <v>0</v>
          </cell>
        </row>
        <row r="3585">
          <cell r="A3585" t="str">
            <v>450197</v>
          </cell>
          <cell r="B3585" t="str">
            <v>1251</v>
          </cell>
          <cell r="C3585" t="str">
            <v>12</v>
          </cell>
          <cell r="D3585" t="str">
            <v>57</v>
          </cell>
          <cell r="E3585">
            <v>17</v>
          </cell>
          <cell r="G3585">
            <v>4471</v>
          </cell>
          <cell r="H3585">
            <v>202</v>
          </cell>
          <cell r="I3585">
            <v>0</v>
          </cell>
          <cell r="J3585">
            <v>0</v>
          </cell>
          <cell r="K3585">
            <v>6736</v>
          </cell>
          <cell r="L3585">
            <v>202</v>
          </cell>
          <cell r="M3585">
            <v>0</v>
          </cell>
          <cell r="N3585">
            <v>0</v>
          </cell>
          <cell r="O3585">
            <v>0</v>
          </cell>
          <cell r="P3585">
            <v>0</v>
          </cell>
          <cell r="Q3585">
            <v>0</v>
          </cell>
          <cell r="R3585">
            <v>0</v>
          </cell>
          <cell r="S3585">
            <v>0</v>
          </cell>
          <cell r="T3585">
            <v>0</v>
          </cell>
          <cell r="U3585">
            <v>0</v>
          </cell>
          <cell r="V3585">
            <v>0</v>
          </cell>
          <cell r="W3585">
            <v>0</v>
          </cell>
        </row>
        <row r="3586">
          <cell r="A3586" t="str">
            <v>450197</v>
          </cell>
          <cell r="B3586" t="str">
            <v>1251</v>
          </cell>
          <cell r="C3586" t="str">
            <v>12</v>
          </cell>
          <cell r="D3586" t="str">
            <v>58</v>
          </cell>
          <cell r="E3586">
            <v>1</v>
          </cell>
          <cell r="G3586">
            <v>66</v>
          </cell>
          <cell r="H3586">
            <v>0</v>
          </cell>
          <cell r="I3586">
            <v>0</v>
          </cell>
          <cell r="J3586">
            <v>0</v>
          </cell>
          <cell r="K3586">
            <v>66</v>
          </cell>
          <cell r="L3586">
            <v>0</v>
          </cell>
          <cell r="M3586">
            <v>25</v>
          </cell>
          <cell r="N3586">
            <v>0</v>
          </cell>
          <cell r="O3586">
            <v>41</v>
          </cell>
          <cell r="P3586">
            <v>0</v>
          </cell>
          <cell r="Q3586">
            <v>41</v>
          </cell>
          <cell r="R3586">
            <v>0</v>
          </cell>
          <cell r="S3586">
            <v>0</v>
          </cell>
          <cell r="T3586">
            <v>0</v>
          </cell>
          <cell r="U3586">
            <v>0</v>
          </cell>
          <cell r="V3586">
            <v>0</v>
          </cell>
          <cell r="W3586">
            <v>0</v>
          </cell>
        </row>
        <row r="3587">
          <cell r="A3587" t="str">
            <v>450197</v>
          </cell>
          <cell r="B3587" t="str">
            <v>1251</v>
          </cell>
          <cell r="C3587" t="str">
            <v>12</v>
          </cell>
          <cell r="D3587" t="str">
            <v>58</v>
          </cell>
          <cell r="E3587">
            <v>2</v>
          </cell>
          <cell r="G3587">
            <v>0</v>
          </cell>
          <cell r="H3587">
            <v>0</v>
          </cell>
          <cell r="I3587">
            <v>0</v>
          </cell>
          <cell r="J3587">
            <v>0</v>
          </cell>
          <cell r="K3587">
            <v>0</v>
          </cell>
          <cell r="L3587">
            <v>0</v>
          </cell>
          <cell r="M3587">
            <v>0</v>
          </cell>
          <cell r="N3587">
            <v>0</v>
          </cell>
          <cell r="O3587">
            <v>0</v>
          </cell>
          <cell r="P3587">
            <v>0</v>
          </cell>
          <cell r="Q3587">
            <v>0</v>
          </cell>
          <cell r="R3587">
            <v>0</v>
          </cell>
          <cell r="S3587">
            <v>0</v>
          </cell>
          <cell r="T3587">
            <v>0</v>
          </cell>
          <cell r="U3587">
            <v>0</v>
          </cell>
          <cell r="V3587">
            <v>0</v>
          </cell>
          <cell r="W3587">
            <v>0</v>
          </cell>
        </row>
        <row r="3588">
          <cell r="A3588" t="str">
            <v>450197</v>
          </cell>
          <cell r="B3588" t="str">
            <v>1251</v>
          </cell>
          <cell r="C3588" t="str">
            <v>12</v>
          </cell>
          <cell r="D3588" t="str">
            <v>58</v>
          </cell>
          <cell r="E3588">
            <v>3</v>
          </cell>
          <cell r="G3588">
            <v>1235</v>
          </cell>
          <cell r="H3588">
            <v>0</v>
          </cell>
          <cell r="I3588">
            <v>79727</v>
          </cell>
          <cell r="J3588">
            <v>0</v>
          </cell>
          <cell r="K3588">
            <v>80962</v>
          </cell>
          <cell r="L3588">
            <v>0</v>
          </cell>
          <cell r="M3588">
            <v>983</v>
          </cell>
          <cell r="N3588">
            <v>76418</v>
          </cell>
          <cell r="O3588">
            <v>252</v>
          </cell>
          <cell r="P3588">
            <v>3309</v>
          </cell>
          <cell r="Q3588">
            <v>3561</v>
          </cell>
          <cell r="R3588">
            <v>0</v>
          </cell>
          <cell r="S3588">
            <v>0</v>
          </cell>
          <cell r="T3588">
            <v>0</v>
          </cell>
          <cell r="U3588">
            <v>0</v>
          </cell>
          <cell r="V3588">
            <v>0</v>
          </cell>
          <cell r="W3588">
            <v>0</v>
          </cell>
        </row>
        <row r="3589">
          <cell r="A3589" t="str">
            <v>450197</v>
          </cell>
          <cell r="B3589" t="str">
            <v>1251</v>
          </cell>
          <cell r="C3589" t="str">
            <v>12</v>
          </cell>
          <cell r="D3589" t="str">
            <v>58</v>
          </cell>
          <cell r="E3589">
            <v>4</v>
          </cell>
          <cell r="G3589">
            <v>0</v>
          </cell>
          <cell r="H3589">
            <v>0</v>
          </cell>
          <cell r="I3589">
            <v>0</v>
          </cell>
          <cell r="J3589">
            <v>0</v>
          </cell>
          <cell r="K3589">
            <v>0</v>
          </cell>
          <cell r="L3589">
            <v>0</v>
          </cell>
          <cell r="M3589">
            <v>0</v>
          </cell>
          <cell r="N3589">
            <v>0</v>
          </cell>
          <cell r="O3589">
            <v>0</v>
          </cell>
          <cell r="P3589">
            <v>0</v>
          </cell>
          <cell r="Q3589">
            <v>0</v>
          </cell>
          <cell r="R3589">
            <v>0</v>
          </cell>
          <cell r="S3589">
            <v>0</v>
          </cell>
          <cell r="T3589">
            <v>0</v>
          </cell>
          <cell r="U3589">
            <v>0</v>
          </cell>
          <cell r="V3589">
            <v>0</v>
          </cell>
          <cell r="W3589">
            <v>0</v>
          </cell>
        </row>
        <row r="3590">
          <cell r="A3590" t="str">
            <v>450197</v>
          </cell>
          <cell r="B3590" t="str">
            <v>1251</v>
          </cell>
          <cell r="C3590" t="str">
            <v>12</v>
          </cell>
          <cell r="D3590" t="str">
            <v>58</v>
          </cell>
          <cell r="E3590">
            <v>5</v>
          </cell>
          <cell r="G3590">
            <v>0</v>
          </cell>
          <cell r="H3590">
            <v>0</v>
          </cell>
          <cell r="I3590">
            <v>0</v>
          </cell>
          <cell r="J3590">
            <v>0</v>
          </cell>
          <cell r="K3590">
            <v>0</v>
          </cell>
          <cell r="L3590">
            <v>0</v>
          </cell>
          <cell r="M3590">
            <v>0</v>
          </cell>
          <cell r="N3590">
            <v>0</v>
          </cell>
          <cell r="O3590">
            <v>0</v>
          </cell>
          <cell r="P3590">
            <v>0</v>
          </cell>
          <cell r="Q3590">
            <v>0</v>
          </cell>
          <cell r="R3590">
            <v>0</v>
          </cell>
          <cell r="S3590">
            <v>0</v>
          </cell>
          <cell r="T3590">
            <v>0</v>
          </cell>
          <cell r="U3590">
            <v>0</v>
          </cell>
          <cell r="V3590">
            <v>0</v>
          </cell>
          <cell r="W3590">
            <v>0</v>
          </cell>
        </row>
        <row r="3591">
          <cell r="A3591" t="str">
            <v>450197</v>
          </cell>
          <cell r="B3591" t="str">
            <v>1251</v>
          </cell>
          <cell r="C3591" t="str">
            <v>12</v>
          </cell>
          <cell r="D3591" t="str">
            <v>58</v>
          </cell>
          <cell r="E3591">
            <v>6</v>
          </cell>
          <cell r="G3591">
            <v>0</v>
          </cell>
          <cell r="H3591">
            <v>0</v>
          </cell>
          <cell r="I3591">
            <v>0</v>
          </cell>
          <cell r="J3591">
            <v>0</v>
          </cell>
          <cell r="K3591">
            <v>0</v>
          </cell>
          <cell r="L3591">
            <v>0</v>
          </cell>
          <cell r="M3591">
            <v>0</v>
          </cell>
          <cell r="N3591">
            <v>0</v>
          </cell>
          <cell r="O3591">
            <v>0</v>
          </cell>
          <cell r="P3591">
            <v>0</v>
          </cell>
          <cell r="Q3591">
            <v>0</v>
          </cell>
          <cell r="R3591">
            <v>0</v>
          </cell>
          <cell r="S3591">
            <v>0</v>
          </cell>
          <cell r="T3591">
            <v>0</v>
          </cell>
          <cell r="U3591">
            <v>0</v>
          </cell>
          <cell r="V3591">
            <v>0</v>
          </cell>
          <cell r="W3591">
            <v>0</v>
          </cell>
        </row>
        <row r="3592">
          <cell r="A3592" t="str">
            <v>450197</v>
          </cell>
          <cell r="B3592" t="str">
            <v>1251</v>
          </cell>
          <cell r="C3592" t="str">
            <v>12</v>
          </cell>
          <cell r="D3592" t="str">
            <v>58</v>
          </cell>
          <cell r="E3592">
            <v>7</v>
          </cell>
          <cell r="G3592">
            <v>0</v>
          </cell>
          <cell r="H3592">
            <v>0</v>
          </cell>
          <cell r="I3592">
            <v>0</v>
          </cell>
          <cell r="J3592">
            <v>0</v>
          </cell>
          <cell r="K3592">
            <v>0</v>
          </cell>
          <cell r="L3592">
            <v>0</v>
          </cell>
          <cell r="M3592">
            <v>0</v>
          </cell>
          <cell r="N3592">
            <v>0</v>
          </cell>
          <cell r="O3592">
            <v>0</v>
          </cell>
          <cell r="P3592">
            <v>0</v>
          </cell>
          <cell r="Q3592">
            <v>0</v>
          </cell>
          <cell r="R3592">
            <v>0</v>
          </cell>
          <cell r="S3592">
            <v>0</v>
          </cell>
          <cell r="T3592">
            <v>0</v>
          </cell>
          <cell r="U3592">
            <v>0</v>
          </cell>
          <cell r="V3592">
            <v>0</v>
          </cell>
          <cell r="W3592">
            <v>0</v>
          </cell>
        </row>
        <row r="3593">
          <cell r="A3593" t="str">
            <v>450197</v>
          </cell>
          <cell r="B3593" t="str">
            <v>1251</v>
          </cell>
          <cell r="C3593" t="str">
            <v>12</v>
          </cell>
          <cell r="D3593" t="str">
            <v>58</v>
          </cell>
          <cell r="E3593">
            <v>8</v>
          </cell>
          <cell r="G3593">
            <v>0</v>
          </cell>
          <cell r="H3593">
            <v>0</v>
          </cell>
          <cell r="I3593">
            <v>0</v>
          </cell>
          <cell r="J3593">
            <v>0</v>
          </cell>
          <cell r="K3593">
            <v>0</v>
          </cell>
          <cell r="L3593">
            <v>0</v>
          </cell>
          <cell r="M3593">
            <v>0</v>
          </cell>
          <cell r="N3593">
            <v>0</v>
          </cell>
          <cell r="O3593">
            <v>0</v>
          </cell>
          <cell r="P3593">
            <v>0</v>
          </cell>
          <cell r="Q3593">
            <v>0</v>
          </cell>
          <cell r="R3593">
            <v>0</v>
          </cell>
          <cell r="S3593">
            <v>0</v>
          </cell>
          <cell r="T3593">
            <v>0</v>
          </cell>
          <cell r="U3593">
            <v>0</v>
          </cell>
          <cell r="V3593">
            <v>0</v>
          </cell>
          <cell r="W3593">
            <v>0</v>
          </cell>
        </row>
        <row r="3594">
          <cell r="A3594" t="str">
            <v>450197</v>
          </cell>
          <cell r="B3594" t="str">
            <v>1251</v>
          </cell>
          <cell r="C3594" t="str">
            <v>12</v>
          </cell>
          <cell r="D3594" t="str">
            <v>58</v>
          </cell>
          <cell r="E3594">
            <v>9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0</v>
          </cell>
          <cell r="R3594">
            <v>0</v>
          </cell>
          <cell r="S3594">
            <v>0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</row>
        <row r="3595">
          <cell r="A3595" t="str">
            <v>450197</v>
          </cell>
          <cell r="B3595" t="str">
            <v>1251</v>
          </cell>
          <cell r="C3595" t="str">
            <v>12</v>
          </cell>
          <cell r="D3595" t="str">
            <v>58</v>
          </cell>
          <cell r="E3595">
            <v>10</v>
          </cell>
          <cell r="G3595">
            <v>19</v>
          </cell>
          <cell r="H3595">
            <v>0</v>
          </cell>
          <cell r="I3595">
            <v>0</v>
          </cell>
          <cell r="J3595">
            <v>0</v>
          </cell>
          <cell r="K3595">
            <v>19</v>
          </cell>
          <cell r="L3595">
            <v>0</v>
          </cell>
          <cell r="M3595">
            <v>6</v>
          </cell>
          <cell r="N3595">
            <v>0</v>
          </cell>
          <cell r="O3595">
            <v>13</v>
          </cell>
          <cell r="P3595">
            <v>0</v>
          </cell>
          <cell r="Q3595">
            <v>13</v>
          </cell>
          <cell r="R3595">
            <v>0</v>
          </cell>
          <cell r="S3595">
            <v>0</v>
          </cell>
          <cell r="T3595">
            <v>0</v>
          </cell>
          <cell r="U3595">
            <v>0</v>
          </cell>
          <cell r="V3595">
            <v>0</v>
          </cell>
          <cell r="W3595">
            <v>0</v>
          </cell>
        </row>
        <row r="3596">
          <cell r="A3596" t="str">
            <v>450197</v>
          </cell>
          <cell r="B3596" t="str">
            <v>1251</v>
          </cell>
          <cell r="C3596" t="str">
            <v>12</v>
          </cell>
          <cell r="D3596" t="str">
            <v>58</v>
          </cell>
          <cell r="E3596">
            <v>11</v>
          </cell>
          <cell r="G3596">
            <v>1320</v>
          </cell>
          <cell r="H3596">
            <v>0</v>
          </cell>
          <cell r="I3596">
            <v>79727</v>
          </cell>
          <cell r="J3596">
            <v>0</v>
          </cell>
          <cell r="K3596">
            <v>81047</v>
          </cell>
          <cell r="L3596">
            <v>0</v>
          </cell>
          <cell r="M3596">
            <v>1014</v>
          </cell>
          <cell r="N3596">
            <v>76418</v>
          </cell>
          <cell r="O3596">
            <v>306</v>
          </cell>
          <cell r="P3596">
            <v>3309</v>
          </cell>
          <cell r="Q3596">
            <v>3615</v>
          </cell>
          <cell r="R3596">
            <v>0</v>
          </cell>
          <cell r="S3596">
            <v>0</v>
          </cell>
          <cell r="T3596">
            <v>0</v>
          </cell>
          <cell r="U3596">
            <v>0</v>
          </cell>
          <cell r="V3596">
            <v>0</v>
          </cell>
          <cell r="W3596">
            <v>0</v>
          </cell>
        </row>
        <row r="3597">
          <cell r="A3597" t="str">
            <v>450197</v>
          </cell>
          <cell r="B3597" t="str">
            <v>1251</v>
          </cell>
          <cell r="C3597" t="str">
            <v>12</v>
          </cell>
          <cell r="D3597" t="str">
            <v>59</v>
          </cell>
          <cell r="E3597">
            <v>1</v>
          </cell>
          <cell r="G3597">
            <v>3074</v>
          </cell>
          <cell r="H3597">
            <v>0</v>
          </cell>
          <cell r="I3597">
            <v>0</v>
          </cell>
          <cell r="J3597">
            <v>0</v>
          </cell>
          <cell r="K3597">
            <v>3074</v>
          </cell>
          <cell r="L3597">
            <v>0</v>
          </cell>
          <cell r="M3597">
            <v>628</v>
          </cell>
          <cell r="N3597">
            <v>0</v>
          </cell>
          <cell r="O3597">
            <v>2446</v>
          </cell>
          <cell r="P3597">
            <v>0</v>
          </cell>
          <cell r="Q3597">
            <v>2446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</row>
        <row r="3598">
          <cell r="A3598" t="str">
            <v>450197</v>
          </cell>
          <cell r="B3598" t="str">
            <v>1251</v>
          </cell>
          <cell r="C3598" t="str">
            <v>12</v>
          </cell>
          <cell r="D3598" t="str">
            <v>59</v>
          </cell>
          <cell r="E3598">
            <v>2</v>
          </cell>
          <cell r="G3598">
            <v>0</v>
          </cell>
          <cell r="H3598">
            <v>0</v>
          </cell>
          <cell r="I3598">
            <v>0</v>
          </cell>
          <cell r="J3598">
            <v>0</v>
          </cell>
          <cell r="K3598">
            <v>0</v>
          </cell>
          <cell r="L3598">
            <v>0</v>
          </cell>
          <cell r="M3598">
            <v>0</v>
          </cell>
          <cell r="N3598">
            <v>0</v>
          </cell>
          <cell r="O3598">
            <v>0</v>
          </cell>
          <cell r="P3598">
            <v>0</v>
          </cell>
          <cell r="Q3598">
            <v>0</v>
          </cell>
          <cell r="R3598">
            <v>0</v>
          </cell>
          <cell r="S3598">
            <v>0</v>
          </cell>
          <cell r="T3598">
            <v>0</v>
          </cell>
          <cell r="U3598">
            <v>0</v>
          </cell>
          <cell r="V3598">
            <v>0</v>
          </cell>
          <cell r="W3598">
            <v>0</v>
          </cell>
        </row>
        <row r="3599">
          <cell r="A3599" t="str">
            <v>450197</v>
          </cell>
          <cell r="B3599" t="str">
            <v>1251</v>
          </cell>
          <cell r="C3599" t="str">
            <v>12</v>
          </cell>
          <cell r="D3599" t="str">
            <v>59</v>
          </cell>
          <cell r="E3599">
            <v>3</v>
          </cell>
          <cell r="G3599">
            <v>0</v>
          </cell>
          <cell r="H3599">
            <v>0</v>
          </cell>
          <cell r="I3599">
            <v>0</v>
          </cell>
          <cell r="J3599">
            <v>0</v>
          </cell>
          <cell r="K3599">
            <v>0</v>
          </cell>
          <cell r="L3599">
            <v>0</v>
          </cell>
          <cell r="M3599">
            <v>0</v>
          </cell>
          <cell r="N3599">
            <v>0</v>
          </cell>
          <cell r="O3599">
            <v>0</v>
          </cell>
          <cell r="P3599">
            <v>0</v>
          </cell>
          <cell r="Q3599">
            <v>0</v>
          </cell>
          <cell r="R3599">
            <v>0</v>
          </cell>
          <cell r="S3599">
            <v>0</v>
          </cell>
          <cell r="T3599">
            <v>0</v>
          </cell>
          <cell r="U3599">
            <v>0</v>
          </cell>
          <cell r="V3599">
            <v>0</v>
          </cell>
          <cell r="W3599">
            <v>0</v>
          </cell>
        </row>
        <row r="3600">
          <cell r="A3600" t="str">
            <v>450197</v>
          </cell>
          <cell r="B3600" t="str">
            <v>1251</v>
          </cell>
          <cell r="C3600" t="str">
            <v>12</v>
          </cell>
          <cell r="D3600" t="str">
            <v>59</v>
          </cell>
          <cell r="E3600">
            <v>4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</row>
        <row r="3601">
          <cell r="A3601" t="str">
            <v>450197</v>
          </cell>
          <cell r="B3601" t="str">
            <v>1251</v>
          </cell>
          <cell r="C3601" t="str">
            <v>12</v>
          </cell>
          <cell r="D3601" t="str">
            <v>59</v>
          </cell>
          <cell r="E3601">
            <v>5</v>
          </cell>
          <cell r="G3601">
            <v>0</v>
          </cell>
          <cell r="H3601">
            <v>0</v>
          </cell>
          <cell r="I3601">
            <v>0</v>
          </cell>
          <cell r="J3601">
            <v>0</v>
          </cell>
          <cell r="K3601">
            <v>0</v>
          </cell>
          <cell r="L3601">
            <v>0</v>
          </cell>
          <cell r="M3601">
            <v>0</v>
          </cell>
          <cell r="N3601">
            <v>0</v>
          </cell>
          <cell r="O3601">
            <v>0</v>
          </cell>
          <cell r="P3601">
            <v>0</v>
          </cell>
          <cell r="Q3601">
            <v>0</v>
          </cell>
          <cell r="R3601">
            <v>0</v>
          </cell>
          <cell r="S3601">
            <v>0</v>
          </cell>
          <cell r="T3601">
            <v>0</v>
          </cell>
          <cell r="U3601">
            <v>0</v>
          </cell>
          <cell r="V3601">
            <v>0</v>
          </cell>
          <cell r="W3601">
            <v>0</v>
          </cell>
        </row>
        <row r="3602">
          <cell r="A3602" t="str">
            <v>450197</v>
          </cell>
          <cell r="B3602" t="str">
            <v>1251</v>
          </cell>
          <cell r="C3602" t="str">
            <v>12</v>
          </cell>
          <cell r="D3602" t="str">
            <v>59</v>
          </cell>
          <cell r="E3602">
            <v>6</v>
          </cell>
          <cell r="G3602">
            <v>0</v>
          </cell>
          <cell r="H3602">
            <v>0</v>
          </cell>
          <cell r="I3602">
            <v>0</v>
          </cell>
          <cell r="J3602">
            <v>0</v>
          </cell>
          <cell r="K3602">
            <v>0</v>
          </cell>
          <cell r="L3602">
            <v>0</v>
          </cell>
          <cell r="M3602">
            <v>0</v>
          </cell>
          <cell r="N3602">
            <v>0</v>
          </cell>
          <cell r="O3602">
            <v>0</v>
          </cell>
          <cell r="P3602">
            <v>0</v>
          </cell>
          <cell r="Q3602">
            <v>0</v>
          </cell>
          <cell r="R3602">
            <v>0</v>
          </cell>
          <cell r="S3602">
            <v>0</v>
          </cell>
          <cell r="T3602">
            <v>0</v>
          </cell>
          <cell r="U3602">
            <v>0</v>
          </cell>
          <cell r="V3602">
            <v>0</v>
          </cell>
          <cell r="W3602">
            <v>0</v>
          </cell>
        </row>
        <row r="3603">
          <cell r="A3603" t="str">
            <v>450197</v>
          </cell>
          <cell r="B3603" t="str">
            <v>1251</v>
          </cell>
          <cell r="C3603" t="str">
            <v>12</v>
          </cell>
          <cell r="D3603" t="str">
            <v>59</v>
          </cell>
          <cell r="E3603">
            <v>7</v>
          </cell>
          <cell r="G3603">
            <v>3074</v>
          </cell>
          <cell r="H3603">
            <v>0</v>
          </cell>
          <cell r="I3603">
            <v>0</v>
          </cell>
          <cell r="J3603">
            <v>0</v>
          </cell>
          <cell r="K3603">
            <v>3074</v>
          </cell>
          <cell r="L3603">
            <v>0</v>
          </cell>
          <cell r="M3603">
            <v>628</v>
          </cell>
          <cell r="N3603">
            <v>0</v>
          </cell>
          <cell r="O3603">
            <v>2446</v>
          </cell>
          <cell r="P3603">
            <v>0</v>
          </cell>
          <cell r="Q3603">
            <v>2446</v>
          </cell>
          <cell r="R3603">
            <v>0</v>
          </cell>
          <cell r="S3603">
            <v>0</v>
          </cell>
          <cell r="T3603">
            <v>0</v>
          </cell>
          <cell r="U3603">
            <v>0</v>
          </cell>
          <cell r="V3603">
            <v>0</v>
          </cell>
          <cell r="W3603">
            <v>0</v>
          </cell>
        </row>
        <row r="3604">
          <cell r="A3604" t="str">
            <v>450197</v>
          </cell>
          <cell r="B3604" t="str">
            <v>1251</v>
          </cell>
          <cell r="C3604" t="str">
            <v>12</v>
          </cell>
          <cell r="D3604" t="str">
            <v>59</v>
          </cell>
          <cell r="E3604">
            <v>8</v>
          </cell>
          <cell r="G3604">
            <v>14882</v>
          </cell>
          <cell r="H3604">
            <v>0</v>
          </cell>
          <cell r="I3604">
            <v>311201</v>
          </cell>
          <cell r="J3604">
            <v>0</v>
          </cell>
          <cell r="K3604">
            <v>326083</v>
          </cell>
          <cell r="L3604">
            <v>0</v>
          </cell>
          <cell r="M3604">
            <v>14882</v>
          </cell>
          <cell r="N3604">
            <v>301255</v>
          </cell>
          <cell r="O3604">
            <v>0</v>
          </cell>
          <cell r="P3604">
            <v>9946</v>
          </cell>
          <cell r="Q3604">
            <v>9946</v>
          </cell>
          <cell r="R3604">
            <v>0</v>
          </cell>
          <cell r="S3604">
            <v>0</v>
          </cell>
          <cell r="T3604">
            <v>0</v>
          </cell>
          <cell r="U3604">
            <v>0</v>
          </cell>
          <cell r="V3604">
            <v>0</v>
          </cell>
          <cell r="W3604">
            <v>0</v>
          </cell>
        </row>
        <row r="3605">
          <cell r="A3605" t="str">
            <v>450197</v>
          </cell>
          <cell r="B3605" t="str">
            <v>1251</v>
          </cell>
          <cell r="C3605" t="str">
            <v>12</v>
          </cell>
          <cell r="D3605" t="str">
            <v>59</v>
          </cell>
          <cell r="E3605">
            <v>9</v>
          </cell>
          <cell r="G3605">
            <v>0</v>
          </cell>
          <cell r="H3605">
            <v>0</v>
          </cell>
          <cell r="I3605">
            <v>0</v>
          </cell>
          <cell r="J3605">
            <v>0</v>
          </cell>
          <cell r="K3605">
            <v>0</v>
          </cell>
          <cell r="L3605">
            <v>0</v>
          </cell>
          <cell r="M3605">
            <v>0</v>
          </cell>
          <cell r="N3605">
            <v>0</v>
          </cell>
          <cell r="O3605">
            <v>0</v>
          </cell>
          <cell r="P3605">
            <v>0</v>
          </cell>
          <cell r="Q3605">
            <v>0</v>
          </cell>
          <cell r="R3605">
            <v>0</v>
          </cell>
          <cell r="S3605">
            <v>0</v>
          </cell>
          <cell r="T3605">
            <v>0</v>
          </cell>
          <cell r="U3605">
            <v>0</v>
          </cell>
          <cell r="V3605">
            <v>0</v>
          </cell>
          <cell r="W3605">
            <v>0</v>
          </cell>
        </row>
        <row r="3606">
          <cell r="A3606" t="str">
            <v>450197</v>
          </cell>
          <cell r="B3606" t="str">
            <v>1251</v>
          </cell>
          <cell r="C3606" t="str">
            <v>12</v>
          </cell>
          <cell r="D3606" t="str">
            <v>59</v>
          </cell>
          <cell r="E3606">
            <v>10</v>
          </cell>
          <cell r="G3606">
            <v>0</v>
          </cell>
          <cell r="H3606">
            <v>0</v>
          </cell>
          <cell r="I3606">
            <v>0</v>
          </cell>
          <cell r="J3606">
            <v>0</v>
          </cell>
          <cell r="K3606">
            <v>0</v>
          </cell>
          <cell r="L3606">
            <v>0</v>
          </cell>
          <cell r="M3606">
            <v>0</v>
          </cell>
          <cell r="N3606">
            <v>0</v>
          </cell>
          <cell r="O3606">
            <v>0</v>
          </cell>
          <cell r="P3606">
            <v>0</v>
          </cell>
          <cell r="Q3606">
            <v>0</v>
          </cell>
          <cell r="R3606">
            <v>0</v>
          </cell>
          <cell r="S3606">
            <v>0</v>
          </cell>
          <cell r="T3606">
            <v>0</v>
          </cell>
          <cell r="U3606">
            <v>0</v>
          </cell>
          <cell r="V3606">
            <v>0</v>
          </cell>
          <cell r="W3606">
            <v>0</v>
          </cell>
        </row>
        <row r="3607">
          <cell r="A3607" t="str">
            <v>450197</v>
          </cell>
          <cell r="B3607" t="str">
            <v>1251</v>
          </cell>
          <cell r="C3607" t="str">
            <v>12</v>
          </cell>
          <cell r="D3607" t="str">
            <v>59</v>
          </cell>
          <cell r="E3607">
            <v>11</v>
          </cell>
          <cell r="G3607">
            <v>14001</v>
          </cell>
          <cell r="H3607">
            <v>0</v>
          </cell>
          <cell r="I3607">
            <v>310279</v>
          </cell>
          <cell r="J3607">
            <v>0</v>
          </cell>
          <cell r="K3607">
            <v>324280</v>
          </cell>
          <cell r="L3607">
            <v>0</v>
          </cell>
          <cell r="M3607">
            <v>14001</v>
          </cell>
          <cell r="N3607">
            <v>301255</v>
          </cell>
          <cell r="O3607">
            <v>0</v>
          </cell>
          <cell r="P3607">
            <v>9024</v>
          </cell>
          <cell r="Q3607">
            <v>9024</v>
          </cell>
          <cell r="R3607">
            <v>0</v>
          </cell>
          <cell r="S3607">
            <v>0</v>
          </cell>
          <cell r="T3607">
            <v>0</v>
          </cell>
          <cell r="U3607">
            <v>0</v>
          </cell>
          <cell r="V3607">
            <v>0</v>
          </cell>
          <cell r="W3607">
            <v>0</v>
          </cell>
        </row>
        <row r="3608">
          <cell r="A3608" t="str">
            <v>450197</v>
          </cell>
          <cell r="B3608" t="str">
            <v>1251</v>
          </cell>
          <cell r="C3608" t="str">
            <v>12</v>
          </cell>
          <cell r="D3608" t="str">
            <v>59</v>
          </cell>
          <cell r="E3608">
            <v>12</v>
          </cell>
          <cell r="G3608">
            <v>60</v>
          </cell>
          <cell r="H3608">
            <v>0</v>
          </cell>
          <cell r="I3608">
            <v>18959</v>
          </cell>
          <cell r="J3608">
            <v>0</v>
          </cell>
          <cell r="K3608">
            <v>19019</v>
          </cell>
          <cell r="L3608">
            <v>0</v>
          </cell>
          <cell r="M3608">
            <v>60</v>
          </cell>
          <cell r="N3608">
            <v>18959</v>
          </cell>
          <cell r="O3608">
            <v>0</v>
          </cell>
          <cell r="P3608">
            <v>0</v>
          </cell>
          <cell r="Q3608">
            <v>0</v>
          </cell>
          <cell r="R3608">
            <v>0</v>
          </cell>
          <cell r="S3608">
            <v>0</v>
          </cell>
          <cell r="T3608">
            <v>0</v>
          </cell>
          <cell r="U3608">
            <v>0</v>
          </cell>
          <cell r="V3608">
            <v>0</v>
          </cell>
          <cell r="W3608">
            <v>0</v>
          </cell>
        </row>
        <row r="3609">
          <cell r="A3609" t="str">
            <v>450197</v>
          </cell>
          <cell r="B3609" t="str">
            <v>1251</v>
          </cell>
          <cell r="C3609" t="str">
            <v>12</v>
          </cell>
          <cell r="D3609" t="str">
            <v>59</v>
          </cell>
          <cell r="E3609">
            <v>13</v>
          </cell>
          <cell r="G3609">
            <v>0</v>
          </cell>
          <cell r="H3609">
            <v>0</v>
          </cell>
          <cell r="I3609">
            <v>0</v>
          </cell>
          <cell r="J3609">
            <v>0</v>
          </cell>
          <cell r="K3609">
            <v>0</v>
          </cell>
          <cell r="L3609">
            <v>0</v>
          </cell>
          <cell r="M3609">
            <v>0</v>
          </cell>
          <cell r="N3609">
            <v>0</v>
          </cell>
          <cell r="O3609">
            <v>0</v>
          </cell>
          <cell r="P3609">
            <v>0</v>
          </cell>
          <cell r="Q3609">
            <v>0</v>
          </cell>
          <cell r="R3609">
            <v>0</v>
          </cell>
          <cell r="S3609">
            <v>0</v>
          </cell>
          <cell r="T3609">
            <v>0</v>
          </cell>
          <cell r="U3609">
            <v>0</v>
          </cell>
          <cell r="V3609">
            <v>0</v>
          </cell>
          <cell r="W3609">
            <v>0</v>
          </cell>
        </row>
        <row r="3610">
          <cell r="A3610" t="str">
            <v>450197</v>
          </cell>
          <cell r="B3610" t="str">
            <v>1251</v>
          </cell>
          <cell r="C3610" t="str">
            <v>12</v>
          </cell>
          <cell r="D3610" t="str">
            <v>59</v>
          </cell>
          <cell r="E3610">
            <v>14</v>
          </cell>
          <cell r="G3610">
            <v>3517</v>
          </cell>
          <cell r="H3610">
            <v>0</v>
          </cell>
          <cell r="I3610">
            <v>148560</v>
          </cell>
          <cell r="J3610">
            <v>0</v>
          </cell>
          <cell r="K3610">
            <v>152077</v>
          </cell>
          <cell r="L3610">
            <v>0</v>
          </cell>
          <cell r="M3610">
            <v>3517</v>
          </cell>
          <cell r="N3610">
            <v>145008</v>
          </cell>
          <cell r="O3610">
            <v>0</v>
          </cell>
          <cell r="P3610">
            <v>3552</v>
          </cell>
          <cell r="Q3610">
            <v>3552</v>
          </cell>
          <cell r="R3610">
            <v>0</v>
          </cell>
          <cell r="S3610">
            <v>0</v>
          </cell>
          <cell r="T3610">
            <v>0</v>
          </cell>
          <cell r="U3610">
            <v>0</v>
          </cell>
          <cell r="V3610">
            <v>0</v>
          </cell>
          <cell r="W3610">
            <v>0</v>
          </cell>
        </row>
        <row r="3611">
          <cell r="A3611" t="str">
            <v>450197</v>
          </cell>
          <cell r="B3611" t="str">
            <v>1251</v>
          </cell>
          <cell r="C3611" t="str">
            <v>12</v>
          </cell>
          <cell r="D3611" t="str">
            <v>59</v>
          </cell>
          <cell r="E3611">
            <v>15</v>
          </cell>
          <cell r="G3611">
            <v>10424</v>
          </cell>
          <cell r="H3611">
            <v>0</v>
          </cell>
          <cell r="I3611">
            <v>142760</v>
          </cell>
          <cell r="J3611">
            <v>0</v>
          </cell>
          <cell r="K3611">
            <v>153184</v>
          </cell>
          <cell r="L3611">
            <v>0</v>
          </cell>
          <cell r="M3611">
            <v>10424</v>
          </cell>
          <cell r="N3611">
            <v>137288</v>
          </cell>
          <cell r="O3611">
            <v>0</v>
          </cell>
          <cell r="P3611">
            <v>5472</v>
          </cell>
          <cell r="Q3611">
            <v>5472</v>
          </cell>
          <cell r="R3611">
            <v>0</v>
          </cell>
          <cell r="S3611">
            <v>0</v>
          </cell>
          <cell r="T3611">
            <v>0</v>
          </cell>
          <cell r="U3611">
            <v>0</v>
          </cell>
          <cell r="V3611">
            <v>0</v>
          </cell>
          <cell r="W3611">
            <v>0</v>
          </cell>
        </row>
        <row r="3612">
          <cell r="A3612" t="str">
            <v>450197</v>
          </cell>
          <cell r="B3612" t="str">
            <v>1251</v>
          </cell>
          <cell r="C3612" t="str">
            <v>12</v>
          </cell>
          <cell r="D3612" t="str">
            <v>59</v>
          </cell>
          <cell r="E3612">
            <v>16</v>
          </cell>
          <cell r="G3612">
            <v>881</v>
          </cell>
          <cell r="H3612">
            <v>0</v>
          </cell>
          <cell r="I3612">
            <v>922</v>
          </cell>
          <cell r="J3612">
            <v>0</v>
          </cell>
          <cell r="K3612">
            <v>1803</v>
          </cell>
          <cell r="L3612">
            <v>0</v>
          </cell>
          <cell r="M3612">
            <v>881</v>
          </cell>
          <cell r="N3612">
            <v>0</v>
          </cell>
          <cell r="O3612">
            <v>0</v>
          </cell>
          <cell r="P3612">
            <v>922</v>
          </cell>
          <cell r="Q3612">
            <v>922</v>
          </cell>
          <cell r="R3612">
            <v>0</v>
          </cell>
          <cell r="S3612">
            <v>0</v>
          </cell>
          <cell r="T3612">
            <v>0</v>
          </cell>
          <cell r="U3612">
            <v>0</v>
          </cell>
          <cell r="V3612">
            <v>0</v>
          </cell>
          <cell r="W3612">
            <v>0</v>
          </cell>
        </row>
        <row r="3613">
          <cell r="A3613" t="str">
            <v>450197</v>
          </cell>
          <cell r="B3613" t="str">
            <v>1251</v>
          </cell>
          <cell r="C3613" t="str">
            <v>12</v>
          </cell>
          <cell r="D3613" t="str">
            <v>59</v>
          </cell>
          <cell r="E3613">
            <v>17</v>
          </cell>
          <cell r="G3613">
            <v>0</v>
          </cell>
          <cell r="H3613">
            <v>0</v>
          </cell>
          <cell r="I3613">
            <v>0</v>
          </cell>
          <cell r="J3613">
            <v>0</v>
          </cell>
          <cell r="K3613">
            <v>0</v>
          </cell>
          <cell r="L3613">
            <v>0</v>
          </cell>
          <cell r="M3613">
            <v>0</v>
          </cell>
          <cell r="N3613">
            <v>0</v>
          </cell>
          <cell r="O3613">
            <v>0</v>
          </cell>
          <cell r="P3613">
            <v>0</v>
          </cell>
          <cell r="Q3613">
            <v>0</v>
          </cell>
          <cell r="R3613">
            <v>0</v>
          </cell>
          <cell r="S3613">
            <v>0</v>
          </cell>
          <cell r="T3613">
            <v>0</v>
          </cell>
          <cell r="U3613">
            <v>0</v>
          </cell>
          <cell r="V3613">
            <v>0</v>
          </cell>
          <cell r="W3613">
            <v>0</v>
          </cell>
        </row>
        <row r="3614">
          <cell r="A3614" t="str">
            <v>450197</v>
          </cell>
          <cell r="B3614" t="str">
            <v>1251</v>
          </cell>
          <cell r="C3614" t="str">
            <v>12</v>
          </cell>
          <cell r="D3614" t="str">
            <v>59</v>
          </cell>
          <cell r="E3614">
            <v>18</v>
          </cell>
          <cell r="G3614">
            <v>0</v>
          </cell>
          <cell r="H3614">
            <v>0</v>
          </cell>
          <cell r="I3614">
            <v>0</v>
          </cell>
          <cell r="J3614">
            <v>0</v>
          </cell>
          <cell r="K3614">
            <v>0</v>
          </cell>
          <cell r="L3614">
            <v>0</v>
          </cell>
          <cell r="M3614">
            <v>0</v>
          </cell>
          <cell r="N3614">
            <v>0</v>
          </cell>
          <cell r="O3614">
            <v>0</v>
          </cell>
          <cell r="P3614">
            <v>0</v>
          </cell>
          <cell r="Q3614">
            <v>0</v>
          </cell>
          <cell r="R3614">
            <v>0</v>
          </cell>
          <cell r="S3614">
            <v>0</v>
          </cell>
          <cell r="T3614">
            <v>0</v>
          </cell>
          <cell r="U3614">
            <v>0</v>
          </cell>
          <cell r="V3614">
            <v>0</v>
          </cell>
          <cell r="W3614">
            <v>0</v>
          </cell>
        </row>
        <row r="3615">
          <cell r="A3615" t="str">
            <v>450197</v>
          </cell>
          <cell r="B3615" t="str">
            <v>1251</v>
          </cell>
          <cell r="C3615" t="str">
            <v>12</v>
          </cell>
          <cell r="D3615" t="str">
            <v>59</v>
          </cell>
          <cell r="E3615">
            <v>19</v>
          </cell>
          <cell r="G3615">
            <v>0</v>
          </cell>
          <cell r="H3615">
            <v>0</v>
          </cell>
          <cell r="I3615">
            <v>0</v>
          </cell>
          <cell r="J3615">
            <v>0</v>
          </cell>
          <cell r="K3615">
            <v>0</v>
          </cell>
          <cell r="L3615">
            <v>0</v>
          </cell>
          <cell r="M3615">
            <v>0</v>
          </cell>
          <cell r="N3615">
            <v>0</v>
          </cell>
          <cell r="O3615">
            <v>0</v>
          </cell>
          <cell r="P3615">
            <v>0</v>
          </cell>
          <cell r="Q3615">
            <v>0</v>
          </cell>
          <cell r="R3615">
            <v>0</v>
          </cell>
          <cell r="S3615">
            <v>0</v>
          </cell>
          <cell r="T3615">
            <v>0</v>
          </cell>
          <cell r="U3615">
            <v>0</v>
          </cell>
          <cell r="V3615">
            <v>0</v>
          </cell>
          <cell r="W3615">
            <v>0</v>
          </cell>
        </row>
        <row r="3616">
          <cell r="A3616" t="str">
            <v>450197</v>
          </cell>
          <cell r="B3616" t="str">
            <v>1251</v>
          </cell>
          <cell r="C3616" t="str">
            <v>12</v>
          </cell>
          <cell r="D3616" t="str">
            <v>59</v>
          </cell>
          <cell r="E3616">
            <v>20</v>
          </cell>
          <cell r="G3616">
            <v>0</v>
          </cell>
          <cell r="H3616">
            <v>0</v>
          </cell>
          <cell r="I3616">
            <v>0</v>
          </cell>
          <cell r="J3616">
            <v>0</v>
          </cell>
          <cell r="K3616">
            <v>0</v>
          </cell>
          <cell r="L3616">
            <v>0</v>
          </cell>
          <cell r="M3616">
            <v>0</v>
          </cell>
          <cell r="N3616">
            <v>0</v>
          </cell>
          <cell r="O3616">
            <v>0</v>
          </cell>
          <cell r="P3616">
            <v>0</v>
          </cell>
          <cell r="Q3616">
            <v>0</v>
          </cell>
          <cell r="R3616">
            <v>0</v>
          </cell>
          <cell r="S3616">
            <v>0</v>
          </cell>
          <cell r="T3616">
            <v>0</v>
          </cell>
          <cell r="U3616">
            <v>0</v>
          </cell>
          <cell r="V3616">
            <v>0</v>
          </cell>
          <cell r="W3616">
            <v>0</v>
          </cell>
        </row>
        <row r="3617">
          <cell r="A3617" t="str">
            <v>450197</v>
          </cell>
          <cell r="B3617" t="str">
            <v>1251</v>
          </cell>
          <cell r="C3617" t="str">
            <v>12</v>
          </cell>
          <cell r="D3617" t="str">
            <v>59</v>
          </cell>
          <cell r="E3617">
            <v>21</v>
          </cell>
          <cell r="G3617">
            <v>0</v>
          </cell>
          <cell r="H3617">
            <v>0</v>
          </cell>
          <cell r="I3617">
            <v>0</v>
          </cell>
          <cell r="J3617">
            <v>0</v>
          </cell>
          <cell r="K3617">
            <v>0</v>
          </cell>
          <cell r="L3617">
            <v>0</v>
          </cell>
          <cell r="M3617">
            <v>0</v>
          </cell>
          <cell r="N3617">
            <v>0</v>
          </cell>
          <cell r="O3617">
            <v>0</v>
          </cell>
          <cell r="P3617">
            <v>0</v>
          </cell>
          <cell r="Q3617">
            <v>0</v>
          </cell>
          <cell r="R3617">
            <v>0</v>
          </cell>
          <cell r="S3617">
            <v>0</v>
          </cell>
          <cell r="T3617">
            <v>0</v>
          </cell>
          <cell r="U3617">
            <v>0</v>
          </cell>
          <cell r="V3617">
            <v>0</v>
          </cell>
          <cell r="W3617">
            <v>0</v>
          </cell>
        </row>
        <row r="3618">
          <cell r="A3618" t="str">
            <v>450197</v>
          </cell>
          <cell r="B3618" t="str">
            <v>1251</v>
          </cell>
          <cell r="C3618" t="str">
            <v>12</v>
          </cell>
          <cell r="D3618" t="str">
            <v>59</v>
          </cell>
          <cell r="E3618">
            <v>22</v>
          </cell>
          <cell r="G3618">
            <v>0</v>
          </cell>
          <cell r="H3618">
            <v>0</v>
          </cell>
          <cell r="I3618">
            <v>0</v>
          </cell>
          <cell r="J3618">
            <v>0</v>
          </cell>
          <cell r="K3618">
            <v>0</v>
          </cell>
          <cell r="L3618">
            <v>0</v>
          </cell>
          <cell r="M3618">
            <v>0</v>
          </cell>
          <cell r="N3618">
            <v>0</v>
          </cell>
          <cell r="O3618">
            <v>0</v>
          </cell>
          <cell r="P3618">
            <v>0</v>
          </cell>
          <cell r="Q3618">
            <v>0</v>
          </cell>
          <cell r="R3618">
            <v>0</v>
          </cell>
          <cell r="S3618">
            <v>0</v>
          </cell>
          <cell r="T3618">
            <v>0</v>
          </cell>
          <cell r="U3618">
            <v>0</v>
          </cell>
          <cell r="V3618">
            <v>0</v>
          </cell>
          <cell r="W3618">
            <v>0</v>
          </cell>
        </row>
        <row r="3619">
          <cell r="A3619" t="str">
            <v>450197</v>
          </cell>
          <cell r="B3619" t="str">
            <v>1251</v>
          </cell>
          <cell r="C3619" t="str">
            <v>12</v>
          </cell>
          <cell r="D3619" t="str">
            <v>59</v>
          </cell>
          <cell r="E3619">
            <v>23</v>
          </cell>
          <cell r="G3619">
            <v>0</v>
          </cell>
          <cell r="H3619">
            <v>0</v>
          </cell>
          <cell r="I3619">
            <v>0</v>
          </cell>
          <cell r="J3619">
            <v>0</v>
          </cell>
          <cell r="K3619">
            <v>0</v>
          </cell>
          <cell r="L3619">
            <v>0</v>
          </cell>
          <cell r="M3619">
            <v>0</v>
          </cell>
          <cell r="N3619">
            <v>0</v>
          </cell>
          <cell r="O3619">
            <v>0</v>
          </cell>
          <cell r="P3619">
            <v>0</v>
          </cell>
          <cell r="Q3619">
            <v>0</v>
          </cell>
          <cell r="R3619">
            <v>0</v>
          </cell>
          <cell r="S3619">
            <v>0</v>
          </cell>
          <cell r="T3619">
            <v>0</v>
          </cell>
          <cell r="U3619">
            <v>0</v>
          </cell>
          <cell r="V3619">
            <v>0</v>
          </cell>
          <cell r="W3619">
            <v>0</v>
          </cell>
        </row>
        <row r="3620">
          <cell r="A3620" t="str">
            <v>450197</v>
          </cell>
          <cell r="B3620" t="str">
            <v>1251</v>
          </cell>
          <cell r="C3620" t="str">
            <v>12</v>
          </cell>
          <cell r="D3620" t="str">
            <v>59</v>
          </cell>
          <cell r="E3620">
            <v>24</v>
          </cell>
          <cell r="G3620">
            <v>0</v>
          </cell>
          <cell r="H3620">
            <v>0</v>
          </cell>
          <cell r="I3620">
            <v>0</v>
          </cell>
          <cell r="J3620">
            <v>0</v>
          </cell>
          <cell r="K3620">
            <v>0</v>
          </cell>
          <cell r="L3620">
            <v>0</v>
          </cell>
          <cell r="M3620">
            <v>0</v>
          </cell>
          <cell r="N3620">
            <v>0</v>
          </cell>
          <cell r="O3620">
            <v>0</v>
          </cell>
          <cell r="P3620">
            <v>0</v>
          </cell>
          <cell r="Q3620">
            <v>0</v>
          </cell>
          <cell r="R3620">
            <v>0</v>
          </cell>
          <cell r="S3620">
            <v>0</v>
          </cell>
          <cell r="T3620">
            <v>0</v>
          </cell>
          <cell r="U3620">
            <v>0</v>
          </cell>
          <cell r="V3620">
            <v>0</v>
          </cell>
          <cell r="W3620">
            <v>0</v>
          </cell>
        </row>
        <row r="3621">
          <cell r="A3621" t="str">
            <v>450197</v>
          </cell>
          <cell r="B3621" t="str">
            <v>1251</v>
          </cell>
          <cell r="C3621" t="str">
            <v>12</v>
          </cell>
          <cell r="D3621" t="str">
            <v>59</v>
          </cell>
          <cell r="E3621">
            <v>25</v>
          </cell>
          <cell r="G3621">
            <v>0</v>
          </cell>
          <cell r="H3621">
            <v>0</v>
          </cell>
          <cell r="I3621">
            <v>0</v>
          </cell>
          <cell r="J3621">
            <v>0</v>
          </cell>
          <cell r="K3621">
            <v>0</v>
          </cell>
          <cell r="L3621">
            <v>0</v>
          </cell>
          <cell r="M3621">
            <v>0</v>
          </cell>
          <cell r="N3621">
            <v>0</v>
          </cell>
          <cell r="O3621">
            <v>0</v>
          </cell>
          <cell r="P3621">
            <v>0</v>
          </cell>
          <cell r="Q3621">
            <v>0</v>
          </cell>
          <cell r="R3621">
            <v>0</v>
          </cell>
          <cell r="S3621">
            <v>0</v>
          </cell>
          <cell r="T3621">
            <v>0</v>
          </cell>
          <cell r="U3621">
            <v>0</v>
          </cell>
          <cell r="V3621">
            <v>0</v>
          </cell>
          <cell r="W3621">
            <v>0</v>
          </cell>
        </row>
        <row r="3622">
          <cell r="A3622" t="str">
            <v>450197</v>
          </cell>
          <cell r="B3622" t="str">
            <v>1251</v>
          </cell>
          <cell r="C3622" t="str">
            <v>12</v>
          </cell>
          <cell r="D3622" t="str">
            <v>59</v>
          </cell>
          <cell r="E3622">
            <v>26</v>
          </cell>
          <cell r="G3622">
            <v>0</v>
          </cell>
          <cell r="H3622">
            <v>0</v>
          </cell>
          <cell r="I3622">
            <v>0</v>
          </cell>
          <cell r="J3622">
            <v>0</v>
          </cell>
          <cell r="K3622">
            <v>0</v>
          </cell>
          <cell r="L3622">
            <v>0</v>
          </cell>
          <cell r="M3622">
            <v>0</v>
          </cell>
          <cell r="N3622">
            <v>0</v>
          </cell>
          <cell r="O3622">
            <v>0</v>
          </cell>
          <cell r="P3622">
            <v>0</v>
          </cell>
          <cell r="Q3622">
            <v>0</v>
          </cell>
          <cell r="R3622">
            <v>0</v>
          </cell>
          <cell r="S3622">
            <v>0</v>
          </cell>
          <cell r="T3622">
            <v>0</v>
          </cell>
          <cell r="U3622">
            <v>0</v>
          </cell>
          <cell r="V3622">
            <v>0</v>
          </cell>
          <cell r="W3622">
            <v>0</v>
          </cell>
        </row>
        <row r="3623">
          <cell r="A3623" t="str">
            <v>450197</v>
          </cell>
          <cell r="B3623" t="str">
            <v>1251</v>
          </cell>
          <cell r="C3623" t="str">
            <v>12</v>
          </cell>
          <cell r="D3623" t="str">
            <v>59</v>
          </cell>
          <cell r="E3623">
            <v>27</v>
          </cell>
          <cell r="G3623">
            <v>0</v>
          </cell>
          <cell r="H3623">
            <v>0</v>
          </cell>
          <cell r="I3623">
            <v>0</v>
          </cell>
          <cell r="J3623">
            <v>0</v>
          </cell>
          <cell r="K3623">
            <v>0</v>
          </cell>
          <cell r="L3623">
            <v>0</v>
          </cell>
          <cell r="M3623">
            <v>0</v>
          </cell>
          <cell r="N3623">
            <v>0</v>
          </cell>
          <cell r="O3623">
            <v>0</v>
          </cell>
          <cell r="P3623">
            <v>0</v>
          </cell>
          <cell r="Q3623">
            <v>0</v>
          </cell>
          <cell r="R3623">
            <v>0</v>
          </cell>
          <cell r="S3623">
            <v>0</v>
          </cell>
          <cell r="T3623">
            <v>0</v>
          </cell>
          <cell r="U3623">
            <v>0</v>
          </cell>
          <cell r="V3623">
            <v>0</v>
          </cell>
          <cell r="W3623">
            <v>0</v>
          </cell>
        </row>
        <row r="3624">
          <cell r="A3624" t="str">
            <v>450197</v>
          </cell>
          <cell r="B3624" t="str">
            <v>1251</v>
          </cell>
          <cell r="C3624" t="str">
            <v>12</v>
          </cell>
          <cell r="D3624" t="str">
            <v>59</v>
          </cell>
          <cell r="E3624">
            <v>28</v>
          </cell>
          <cell r="G3624">
            <v>0</v>
          </cell>
          <cell r="H3624">
            <v>0</v>
          </cell>
          <cell r="I3624">
            <v>0</v>
          </cell>
          <cell r="J3624">
            <v>0</v>
          </cell>
          <cell r="K3624">
            <v>0</v>
          </cell>
          <cell r="L3624">
            <v>0</v>
          </cell>
          <cell r="M3624">
            <v>0</v>
          </cell>
          <cell r="N3624">
            <v>0</v>
          </cell>
          <cell r="O3624">
            <v>0</v>
          </cell>
          <cell r="P3624">
            <v>0</v>
          </cell>
          <cell r="Q3624">
            <v>0</v>
          </cell>
          <cell r="R3624">
            <v>0</v>
          </cell>
          <cell r="S3624">
            <v>0</v>
          </cell>
          <cell r="T3624">
            <v>0</v>
          </cell>
          <cell r="U3624">
            <v>0</v>
          </cell>
          <cell r="V3624">
            <v>0</v>
          </cell>
          <cell r="W3624">
            <v>0</v>
          </cell>
        </row>
        <row r="3625">
          <cell r="A3625" t="str">
            <v>450197</v>
          </cell>
          <cell r="B3625" t="str">
            <v>1251</v>
          </cell>
          <cell r="C3625" t="str">
            <v>12</v>
          </cell>
          <cell r="D3625" t="str">
            <v>59</v>
          </cell>
          <cell r="E3625">
            <v>29</v>
          </cell>
          <cell r="G3625">
            <v>0</v>
          </cell>
          <cell r="H3625">
            <v>0</v>
          </cell>
          <cell r="I3625">
            <v>0</v>
          </cell>
          <cell r="J3625">
            <v>0</v>
          </cell>
          <cell r="K3625">
            <v>0</v>
          </cell>
          <cell r="L3625">
            <v>0</v>
          </cell>
          <cell r="M3625">
            <v>0</v>
          </cell>
          <cell r="N3625">
            <v>0</v>
          </cell>
          <cell r="O3625">
            <v>0</v>
          </cell>
          <cell r="P3625">
            <v>0</v>
          </cell>
          <cell r="Q3625">
            <v>0</v>
          </cell>
          <cell r="R3625">
            <v>0</v>
          </cell>
          <cell r="S3625">
            <v>0</v>
          </cell>
          <cell r="T3625">
            <v>0</v>
          </cell>
          <cell r="U3625">
            <v>0</v>
          </cell>
          <cell r="V3625">
            <v>0</v>
          </cell>
          <cell r="W3625">
            <v>0</v>
          </cell>
        </row>
        <row r="3626">
          <cell r="A3626" t="str">
            <v>450197</v>
          </cell>
          <cell r="B3626" t="str">
            <v>1251</v>
          </cell>
          <cell r="C3626" t="str">
            <v>12</v>
          </cell>
          <cell r="D3626" t="str">
            <v>59</v>
          </cell>
          <cell r="E3626">
            <v>30</v>
          </cell>
          <cell r="G3626">
            <v>643</v>
          </cell>
          <cell r="H3626">
            <v>0</v>
          </cell>
          <cell r="I3626">
            <v>758</v>
          </cell>
          <cell r="J3626">
            <v>0</v>
          </cell>
          <cell r="K3626">
            <v>1401</v>
          </cell>
          <cell r="L3626">
            <v>0</v>
          </cell>
          <cell r="M3626">
            <v>643</v>
          </cell>
          <cell r="N3626">
            <v>0</v>
          </cell>
          <cell r="O3626">
            <v>0</v>
          </cell>
          <cell r="P3626">
            <v>758</v>
          </cell>
          <cell r="Q3626">
            <v>758</v>
          </cell>
          <cell r="R3626">
            <v>0</v>
          </cell>
          <cell r="S3626">
            <v>0</v>
          </cell>
          <cell r="T3626">
            <v>0</v>
          </cell>
          <cell r="U3626">
            <v>0</v>
          </cell>
          <cell r="V3626">
            <v>0</v>
          </cell>
          <cell r="W3626">
            <v>0</v>
          </cell>
        </row>
        <row r="3627">
          <cell r="A3627" t="str">
            <v>450197</v>
          </cell>
          <cell r="B3627" t="str">
            <v>1251</v>
          </cell>
          <cell r="C3627" t="str">
            <v>12</v>
          </cell>
          <cell r="D3627" t="str">
            <v>59</v>
          </cell>
          <cell r="E3627">
            <v>31</v>
          </cell>
          <cell r="G3627">
            <v>238</v>
          </cell>
          <cell r="H3627">
            <v>0</v>
          </cell>
          <cell r="I3627">
            <v>164</v>
          </cell>
          <cell r="J3627">
            <v>0</v>
          </cell>
          <cell r="K3627">
            <v>402</v>
          </cell>
          <cell r="L3627">
            <v>0</v>
          </cell>
          <cell r="M3627">
            <v>238</v>
          </cell>
          <cell r="N3627">
            <v>0</v>
          </cell>
          <cell r="O3627">
            <v>0</v>
          </cell>
          <cell r="P3627">
            <v>164</v>
          </cell>
          <cell r="Q3627">
            <v>164</v>
          </cell>
          <cell r="R3627">
            <v>0</v>
          </cell>
          <cell r="S3627">
            <v>0</v>
          </cell>
          <cell r="T3627">
            <v>0</v>
          </cell>
          <cell r="U3627">
            <v>0</v>
          </cell>
          <cell r="V3627">
            <v>0</v>
          </cell>
          <cell r="W3627">
            <v>0</v>
          </cell>
        </row>
        <row r="3628">
          <cell r="A3628" t="str">
            <v>450197</v>
          </cell>
          <cell r="B3628" t="str">
            <v>1251</v>
          </cell>
          <cell r="C3628" t="str">
            <v>12</v>
          </cell>
          <cell r="D3628" t="str">
            <v>59</v>
          </cell>
          <cell r="E3628">
            <v>32</v>
          </cell>
          <cell r="G3628">
            <v>0</v>
          </cell>
          <cell r="H3628">
            <v>0</v>
          </cell>
          <cell r="I3628">
            <v>0</v>
          </cell>
          <cell r="J3628">
            <v>0</v>
          </cell>
          <cell r="K3628">
            <v>0</v>
          </cell>
          <cell r="L3628">
            <v>0</v>
          </cell>
          <cell r="M3628">
            <v>0</v>
          </cell>
          <cell r="N3628">
            <v>0</v>
          </cell>
          <cell r="O3628">
            <v>0</v>
          </cell>
          <cell r="P3628">
            <v>0</v>
          </cell>
          <cell r="Q3628">
            <v>0</v>
          </cell>
          <cell r="R3628">
            <v>0</v>
          </cell>
          <cell r="S3628">
            <v>0</v>
          </cell>
          <cell r="T3628">
            <v>0</v>
          </cell>
          <cell r="U3628">
            <v>0</v>
          </cell>
          <cell r="V3628">
            <v>0</v>
          </cell>
          <cell r="W3628">
            <v>0</v>
          </cell>
        </row>
        <row r="3629">
          <cell r="A3629" t="str">
            <v>450197</v>
          </cell>
          <cell r="B3629" t="str">
            <v>1251</v>
          </cell>
          <cell r="C3629" t="str">
            <v>12</v>
          </cell>
          <cell r="D3629" t="str">
            <v>59</v>
          </cell>
          <cell r="E3629">
            <v>33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</row>
        <row r="3630">
          <cell r="A3630" t="str">
            <v>450197</v>
          </cell>
          <cell r="B3630" t="str">
            <v>1251</v>
          </cell>
          <cell r="C3630" t="str">
            <v>12</v>
          </cell>
          <cell r="D3630" t="str">
            <v>59</v>
          </cell>
          <cell r="E3630">
            <v>34</v>
          </cell>
          <cell r="G3630">
            <v>17956</v>
          </cell>
          <cell r="H3630">
            <v>0</v>
          </cell>
          <cell r="I3630">
            <v>311201</v>
          </cell>
          <cell r="J3630">
            <v>0</v>
          </cell>
          <cell r="K3630">
            <v>329157</v>
          </cell>
          <cell r="L3630">
            <v>0</v>
          </cell>
          <cell r="M3630">
            <v>15510</v>
          </cell>
          <cell r="N3630">
            <v>301255</v>
          </cell>
          <cell r="O3630">
            <v>2446</v>
          </cell>
          <cell r="P3630">
            <v>9946</v>
          </cell>
          <cell r="Q3630">
            <v>12392</v>
          </cell>
          <cell r="R3630">
            <v>0</v>
          </cell>
          <cell r="S3630">
            <v>0</v>
          </cell>
          <cell r="T3630">
            <v>0</v>
          </cell>
          <cell r="U3630">
            <v>0</v>
          </cell>
          <cell r="V3630">
            <v>0</v>
          </cell>
          <cell r="W3630">
            <v>0</v>
          </cell>
        </row>
        <row r="3631">
          <cell r="A3631" t="str">
            <v>450197</v>
          </cell>
          <cell r="B3631" t="str">
            <v>1251</v>
          </cell>
          <cell r="C3631" t="str">
            <v>12</v>
          </cell>
          <cell r="D3631" t="str">
            <v>75</v>
          </cell>
          <cell r="E3631">
            <v>1</v>
          </cell>
          <cell r="G3631">
            <v>19621</v>
          </cell>
          <cell r="H3631">
            <v>48</v>
          </cell>
          <cell r="I3631">
            <v>0</v>
          </cell>
          <cell r="J3631">
            <v>0</v>
          </cell>
          <cell r="K3631">
            <v>0</v>
          </cell>
          <cell r="L3631">
            <v>15731</v>
          </cell>
          <cell r="M3631">
            <v>0</v>
          </cell>
          <cell r="N3631">
            <v>0</v>
          </cell>
          <cell r="O3631">
            <v>0</v>
          </cell>
          <cell r="P3631">
            <v>48</v>
          </cell>
          <cell r="Q3631">
            <v>15731</v>
          </cell>
          <cell r="R3631">
            <v>15779</v>
          </cell>
          <cell r="S3631">
            <v>0</v>
          </cell>
          <cell r="T3631">
            <v>0</v>
          </cell>
          <cell r="U3631">
            <v>-3842</v>
          </cell>
          <cell r="V3631">
            <v>0</v>
          </cell>
          <cell r="W3631">
            <v>0</v>
          </cell>
        </row>
        <row r="3632">
          <cell r="A3632" t="str">
            <v>450197</v>
          </cell>
          <cell r="B3632" t="str">
            <v>1251</v>
          </cell>
          <cell r="C3632" t="str">
            <v>12</v>
          </cell>
          <cell r="D3632" t="str">
            <v>75</v>
          </cell>
          <cell r="E3632">
            <v>2</v>
          </cell>
          <cell r="G3632">
            <v>0</v>
          </cell>
          <cell r="H3632">
            <v>0</v>
          </cell>
          <cell r="I3632">
            <v>0</v>
          </cell>
          <cell r="J3632">
            <v>0</v>
          </cell>
          <cell r="K3632">
            <v>0</v>
          </cell>
          <cell r="L3632">
            <v>0</v>
          </cell>
          <cell r="M3632">
            <v>0</v>
          </cell>
          <cell r="N3632">
            <v>0</v>
          </cell>
          <cell r="O3632">
            <v>0</v>
          </cell>
          <cell r="P3632">
            <v>0</v>
          </cell>
          <cell r="Q3632">
            <v>0</v>
          </cell>
          <cell r="R3632">
            <v>0</v>
          </cell>
          <cell r="S3632">
            <v>0</v>
          </cell>
          <cell r="T3632">
            <v>0</v>
          </cell>
          <cell r="U3632">
            <v>0</v>
          </cell>
          <cell r="V3632">
            <v>0</v>
          </cell>
          <cell r="W3632">
            <v>0</v>
          </cell>
        </row>
        <row r="3633">
          <cell r="A3633" t="str">
            <v>450197</v>
          </cell>
          <cell r="B3633" t="str">
            <v>1251</v>
          </cell>
          <cell r="C3633" t="str">
            <v>12</v>
          </cell>
          <cell r="D3633" t="str">
            <v>75</v>
          </cell>
          <cell r="E3633">
            <v>3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L3633">
            <v>0</v>
          </cell>
          <cell r="M3633">
            <v>0</v>
          </cell>
          <cell r="N3633">
            <v>0</v>
          </cell>
          <cell r="O3633">
            <v>0</v>
          </cell>
          <cell r="P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</row>
        <row r="3634">
          <cell r="A3634" t="str">
            <v>450197</v>
          </cell>
          <cell r="B3634" t="str">
            <v>1251</v>
          </cell>
          <cell r="C3634" t="str">
            <v>12</v>
          </cell>
          <cell r="D3634" t="str">
            <v>75</v>
          </cell>
          <cell r="E3634">
            <v>4</v>
          </cell>
          <cell r="G3634">
            <v>0</v>
          </cell>
          <cell r="H3634">
            <v>0</v>
          </cell>
          <cell r="I3634">
            <v>0</v>
          </cell>
          <cell r="J3634">
            <v>0</v>
          </cell>
          <cell r="K3634">
            <v>0</v>
          </cell>
          <cell r="L3634">
            <v>0</v>
          </cell>
          <cell r="M3634">
            <v>0</v>
          </cell>
          <cell r="N3634">
            <v>0</v>
          </cell>
          <cell r="O3634">
            <v>0</v>
          </cell>
          <cell r="P3634">
            <v>0</v>
          </cell>
          <cell r="Q3634">
            <v>0</v>
          </cell>
          <cell r="R3634">
            <v>0</v>
          </cell>
          <cell r="S3634">
            <v>0</v>
          </cell>
          <cell r="T3634">
            <v>0</v>
          </cell>
          <cell r="U3634">
            <v>0</v>
          </cell>
          <cell r="V3634">
            <v>0</v>
          </cell>
          <cell r="W3634">
            <v>0</v>
          </cell>
        </row>
        <row r="3635">
          <cell r="A3635" t="str">
            <v>450197</v>
          </cell>
          <cell r="B3635" t="str">
            <v>1251</v>
          </cell>
          <cell r="C3635" t="str">
            <v>12</v>
          </cell>
          <cell r="D3635" t="str">
            <v>75</v>
          </cell>
          <cell r="E3635">
            <v>5</v>
          </cell>
          <cell r="G3635">
            <v>0</v>
          </cell>
          <cell r="H3635">
            <v>0</v>
          </cell>
          <cell r="I3635">
            <v>0</v>
          </cell>
          <cell r="J3635">
            <v>0</v>
          </cell>
          <cell r="K3635">
            <v>0</v>
          </cell>
          <cell r="L3635">
            <v>0</v>
          </cell>
          <cell r="M3635">
            <v>0</v>
          </cell>
          <cell r="N3635">
            <v>0</v>
          </cell>
          <cell r="O3635">
            <v>0</v>
          </cell>
          <cell r="P3635">
            <v>0</v>
          </cell>
          <cell r="Q3635">
            <v>0</v>
          </cell>
          <cell r="R3635">
            <v>0</v>
          </cell>
          <cell r="S3635">
            <v>0</v>
          </cell>
          <cell r="T3635">
            <v>0</v>
          </cell>
          <cell r="U3635">
            <v>0</v>
          </cell>
          <cell r="V3635">
            <v>0</v>
          </cell>
          <cell r="W3635">
            <v>0</v>
          </cell>
        </row>
        <row r="3636">
          <cell r="A3636" t="str">
            <v>450197</v>
          </cell>
          <cell r="B3636" t="str">
            <v>1251</v>
          </cell>
          <cell r="C3636" t="str">
            <v>12</v>
          </cell>
          <cell r="D3636" t="str">
            <v>75</v>
          </cell>
          <cell r="E3636">
            <v>6</v>
          </cell>
          <cell r="G3636">
            <v>0</v>
          </cell>
          <cell r="H3636">
            <v>0</v>
          </cell>
          <cell r="I3636">
            <v>0</v>
          </cell>
          <cell r="J3636">
            <v>0</v>
          </cell>
          <cell r="K3636">
            <v>0</v>
          </cell>
          <cell r="L3636">
            <v>0</v>
          </cell>
          <cell r="M3636">
            <v>0</v>
          </cell>
          <cell r="N3636">
            <v>0</v>
          </cell>
          <cell r="O3636">
            <v>0</v>
          </cell>
          <cell r="P3636">
            <v>0</v>
          </cell>
          <cell r="Q3636">
            <v>0</v>
          </cell>
          <cell r="R3636">
            <v>0</v>
          </cell>
          <cell r="S3636">
            <v>0</v>
          </cell>
          <cell r="T3636">
            <v>0</v>
          </cell>
          <cell r="U3636">
            <v>0</v>
          </cell>
          <cell r="V3636">
            <v>0</v>
          </cell>
          <cell r="W3636">
            <v>0</v>
          </cell>
        </row>
        <row r="3637">
          <cell r="A3637" t="str">
            <v>450197</v>
          </cell>
          <cell r="B3637" t="str">
            <v>1251</v>
          </cell>
          <cell r="C3637" t="str">
            <v>12</v>
          </cell>
          <cell r="D3637" t="str">
            <v>75</v>
          </cell>
          <cell r="E3637">
            <v>7</v>
          </cell>
          <cell r="G3637">
            <v>4009</v>
          </cell>
          <cell r="H3637">
            <v>12</v>
          </cell>
          <cell r="I3637">
            <v>0</v>
          </cell>
          <cell r="J3637">
            <v>0</v>
          </cell>
          <cell r="K3637">
            <v>0</v>
          </cell>
          <cell r="L3637">
            <v>3228</v>
          </cell>
          <cell r="M3637">
            <v>0</v>
          </cell>
          <cell r="N3637">
            <v>0</v>
          </cell>
          <cell r="O3637">
            <v>0</v>
          </cell>
          <cell r="P3637">
            <v>12</v>
          </cell>
          <cell r="Q3637">
            <v>3228</v>
          </cell>
          <cell r="R3637">
            <v>3240</v>
          </cell>
          <cell r="S3637">
            <v>0</v>
          </cell>
          <cell r="T3637">
            <v>0</v>
          </cell>
          <cell r="U3637">
            <v>-769</v>
          </cell>
          <cell r="V3637">
            <v>0</v>
          </cell>
          <cell r="W3637">
            <v>0</v>
          </cell>
        </row>
        <row r="3638">
          <cell r="A3638" t="str">
            <v>450197</v>
          </cell>
          <cell r="B3638" t="str">
            <v>1251</v>
          </cell>
          <cell r="C3638" t="str">
            <v>12</v>
          </cell>
          <cell r="D3638" t="str">
            <v>75</v>
          </cell>
          <cell r="E3638">
            <v>8</v>
          </cell>
          <cell r="G3638">
            <v>23630</v>
          </cell>
          <cell r="H3638">
            <v>60</v>
          </cell>
          <cell r="I3638">
            <v>0</v>
          </cell>
          <cell r="J3638">
            <v>0</v>
          </cell>
          <cell r="K3638">
            <v>0</v>
          </cell>
          <cell r="L3638">
            <v>18959</v>
          </cell>
          <cell r="M3638">
            <v>0</v>
          </cell>
          <cell r="N3638">
            <v>0</v>
          </cell>
          <cell r="O3638">
            <v>0</v>
          </cell>
          <cell r="P3638">
            <v>60</v>
          </cell>
          <cell r="Q3638">
            <v>18959</v>
          </cell>
          <cell r="R3638">
            <v>19019</v>
          </cell>
          <cell r="S3638">
            <v>0</v>
          </cell>
          <cell r="T3638">
            <v>0</v>
          </cell>
          <cell r="U3638">
            <v>-4611</v>
          </cell>
          <cell r="V3638">
            <v>0</v>
          </cell>
          <cell r="W3638">
            <v>0</v>
          </cell>
        </row>
        <row r="3639">
          <cell r="A3639" t="str">
            <v>450197</v>
          </cell>
          <cell r="B3639" t="str">
            <v>1251</v>
          </cell>
          <cell r="C3639" t="str">
            <v>12</v>
          </cell>
          <cell r="D3639" t="str">
            <v>75</v>
          </cell>
          <cell r="E3639">
            <v>9</v>
          </cell>
          <cell r="G3639">
            <v>0</v>
          </cell>
          <cell r="H3639">
            <v>0</v>
          </cell>
          <cell r="I3639">
            <v>0</v>
          </cell>
          <cell r="J3639">
            <v>0</v>
          </cell>
          <cell r="K3639">
            <v>0</v>
          </cell>
          <cell r="L3639">
            <v>0</v>
          </cell>
          <cell r="M3639">
            <v>0</v>
          </cell>
          <cell r="N3639">
            <v>0</v>
          </cell>
          <cell r="O3639">
            <v>0</v>
          </cell>
          <cell r="P3639">
            <v>0</v>
          </cell>
          <cell r="Q3639">
            <v>0</v>
          </cell>
          <cell r="R3639">
            <v>0</v>
          </cell>
          <cell r="S3639">
            <v>0</v>
          </cell>
          <cell r="T3639">
            <v>0</v>
          </cell>
          <cell r="U3639">
            <v>0</v>
          </cell>
          <cell r="V3639">
            <v>0</v>
          </cell>
          <cell r="W3639">
            <v>0</v>
          </cell>
        </row>
        <row r="3640">
          <cell r="A3640" t="str">
            <v>450197</v>
          </cell>
          <cell r="B3640" t="str">
            <v>1251</v>
          </cell>
          <cell r="C3640" t="str">
            <v>12</v>
          </cell>
          <cell r="D3640" t="str">
            <v>75</v>
          </cell>
          <cell r="E3640">
            <v>10</v>
          </cell>
          <cell r="G3640">
            <v>0</v>
          </cell>
          <cell r="H3640">
            <v>0</v>
          </cell>
          <cell r="I3640">
            <v>0</v>
          </cell>
          <cell r="J3640">
            <v>0</v>
          </cell>
          <cell r="K3640">
            <v>0</v>
          </cell>
          <cell r="L3640">
            <v>0</v>
          </cell>
          <cell r="M3640">
            <v>0</v>
          </cell>
          <cell r="N3640">
            <v>0</v>
          </cell>
          <cell r="O3640">
            <v>0</v>
          </cell>
          <cell r="P3640">
            <v>0</v>
          </cell>
          <cell r="Q3640">
            <v>0</v>
          </cell>
          <cell r="R3640">
            <v>0</v>
          </cell>
          <cell r="S3640">
            <v>0</v>
          </cell>
          <cell r="T3640">
            <v>0</v>
          </cell>
          <cell r="U3640">
            <v>0</v>
          </cell>
          <cell r="V3640">
            <v>0</v>
          </cell>
          <cell r="W3640">
            <v>0</v>
          </cell>
        </row>
        <row r="3641">
          <cell r="A3641" t="str">
            <v>450197</v>
          </cell>
          <cell r="B3641" t="str">
            <v>1251</v>
          </cell>
          <cell r="C3641" t="str">
            <v>12</v>
          </cell>
          <cell r="D3641" t="str">
            <v>75</v>
          </cell>
          <cell r="E3641">
            <v>11</v>
          </cell>
          <cell r="G3641">
            <v>5307</v>
          </cell>
          <cell r="H3641">
            <v>0</v>
          </cell>
          <cell r="I3641">
            <v>0</v>
          </cell>
          <cell r="J3641">
            <v>0</v>
          </cell>
          <cell r="K3641">
            <v>0</v>
          </cell>
          <cell r="L3641">
            <v>5307</v>
          </cell>
          <cell r="M3641">
            <v>0</v>
          </cell>
          <cell r="N3641">
            <v>0</v>
          </cell>
          <cell r="O3641">
            <v>0</v>
          </cell>
          <cell r="P3641">
            <v>0</v>
          </cell>
          <cell r="Q3641">
            <v>5307</v>
          </cell>
          <cell r="R3641">
            <v>5307</v>
          </cell>
          <cell r="S3641">
            <v>0</v>
          </cell>
          <cell r="T3641">
            <v>0</v>
          </cell>
          <cell r="U3641">
            <v>0</v>
          </cell>
          <cell r="V3641">
            <v>0</v>
          </cell>
          <cell r="W3641">
            <v>0</v>
          </cell>
        </row>
        <row r="3642">
          <cell r="A3642" t="str">
            <v>450197</v>
          </cell>
          <cell r="B3642" t="str">
            <v>1251</v>
          </cell>
          <cell r="C3642" t="str">
            <v>12</v>
          </cell>
          <cell r="D3642" t="str">
            <v>75</v>
          </cell>
          <cell r="E3642">
            <v>12</v>
          </cell>
          <cell r="G3642">
            <v>0</v>
          </cell>
          <cell r="H3642">
            <v>0</v>
          </cell>
          <cell r="I3642">
            <v>0</v>
          </cell>
          <cell r="J3642">
            <v>0</v>
          </cell>
          <cell r="K3642">
            <v>0</v>
          </cell>
          <cell r="L3642">
            <v>0</v>
          </cell>
          <cell r="M3642">
            <v>0</v>
          </cell>
          <cell r="N3642">
            <v>0</v>
          </cell>
          <cell r="O3642">
            <v>0</v>
          </cell>
          <cell r="P3642">
            <v>0</v>
          </cell>
          <cell r="Q3642">
            <v>0</v>
          </cell>
          <cell r="R3642">
            <v>0</v>
          </cell>
          <cell r="S3642">
            <v>0</v>
          </cell>
          <cell r="T3642">
            <v>0</v>
          </cell>
          <cell r="U3642">
            <v>0</v>
          </cell>
          <cell r="V3642">
            <v>0</v>
          </cell>
          <cell r="W3642">
            <v>0</v>
          </cell>
        </row>
        <row r="3643">
          <cell r="A3643" t="str">
            <v>450197</v>
          </cell>
          <cell r="B3643" t="str">
            <v>1251</v>
          </cell>
          <cell r="C3643" t="str">
            <v>12</v>
          </cell>
          <cell r="D3643" t="str">
            <v>75</v>
          </cell>
          <cell r="E3643">
            <v>13</v>
          </cell>
          <cell r="G3643">
            <v>0</v>
          </cell>
          <cell r="H3643">
            <v>0</v>
          </cell>
          <cell r="I3643">
            <v>0</v>
          </cell>
          <cell r="J3643">
            <v>0</v>
          </cell>
          <cell r="K3643">
            <v>0</v>
          </cell>
          <cell r="L3643">
            <v>0</v>
          </cell>
          <cell r="M3643">
            <v>0</v>
          </cell>
          <cell r="N3643">
            <v>0</v>
          </cell>
          <cell r="O3643">
            <v>0</v>
          </cell>
          <cell r="P3643">
            <v>0</v>
          </cell>
          <cell r="Q3643">
            <v>0</v>
          </cell>
          <cell r="R3643">
            <v>0</v>
          </cell>
          <cell r="S3643">
            <v>0</v>
          </cell>
          <cell r="T3643">
            <v>0</v>
          </cell>
          <cell r="U3643">
            <v>0</v>
          </cell>
          <cell r="V3643">
            <v>0</v>
          </cell>
          <cell r="W3643">
            <v>0</v>
          </cell>
        </row>
        <row r="3644">
          <cell r="A3644" t="str">
            <v>450197</v>
          </cell>
          <cell r="B3644" t="str">
            <v>1251</v>
          </cell>
          <cell r="C3644" t="str">
            <v>12</v>
          </cell>
          <cell r="D3644" t="str">
            <v>75</v>
          </cell>
          <cell r="E3644">
            <v>14</v>
          </cell>
          <cell r="G3644">
            <v>5307</v>
          </cell>
          <cell r="H3644">
            <v>0</v>
          </cell>
          <cell r="I3644">
            <v>0</v>
          </cell>
          <cell r="J3644">
            <v>0</v>
          </cell>
          <cell r="K3644">
            <v>0</v>
          </cell>
          <cell r="L3644">
            <v>5307</v>
          </cell>
          <cell r="M3644">
            <v>0</v>
          </cell>
          <cell r="N3644">
            <v>0</v>
          </cell>
          <cell r="O3644">
            <v>0</v>
          </cell>
          <cell r="P3644">
            <v>0</v>
          </cell>
          <cell r="Q3644">
            <v>5307</v>
          </cell>
          <cell r="R3644">
            <v>5307</v>
          </cell>
          <cell r="S3644">
            <v>0</v>
          </cell>
          <cell r="T3644">
            <v>0</v>
          </cell>
          <cell r="U3644">
            <v>0</v>
          </cell>
          <cell r="V3644">
            <v>0</v>
          </cell>
          <cell r="W3644">
            <v>0</v>
          </cell>
        </row>
        <row r="3645">
          <cell r="A3645" t="str">
            <v>450197</v>
          </cell>
          <cell r="B3645" t="str">
            <v>1251</v>
          </cell>
          <cell r="C3645" t="str">
            <v>12</v>
          </cell>
          <cell r="D3645" t="str">
            <v>75</v>
          </cell>
          <cell r="E3645">
            <v>15</v>
          </cell>
          <cell r="G3645">
            <v>0</v>
          </cell>
          <cell r="H3645">
            <v>0</v>
          </cell>
          <cell r="I3645">
            <v>0</v>
          </cell>
          <cell r="J3645">
            <v>0</v>
          </cell>
          <cell r="K3645">
            <v>0</v>
          </cell>
          <cell r="L3645">
            <v>0</v>
          </cell>
          <cell r="M3645">
            <v>0</v>
          </cell>
          <cell r="N3645">
            <v>0</v>
          </cell>
          <cell r="O3645">
            <v>0</v>
          </cell>
          <cell r="P3645">
            <v>0</v>
          </cell>
          <cell r="Q3645">
            <v>0</v>
          </cell>
          <cell r="R3645">
            <v>0</v>
          </cell>
          <cell r="S3645">
            <v>0</v>
          </cell>
          <cell r="T3645">
            <v>0</v>
          </cell>
          <cell r="U3645">
            <v>0</v>
          </cell>
          <cell r="V3645">
            <v>0</v>
          </cell>
          <cell r="W3645">
            <v>0</v>
          </cell>
        </row>
        <row r="3646">
          <cell r="A3646" t="str">
            <v>450197</v>
          </cell>
          <cell r="B3646" t="str">
            <v>1251</v>
          </cell>
          <cell r="C3646" t="str">
            <v>12</v>
          </cell>
          <cell r="D3646" t="str">
            <v>75</v>
          </cell>
          <cell r="E3646">
            <v>16</v>
          </cell>
          <cell r="G3646">
            <v>0</v>
          </cell>
          <cell r="H3646">
            <v>0</v>
          </cell>
          <cell r="I3646">
            <v>0</v>
          </cell>
          <cell r="J3646">
            <v>0</v>
          </cell>
          <cell r="K3646">
            <v>0</v>
          </cell>
          <cell r="L3646">
            <v>0</v>
          </cell>
          <cell r="M3646">
            <v>0</v>
          </cell>
          <cell r="N3646">
            <v>0</v>
          </cell>
          <cell r="O3646">
            <v>0</v>
          </cell>
          <cell r="P3646">
            <v>0</v>
          </cell>
          <cell r="Q3646">
            <v>0</v>
          </cell>
          <cell r="R3646">
            <v>0</v>
          </cell>
          <cell r="S3646">
            <v>0</v>
          </cell>
          <cell r="T3646">
            <v>0</v>
          </cell>
          <cell r="U3646">
            <v>0</v>
          </cell>
          <cell r="V3646">
            <v>0</v>
          </cell>
          <cell r="W3646">
            <v>0</v>
          </cell>
        </row>
        <row r="3647">
          <cell r="A3647" t="str">
            <v>450197</v>
          </cell>
          <cell r="B3647" t="str">
            <v>1251</v>
          </cell>
          <cell r="C3647" t="str">
            <v>12</v>
          </cell>
          <cell r="D3647" t="str">
            <v>75</v>
          </cell>
          <cell r="E3647">
            <v>17</v>
          </cell>
          <cell r="G3647">
            <v>0</v>
          </cell>
          <cell r="H3647">
            <v>0</v>
          </cell>
          <cell r="I3647">
            <v>0</v>
          </cell>
          <cell r="J3647">
            <v>0</v>
          </cell>
          <cell r="K3647">
            <v>0</v>
          </cell>
          <cell r="L3647">
            <v>0</v>
          </cell>
          <cell r="M3647">
            <v>0</v>
          </cell>
          <cell r="N3647">
            <v>0</v>
          </cell>
          <cell r="O3647">
            <v>0</v>
          </cell>
          <cell r="P3647">
            <v>0</v>
          </cell>
          <cell r="Q3647">
            <v>0</v>
          </cell>
          <cell r="R3647">
            <v>0</v>
          </cell>
          <cell r="S3647">
            <v>0</v>
          </cell>
          <cell r="T3647">
            <v>0</v>
          </cell>
          <cell r="U3647">
            <v>0</v>
          </cell>
          <cell r="V3647">
            <v>0</v>
          </cell>
          <cell r="W3647">
            <v>0</v>
          </cell>
        </row>
        <row r="3648">
          <cell r="A3648" t="str">
            <v>450197</v>
          </cell>
          <cell r="B3648" t="str">
            <v>1251</v>
          </cell>
          <cell r="C3648" t="str">
            <v>12</v>
          </cell>
          <cell r="D3648" t="str">
            <v>75</v>
          </cell>
          <cell r="E3648">
            <v>18</v>
          </cell>
          <cell r="G3648">
            <v>0</v>
          </cell>
          <cell r="H3648">
            <v>0</v>
          </cell>
          <cell r="I3648">
            <v>0</v>
          </cell>
          <cell r="J3648">
            <v>0</v>
          </cell>
          <cell r="K3648">
            <v>0</v>
          </cell>
          <cell r="L3648">
            <v>0</v>
          </cell>
          <cell r="M3648">
            <v>0</v>
          </cell>
          <cell r="N3648">
            <v>0</v>
          </cell>
          <cell r="O3648">
            <v>0</v>
          </cell>
          <cell r="P3648">
            <v>0</v>
          </cell>
          <cell r="Q3648">
            <v>0</v>
          </cell>
          <cell r="R3648">
            <v>0</v>
          </cell>
          <cell r="S3648">
            <v>0</v>
          </cell>
          <cell r="T3648">
            <v>0</v>
          </cell>
          <cell r="U3648">
            <v>0</v>
          </cell>
          <cell r="V3648">
            <v>0</v>
          </cell>
          <cell r="W3648">
            <v>0</v>
          </cell>
        </row>
        <row r="3649">
          <cell r="A3649" t="str">
            <v>450197</v>
          </cell>
          <cell r="B3649" t="str">
            <v>1251</v>
          </cell>
          <cell r="C3649" t="str">
            <v>12</v>
          </cell>
          <cell r="D3649" t="str">
            <v>75</v>
          </cell>
          <cell r="E3649">
            <v>19</v>
          </cell>
          <cell r="G3649">
            <v>0</v>
          </cell>
          <cell r="H3649">
            <v>0</v>
          </cell>
          <cell r="I3649">
            <v>0</v>
          </cell>
          <cell r="J3649">
            <v>0</v>
          </cell>
          <cell r="K3649">
            <v>0</v>
          </cell>
          <cell r="L3649">
            <v>0</v>
          </cell>
          <cell r="M3649">
            <v>0</v>
          </cell>
          <cell r="N3649">
            <v>0</v>
          </cell>
          <cell r="O3649">
            <v>0</v>
          </cell>
          <cell r="P3649">
            <v>0</v>
          </cell>
          <cell r="Q3649">
            <v>0</v>
          </cell>
          <cell r="R3649">
            <v>0</v>
          </cell>
          <cell r="S3649">
            <v>0</v>
          </cell>
          <cell r="T3649">
            <v>0</v>
          </cell>
          <cell r="U3649">
            <v>0</v>
          </cell>
          <cell r="V3649">
            <v>0</v>
          </cell>
          <cell r="W3649">
            <v>0</v>
          </cell>
        </row>
        <row r="3650">
          <cell r="A3650" t="str">
            <v>450197</v>
          </cell>
          <cell r="B3650" t="str">
            <v>1251</v>
          </cell>
          <cell r="C3650" t="str">
            <v>12</v>
          </cell>
          <cell r="D3650" t="str">
            <v>75</v>
          </cell>
          <cell r="E3650">
            <v>20</v>
          </cell>
          <cell r="G3650">
            <v>0</v>
          </cell>
          <cell r="H3650">
            <v>0</v>
          </cell>
          <cell r="I3650">
            <v>0</v>
          </cell>
          <cell r="J3650">
            <v>0</v>
          </cell>
          <cell r="K3650">
            <v>0</v>
          </cell>
          <cell r="L3650">
            <v>0</v>
          </cell>
          <cell r="M3650">
            <v>0</v>
          </cell>
          <cell r="N3650">
            <v>0</v>
          </cell>
          <cell r="O3650">
            <v>0</v>
          </cell>
          <cell r="P3650">
            <v>0</v>
          </cell>
          <cell r="Q3650">
            <v>0</v>
          </cell>
          <cell r="R3650">
            <v>0</v>
          </cell>
          <cell r="S3650">
            <v>0</v>
          </cell>
          <cell r="T3650">
            <v>0</v>
          </cell>
          <cell r="U3650">
            <v>0</v>
          </cell>
          <cell r="V3650">
            <v>0</v>
          </cell>
          <cell r="W3650">
            <v>0</v>
          </cell>
        </row>
        <row r="3651">
          <cell r="A3651" t="str">
            <v>450197</v>
          </cell>
          <cell r="B3651" t="str">
            <v>1251</v>
          </cell>
          <cell r="C3651" t="str">
            <v>12</v>
          </cell>
          <cell r="D3651" t="str">
            <v>75</v>
          </cell>
          <cell r="E3651">
            <v>21</v>
          </cell>
          <cell r="G3651">
            <v>101</v>
          </cell>
          <cell r="H3651">
            <v>0</v>
          </cell>
          <cell r="I3651">
            <v>0</v>
          </cell>
          <cell r="J3651">
            <v>0</v>
          </cell>
          <cell r="K3651">
            <v>0</v>
          </cell>
          <cell r="L3651">
            <v>101</v>
          </cell>
          <cell r="M3651">
            <v>0</v>
          </cell>
          <cell r="N3651">
            <v>0</v>
          </cell>
          <cell r="O3651">
            <v>0</v>
          </cell>
          <cell r="P3651">
            <v>0</v>
          </cell>
          <cell r="Q3651">
            <v>101</v>
          </cell>
          <cell r="R3651">
            <v>101</v>
          </cell>
          <cell r="S3651">
            <v>0</v>
          </cell>
          <cell r="T3651">
            <v>0</v>
          </cell>
          <cell r="U3651">
            <v>0</v>
          </cell>
          <cell r="V3651">
            <v>0</v>
          </cell>
          <cell r="W3651">
            <v>0</v>
          </cell>
        </row>
        <row r="3652">
          <cell r="A3652" t="str">
            <v>450197</v>
          </cell>
          <cell r="B3652" t="str">
            <v>1251</v>
          </cell>
          <cell r="C3652" t="str">
            <v>12</v>
          </cell>
          <cell r="D3652" t="str">
            <v>75</v>
          </cell>
          <cell r="E3652">
            <v>22</v>
          </cell>
          <cell r="G3652">
            <v>5408</v>
          </cell>
          <cell r="H3652">
            <v>0</v>
          </cell>
          <cell r="I3652">
            <v>0</v>
          </cell>
          <cell r="J3652">
            <v>0</v>
          </cell>
          <cell r="K3652">
            <v>0</v>
          </cell>
          <cell r="L3652">
            <v>5408</v>
          </cell>
          <cell r="M3652">
            <v>0</v>
          </cell>
          <cell r="N3652">
            <v>0</v>
          </cell>
          <cell r="O3652">
            <v>0</v>
          </cell>
          <cell r="P3652">
            <v>0</v>
          </cell>
          <cell r="Q3652">
            <v>5408</v>
          </cell>
          <cell r="R3652">
            <v>5408</v>
          </cell>
          <cell r="S3652">
            <v>0</v>
          </cell>
          <cell r="T3652">
            <v>0</v>
          </cell>
          <cell r="U3652">
            <v>0</v>
          </cell>
          <cell r="V3652">
            <v>0</v>
          </cell>
          <cell r="W3652">
            <v>0</v>
          </cell>
        </row>
        <row r="3653">
          <cell r="A3653" t="str">
            <v>450197</v>
          </cell>
          <cell r="B3653" t="str">
            <v>1251</v>
          </cell>
          <cell r="C3653" t="str">
            <v>12</v>
          </cell>
          <cell r="D3653" t="str">
            <v>75</v>
          </cell>
          <cell r="E3653">
            <v>23</v>
          </cell>
          <cell r="G3653">
            <v>980217</v>
          </cell>
          <cell r="H3653">
            <v>3260</v>
          </cell>
          <cell r="I3653">
            <v>0</v>
          </cell>
          <cell r="J3653">
            <v>0</v>
          </cell>
          <cell r="K3653">
            <v>0</v>
          </cell>
          <cell r="L3653">
            <v>964125</v>
          </cell>
          <cell r="M3653">
            <v>0</v>
          </cell>
          <cell r="N3653">
            <v>0</v>
          </cell>
          <cell r="O3653">
            <v>0</v>
          </cell>
          <cell r="P3653">
            <v>3260</v>
          </cell>
          <cell r="Q3653">
            <v>964125</v>
          </cell>
          <cell r="R3653">
            <v>967385</v>
          </cell>
          <cell r="S3653">
            <v>0</v>
          </cell>
          <cell r="T3653">
            <v>0</v>
          </cell>
          <cell r="U3653">
            <v>-12832</v>
          </cell>
          <cell r="V3653">
            <v>0</v>
          </cell>
          <cell r="W3653">
            <v>0</v>
          </cell>
        </row>
        <row r="3654">
          <cell r="A3654" t="str">
            <v>450197</v>
          </cell>
          <cell r="B3654" t="str">
            <v>1251</v>
          </cell>
          <cell r="C3654" t="str">
            <v>12</v>
          </cell>
          <cell r="D3654" t="str">
            <v>75</v>
          </cell>
          <cell r="E3654">
            <v>24</v>
          </cell>
          <cell r="G3654">
            <v>317816</v>
          </cell>
          <cell r="H3654">
            <v>913</v>
          </cell>
          <cell r="I3654">
            <v>0</v>
          </cell>
          <cell r="J3654">
            <v>0</v>
          </cell>
          <cell r="K3654">
            <v>0</v>
          </cell>
          <cell r="L3654">
            <v>313004</v>
          </cell>
          <cell r="M3654">
            <v>0</v>
          </cell>
          <cell r="N3654">
            <v>0</v>
          </cell>
          <cell r="O3654">
            <v>0</v>
          </cell>
          <cell r="P3654">
            <v>913</v>
          </cell>
          <cell r="Q3654">
            <v>313004</v>
          </cell>
          <cell r="R3654">
            <v>313917</v>
          </cell>
          <cell r="S3654">
            <v>0</v>
          </cell>
          <cell r="T3654">
            <v>0</v>
          </cell>
          <cell r="U3654">
            <v>-3899</v>
          </cell>
          <cell r="V3654">
            <v>0</v>
          </cell>
          <cell r="W3654">
            <v>0</v>
          </cell>
        </row>
        <row r="3655">
          <cell r="A3655" t="str">
            <v>450197</v>
          </cell>
          <cell r="B3655" t="str">
            <v>1251</v>
          </cell>
          <cell r="C3655" t="str">
            <v>12</v>
          </cell>
          <cell r="D3655" t="str">
            <v>75</v>
          </cell>
          <cell r="E3655">
            <v>25</v>
          </cell>
          <cell r="G3655">
            <v>339796</v>
          </cell>
          <cell r="H3655">
            <v>14898</v>
          </cell>
          <cell r="I3655">
            <v>0</v>
          </cell>
          <cell r="J3655">
            <v>0</v>
          </cell>
          <cell r="K3655">
            <v>0</v>
          </cell>
          <cell r="L3655">
            <v>287105</v>
          </cell>
          <cell r="M3655">
            <v>3259</v>
          </cell>
          <cell r="N3655">
            <v>0</v>
          </cell>
          <cell r="O3655">
            <v>0</v>
          </cell>
          <cell r="P3655">
            <v>14898</v>
          </cell>
          <cell r="Q3655">
            <v>281340</v>
          </cell>
          <cell r="R3655">
            <v>296238</v>
          </cell>
          <cell r="S3655">
            <v>0</v>
          </cell>
          <cell r="T3655">
            <v>9024</v>
          </cell>
          <cell r="U3655">
            <v>-34534</v>
          </cell>
          <cell r="V3655">
            <v>0</v>
          </cell>
          <cell r="W3655">
            <v>0</v>
          </cell>
        </row>
        <row r="3656">
          <cell r="A3656" t="str">
            <v>450197</v>
          </cell>
          <cell r="B3656" t="str">
            <v>1251</v>
          </cell>
          <cell r="C3656" t="str">
            <v>12</v>
          </cell>
          <cell r="D3656" t="str">
            <v>75</v>
          </cell>
          <cell r="E3656">
            <v>26</v>
          </cell>
          <cell r="G3656">
            <v>1637829</v>
          </cell>
          <cell r="H3656">
            <v>19071</v>
          </cell>
          <cell r="I3656">
            <v>0</v>
          </cell>
          <cell r="J3656">
            <v>0</v>
          </cell>
          <cell r="K3656">
            <v>0</v>
          </cell>
          <cell r="L3656">
            <v>1564234</v>
          </cell>
          <cell r="M3656">
            <v>3259</v>
          </cell>
          <cell r="N3656">
            <v>0</v>
          </cell>
          <cell r="O3656">
            <v>0</v>
          </cell>
          <cell r="P3656">
            <v>19071</v>
          </cell>
          <cell r="Q3656">
            <v>1558469</v>
          </cell>
          <cell r="R3656">
            <v>1577540</v>
          </cell>
          <cell r="S3656">
            <v>0</v>
          </cell>
          <cell r="T3656">
            <v>9024</v>
          </cell>
          <cell r="U3656">
            <v>-51265</v>
          </cell>
          <cell r="V3656">
            <v>0</v>
          </cell>
          <cell r="W3656">
            <v>0</v>
          </cell>
        </row>
        <row r="3657">
          <cell r="A3657" t="str">
            <v>450197</v>
          </cell>
          <cell r="B3657" t="str">
            <v>1251</v>
          </cell>
          <cell r="C3657" t="str">
            <v>12</v>
          </cell>
          <cell r="D3657" t="str">
            <v>75</v>
          </cell>
          <cell r="E3657">
            <v>27</v>
          </cell>
          <cell r="G3657">
            <v>0</v>
          </cell>
          <cell r="H3657">
            <v>0</v>
          </cell>
          <cell r="I3657">
            <v>0</v>
          </cell>
          <cell r="J3657">
            <v>0</v>
          </cell>
          <cell r="K3657">
            <v>0</v>
          </cell>
          <cell r="L3657">
            <v>0</v>
          </cell>
          <cell r="M3657">
            <v>0</v>
          </cell>
          <cell r="N3657">
            <v>0</v>
          </cell>
          <cell r="O3657">
            <v>0</v>
          </cell>
          <cell r="P3657">
            <v>0</v>
          </cell>
          <cell r="Q3657">
            <v>0</v>
          </cell>
          <cell r="R3657">
            <v>0</v>
          </cell>
          <cell r="S3657">
            <v>0</v>
          </cell>
          <cell r="T3657">
            <v>0</v>
          </cell>
          <cell r="U3657">
            <v>0</v>
          </cell>
          <cell r="V3657">
            <v>0</v>
          </cell>
          <cell r="W3657">
            <v>0</v>
          </cell>
        </row>
        <row r="3658">
          <cell r="A3658" t="str">
            <v>450197</v>
          </cell>
          <cell r="B3658" t="str">
            <v>1251</v>
          </cell>
          <cell r="C3658" t="str">
            <v>12</v>
          </cell>
          <cell r="D3658" t="str">
            <v>75</v>
          </cell>
          <cell r="E3658">
            <v>28</v>
          </cell>
          <cell r="G3658">
            <v>0</v>
          </cell>
          <cell r="H3658">
            <v>0</v>
          </cell>
          <cell r="I3658">
            <v>0</v>
          </cell>
          <cell r="J3658">
            <v>0</v>
          </cell>
          <cell r="K3658">
            <v>0</v>
          </cell>
          <cell r="L3658">
            <v>0</v>
          </cell>
          <cell r="M3658">
            <v>0</v>
          </cell>
          <cell r="N3658">
            <v>0</v>
          </cell>
          <cell r="O3658">
            <v>0</v>
          </cell>
          <cell r="P3658">
            <v>0</v>
          </cell>
          <cell r="Q3658">
            <v>0</v>
          </cell>
          <cell r="R3658">
            <v>0</v>
          </cell>
          <cell r="S3658">
            <v>0</v>
          </cell>
          <cell r="T3658">
            <v>0</v>
          </cell>
          <cell r="U3658">
            <v>0</v>
          </cell>
          <cell r="V3658">
            <v>0</v>
          </cell>
          <cell r="W3658">
            <v>0</v>
          </cell>
        </row>
        <row r="3659">
          <cell r="A3659" t="str">
            <v>450197</v>
          </cell>
          <cell r="B3659" t="str">
            <v>1251</v>
          </cell>
          <cell r="C3659" t="str">
            <v>12</v>
          </cell>
          <cell r="D3659" t="str">
            <v>75</v>
          </cell>
          <cell r="E3659">
            <v>29</v>
          </cell>
          <cell r="G3659">
            <v>0</v>
          </cell>
          <cell r="H3659">
            <v>0</v>
          </cell>
          <cell r="I3659">
            <v>0</v>
          </cell>
          <cell r="J3659">
            <v>0</v>
          </cell>
          <cell r="K3659">
            <v>0</v>
          </cell>
          <cell r="L3659">
            <v>0</v>
          </cell>
          <cell r="M3659">
            <v>0</v>
          </cell>
          <cell r="N3659">
            <v>0</v>
          </cell>
          <cell r="O3659">
            <v>0</v>
          </cell>
          <cell r="P3659">
            <v>0</v>
          </cell>
          <cell r="Q3659">
            <v>0</v>
          </cell>
          <cell r="R3659">
            <v>0</v>
          </cell>
          <cell r="S3659">
            <v>0</v>
          </cell>
          <cell r="T3659">
            <v>0</v>
          </cell>
          <cell r="U3659">
            <v>0</v>
          </cell>
          <cell r="V3659">
            <v>0</v>
          </cell>
          <cell r="W3659">
            <v>0</v>
          </cell>
        </row>
        <row r="3660">
          <cell r="A3660" t="str">
            <v>450197</v>
          </cell>
          <cell r="B3660" t="str">
            <v>1251</v>
          </cell>
          <cell r="C3660" t="str">
            <v>12</v>
          </cell>
          <cell r="D3660" t="str">
            <v>75</v>
          </cell>
          <cell r="E3660">
            <v>30</v>
          </cell>
          <cell r="G3660">
            <v>0</v>
          </cell>
          <cell r="H3660">
            <v>0</v>
          </cell>
          <cell r="I3660">
            <v>0</v>
          </cell>
          <cell r="J3660">
            <v>0</v>
          </cell>
          <cell r="K3660">
            <v>0</v>
          </cell>
          <cell r="L3660">
            <v>0</v>
          </cell>
          <cell r="M3660">
            <v>0</v>
          </cell>
          <cell r="N3660">
            <v>0</v>
          </cell>
          <cell r="O3660">
            <v>0</v>
          </cell>
          <cell r="P3660">
            <v>0</v>
          </cell>
          <cell r="Q3660">
            <v>0</v>
          </cell>
          <cell r="R3660">
            <v>0</v>
          </cell>
          <cell r="S3660">
            <v>0</v>
          </cell>
          <cell r="T3660">
            <v>0</v>
          </cell>
          <cell r="U3660">
            <v>0</v>
          </cell>
          <cell r="V3660">
            <v>0</v>
          </cell>
          <cell r="W3660">
            <v>0</v>
          </cell>
        </row>
        <row r="3661">
          <cell r="A3661" t="str">
            <v>450197</v>
          </cell>
          <cell r="B3661" t="str">
            <v>1251</v>
          </cell>
          <cell r="C3661" t="str">
            <v>12</v>
          </cell>
          <cell r="D3661" t="str">
            <v>75</v>
          </cell>
          <cell r="E3661">
            <v>31</v>
          </cell>
          <cell r="G3661">
            <v>0</v>
          </cell>
          <cell r="H3661">
            <v>0</v>
          </cell>
          <cell r="I3661">
            <v>0</v>
          </cell>
          <cell r="J3661">
            <v>0</v>
          </cell>
          <cell r="K3661">
            <v>0</v>
          </cell>
          <cell r="L3661">
            <v>0</v>
          </cell>
          <cell r="M3661">
            <v>0</v>
          </cell>
          <cell r="N3661">
            <v>0</v>
          </cell>
          <cell r="O3661">
            <v>0</v>
          </cell>
          <cell r="P3661">
            <v>0</v>
          </cell>
          <cell r="Q3661">
            <v>0</v>
          </cell>
          <cell r="R3661">
            <v>0</v>
          </cell>
          <cell r="S3661">
            <v>0</v>
          </cell>
          <cell r="T3661">
            <v>0</v>
          </cell>
          <cell r="U3661">
            <v>0</v>
          </cell>
          <cell r="V3661">
            <v>0</v>
          </cell>
          <cell r="W3661">
            <v>0</v>
          </cell>
        </row>
        <row r="3662">
          <cell r="A3662" t="str">
            <v>450197</v>
          </cell>
          <cell r="B3662" t="str">
            <v>1251</v>
          </cell>
          <cell r="C3662" t="str">
            <v>12</v>
          </cell>
          <cell r="D3662" t="str">
            <v>75</v>
          </cell>
          <cell r="E3662">
            <v>32</v>
          </cell>
          <cell r="G3662">
            <v>0</v>
          </cell>
          <cell r="H3662">
            <v>0</v>
          </cell>
          <cell r="I3662">
            <v>0</v>
          </cell>
          <cell r="J3662">
            <v>0</v>
          </cell>
          <cell r="K3662">
            <v>0</v>
          </cell>
          <cell r="L3662">
            <v>0</v>
          </cell>
          <cell r="M3662">
            <v>0</v>
          </cell>
          <cell r="N3662">
            <v>0</v>
          </cell>
          <cell r="O3662">
            <v>0</v>
          </cell>
          <cell r="P3662">
            <v>0</v>
          </cell>
          <cell r="Q3662">
            <v>0</v>
          </cell>
          <cell r="R3662">
            <v>0</v>
          </cell>
          <cell r="S3662">
            <v>0</v>
          </cell>
          <cell r="T3662">
            <v>0</v>
          </cell>
          <cell r="U3662">
            <v>0</v>
          </cell>
          <cell r="V3662">
            <v>0</v>
          </cell>
          <cell r="W3662">
            <v>0</v>
          </cell>
        </row>
        <row r="3663">
          <cell r="A3663" t="str">
            <v>450197</v>
          </cell>
          <cell r="B3663" t="str">
            <v>1251</v>
          </cell>
          <cell r="C3663" t="str">
            <v>12</v>
          </cell>
          <cell r="D3663" t="str">
            <v>75</v>
          </cell>
          <cell r="E3663">
            <v>33</v>
          </cell>
          <cell r="G3663">
            <v>0</v>
          </cell>
          <cell r="H3663">
            <v>0</v>
          </cell>
          <cell r="I3663">
            <v>0</v>
          </cell>
          <cell r="J3663">
            <v>0</v>
          </cell>
          <cell r="K3663">
            <v>0</v>
          </cell>
          <cell r="L3663">
            <v>0</v>
          </cell>
          <cell r="M3663">
            <v>0</v>
          </cell>
          <cell r="N3663">
            <v>0</v>
          </cell>
          <cell r="O3663">
            <v>0</v>
          </cell>
          <cell r="P3663">
            <v>0</v>
          </cell>
          <cell r="Q3663">
            <v>0</v>
          </cell>
          <cell r="R3663">
            <v>0</v>
          </cell>
          <cell r="S3663">
            <v>0</v>
          </cell>
          <cell r="T3663">
            <v>0</v>
          </cell>
          <cell r="U3663">
            <v>0</v>
          </cell>
          <cell r="V3663">
            <v>0</v>
          </cell>
          <cell r="W3663">
            <v>0</v>
          </cell>
        </row>
        <row r="3664">
          <cell r="A3664" t="str">
            <v>450197</v>
          </cell>
          <cell r="B3664" t="str">
            <v>1251</v>
          </cell>
          <cell r="C3664" t="str">
            <v>12</v>
          </cell>
          <cell r="D3664" t="str">
            <v>75</v>
          </cell>
          <cell r="E3664">
            <v>34</v>
          </cell>
          <cell r="G3664">
            <v>1666867</v>
          </cell>
          <cell r="H3664">
            <v>19131</v>
          </cell>
          <cell r="I3664">
            <v>0</v>
          </cell>
          <cell r="J3664">
            <v>0</v>
          </cell>
          <cell r="K3664">
            <v>0</v>
          </cell>
          <cell r="L3664">
            <v>1588601</v>
          </cell>
          <cell r="M3664">
            <v>3259</v>
          </cell>
          <cell r="N3664">
            <v>0</v>
          </cell>
          <cell r="O3664">
            <v>0</v>
          </cell>
          <cell r="P3664">
            <v>19131</v>
          </cell>
          <cell r="Q3664">
            <v>1582836</v>
          </cell>
          <cell r="R3664">
            <v>1601967</v>
          </cell>
          <cell r="S3664">
            <v>0</v>
          </cell>
          <cell r="T3664">
            <v>9024</v>
          </cell>
          <cell r="U3664">
            <v>-55876</v>
          </cell>
          <cell r="V3664">
            <v>0</v>
          </cell>
          <cell r="W3664">
            <v>0</v>
          </cell>
        </row>
        <row r="3665">
          <cell r="A3665" t="str">
            <v>450197</v>
          </cell>
          <cell r="B3665" t="str">
            <v>1251</v>
          </cell>
          <cell r="C3665" t="str">
            <v>12</v>
          </cell>
          <cell r="D3665" t="str">
            <v>80</v>
          </cell>
          <cell r="E3665">
            <v>1</v>
          </cell>
          <cell r="G3665">
            <v>808712</v>
          </cell>
          <cell r="H3665">
            <v>807113</v>
          </cell>
          <cell r="I3665">
            <v>803758</v>
          </cell>
          <cell r="J3665">
            <v>0</v>
          </cell>
          <cell r="K3665">
            <v>118589</v>
          </cell>
          <cell r="L3665">
            <v>136527</v>
          </cell>
          <cell r="M3665">
            <v>129010</v>
          </cell>
          <cell r="N3665">
            <v>0</v>
          </cell>
          <cell r="O3665">
            <v>19198</v>
          </cell>
          <cell r="P3665">
            <v>36577</v>
          </cell>
          <cell r="Q3665">
            <v>34617</v>
          </cell>
          <cell r="R3665">
            <v>0</v>
          </cell>
          <cell r="S3665">
            <v>946499</v>
          </cell>
          <cell r="T3665">
            <v>980217</v>
          </cell>
          <cell r="U3665">
            <v>967385</v>
          </cell>
          <cell r="V3665">
            <v>0</v>
          </cell>
          <cell r="W3665">
            <v>0</v>
          </cell>
        </row>
        <row r="3666">
          <cell r="A3666" t="str">
            <v>450197</v>
          </cell>
          <cell r="B3666" t="str">
            <v>1251</v>
          </cell>
          <cell r="C3666" t="str">
            <v>12</v>
          </cell>
          <cell r="D3666" t="str">
            <v>80</v>
          </cell>
          <cell r="E3666">
            <v>5</v>
          </cell>
          <cell r="G3666">
            <v>297400</v>
          </cell>
          <cell r="H3666">
            <v>306623</v>
          </cell>
          <cell r="I3666">
            <v>302729</v>
          </cell>
          <cell r="J3666">
            <v>0</v>
          </cell>
          <cell r="K3666">
            <v>10408</v>
          </cell>
          <cell r="L3666">
            <v>11193</v>
          </cell>
          <cell r="M3666">
            <v>11188</v>
          </cell>
          <cell r="N3666">
            <v>0</v>
          </cell>
          <cell r="O3666">
            <v>233132</v>
          </cell>
          <cell r="P3666">
            <v>288779</v>
          </cell>
          <cell r="Q3666">
            <v>251475</v>
          </cell>
          <cell r="R3666">
            <v>0</v>
          </cell>
          <cell r="S3666">
            <v>34862</v>
          </cell>
          <cell r="T3666">
            <v>43787</v>
          </cell>
          <cell r="U3666">
            <v>37735</v>
          </cell>
          <cell r="V3666">
            <v>0</v>
          </cell>
          <cell r="W3666">
            <v>0</v>
          </cell>
        </row>
        <row r="3667">
          <cell r="A3667" t="str">
            <v>450197</v>
          </cell>
          <cell r="B3667" t="str">
            <v>1251</v>
          </cell>
          <cell r="C3667" t="str">
            <v>12</v>
          </cell>
          <cell r="D3667" t="str">
            <v>80</v>
          </cell>
          <cell r="E3667">
            <v>9</v>
          </cell>
          <cell r="G3667">
            <v>6145</v>
          </cell>
          <cell r="H3667">
            <v>7230</v>
          </cell>
          <cell r="I3667">
            <v>7028</v>
          </cell>
          <cell r="J3667">
            <v>0</v>
          </cell>
          <cell r="K3667">
            <v>0</v>
          </cell>
          <cell r="L3667">
            <v>0</v>
          </cell>
          <cell r="M3667">
            <v>0</v>
          </cell>
          <cell r="N3667">
            <v>0</v>
          </cell>
          <cell r="O3667">
            <v>0</v>
          </cell>
          <cell r="P3667">
            <v>0</v>
          </cell>
          <cell r="Q3667">
            <v>0</v>
          </cell>
          <cell r="R3667">
            <v>0</v>
          </cell>
          <cell r="S3667">
            <v>0</v>
          </cell>
          <cell r="T3667">
            <v>0</v>
          </cell>
          <cell r="U3667">
            <v>0</v>
          </cell>
          <cell r="V3667">
            <v>0</v>
          </cell>
          <cell r="W3667">
            <v>0</v>
          </cell>
        </row>
        <row r="3668">
          <cell r="A3668" t="str">
            <v>450197</v>
          </cell>
          <cell r="B3668" t="str">
            <v>1251</v>
          </cell>
          <cell r="C3668" t="str">
            <v>12</v>
          </cell>
          <cell r="D3668" t="str">
            <v>80</v>
          </cell>
          <cell r="E3668">
            <v>13</v>
          </cell>
          <cell r="G3668">
            <v>0</v>
          </cell>
          <cell r="H3668">
            <v>0</v>
          </cell>
          <cell r="I3668">
            <v>0</v>
          </cell>
          <cell r="J3668">
            <v>0</v>
          </cell>
          <cell r="K3668">
            <v>0</v>
          </cell>
          <cell r="L3668">
            <v>0</v>
          </cell>
          <cell r="M3668">
            <v>0</v>
          </cell>
          <cell r="N3668">
            <v>0</v>
          </cell>
          <cell r="O3668">
            <v>0</v>
          </cell>
          <cell r="P3668">
            <v>5307</v>
          </cell>
          <cell r="Q3668">
            <v>5307</v>
          </cell>
          <cell r="R3668">
            <v>0</v>
          </cell>
          <cell r="S3668">
            <v>0</v>
          </cell>
          <cell r="T3668">
            <v>0</v>
          </cell>
          <cell r="U3668">
            <v>0</v>
          </cell>
          <cell r="V3668">
            <v>0</v>
          </cell>
          <cell r="W3668">
            <v>0</v>
          </cell>
        </row>
        <row r="3669">
          <cell r="A3669" t="str">
            <v>450197</v>
          </cell>
          <cell r="B3669" t="str">
            <v>1251</v>
          </cell>
          <cell r="C3669" t="str">
            <v>12</v>
          </cell>
          <cell r="D3669" t="str">
            <v>80</v>
          </cell>
          <cell r="E3669">
            <v>17</v>
          </cell>
          <cell r="G3669">
            <v>0</v>
          </cell>
          <cell r="H3669">
            <v>0</v>
          </cell>
          <cell r="I3669">
            <v>0</v>
          </cell>
          <cell r="J3669">
            <v>0</v>
          </cell>
          <cell r="K3669">
            <v>0</v>
          </cell>
          <cell r="L3669">
            <v>5307</v>
          </cell>
          <cell r="M3669">
            <v>5307</v>
          </cell>
          <cell r="N3669">
            <v>0</v>
          </cell>
          <cell r="O3669">
            <v>0</v>
          </cell>
          <cell r="P3669">
            <v>0</v>
          </cell>
          <cell r="Q3669">
            <v>0</v>
          </cell>
          <cell r="R3669">
            <v>0</v>
          </cell>
          <cell r="S3669">
            <v>0</v>
          </cell>
          <cell r="T3669">
            <v>0</v>
          </cell>
          <cell r="U3669">
            <v>0</v>
          </cell>
          <cell r="V3669">
            <v>0</v>
          </cell>
          <cell r="W3669">
            <v>0</v>
          </cell>
        </row>
        <row r="3670">
          <cell r="A3670" t="str">
            <v>450197</v>
          </cell>
          <cell r="B3670" t="str">
            <v>1251</v>
          </cell>
          <cell r="C3670" t="str">
            <v>12</v>
          </cell>
          <cell r="D3670" t="str">
            <v>80</v>
          </cell>
          <cell r="E3670">
            <v>21</v>
          </cell>
          <cell r="G3670">
            <v>0</v>
          </cell>
          <cell r="H3670">
            <v>0</v>
          </cell>
          <cell r="I3670">
            <v>0</v>
          </cell>
          <cell r="J3670">
            <v>0</v>
          </cell>
          <cell r="K3670">
            <v>0</v>
          </cell>
          <cell r="L3670">
            <v>0</v>
          </cell>
          <cell r="M3670">
            <v>0</v>
          </cell>
          <cell r="N3670">
            <v>0</v>
          </cell>
          <cell r="O3670">
            <v>0</v>
          </cell>
          <cell r="P3670">
            <v>0</v>
          </cell>
          <cell r="Q3670">
            <v>0</v>
          </cell>
          <cell r="R3670">
            <v>0</v>
          </cell>
          <cell r="S3670">
            <v>0</v>
          </cell>
          <cell r="T3670">
            <v>0</v>
          </cell>
          <cell r="U3670">
            <v>0</v>
          </cell>
          <cell r="V3670">
            <v>0</v>
          </cell>
          <cell r="W3670">
            <v>0</v>
          </cell>
        </row>
        <row r="3671">
          <cell r="A3671" t="str">
            <v>450197</v>
          </cell>
          <cell r="B3671" t="str">
            <v>1251</v>
          </cell>
          <cell r="C3671" t="str">
            <v>12</v>
          </cell>
          <cell r="D3671" t="str">
            <v>80</v>
          </cell>
          <cell r="E3671">
            <v>25</v>
          </cell>
          <cell r="G3671">
            <v>0</v>
          </cell>
          <cell r="H3671">
            <v>0</v>
          </cell>
          <cell r="I3671">
            <v>0</v>
          </cell>
          <cell r="J3671">
            <v>0</v>
          </cell>
          <cell r="K3671">
            <v>0</v>
          </cell>
          <cell r="L3671">
            <v>0</v>
          </cell>
          <cell r="M3671">
            <v>0</v>
          </cell>
          <cell r="N3671">
            <v>0</v>
          </cell>
          <cell r="O3671">
            <v>0</v>
          </cell>
          <cell r="P3671">
            <v>0</v>
          </cell>
          <cell r="Q3671">
            <v>0</v>
          </cell>
          <cell r="R3671">
            <v>0</v>
          </cell>
          <cell r="S3671">
            <v>0</v>
          </cell>
          <cell r="T3671">
            <v>0</v>
          </cell>
          <cell r="U3671">
            <v>0</v>
          </cell>
          <cell r="V3671">
            <v>0</v>
          </cell>
          <cell r="W3671">
            <v>0</v>
          </cell>
        </row>
        <row r="3672">
          <cell r="A3672" t="str">
            <v>450197</v>
          </cell>
          <cell r="B3672" t="str">
            <v>1251</v>
          </cell>
          <cell r="C3672" t="str">
            <v>12</v>
          </cell>
          <cell r="D3672" t="str">
            <v>80</v>
          </cell>
          <cell r="E3672">
            <v>29</v>
          </cell>
          <cell r="G3672">
            <v>0</v>
          </cell>
          <cell r="H3672">
            <v>0</v>
          </cell>
          <cell r="I3672">
            <v>0</v>
          </cell>
          <cell r="J3672">
            <v>0</v>
          </cell>
          <cell r="K3672">
            <v>0</v>
          </cell>
          <cell r="L3672">
            <v>0</v>
          </cell>
          <cell r="M3672">
            <v>0</v>
          </cell>
          <cell r="N3672">
            <v>0</v>
          </cell>
          <cell r="O3672">
            <v>0</v>
          </cell>
          <cell r="P3672">
            <v>0</v>
          </cell>
          <cell r="Q3672">
            <v>0</v>
          </cell>
          <cell r="R3672">
            <v>0</v>
          </cell>
          <cell r="S3672">
            <v>0</v>
          </cell>
          <cell r="T3672">
            <v>0</v>
          </cell>
          <cell r="U3672">
            <v>0</v>
          </cell>
          <cell r="V3672">
            <v>0</v>
          </cell>
          <cell r="W3672">
            <v>0</v>
          </cell>
        </row>
        <row r="3673">
          <cell r="A3673" t="str">
            <v>450197</v>
          </cell>
          <cell r="B3673" t="str">
            <v>1251</v>
          </cell>
          <cell r="C3673" t="str">
            <v>12</v>
          </cell>
          <cell r="D3673" t="str">
            <v>80</v>
          </cell>
          <cell r="E3673">
            <v>33</v>
          </cell>
          <cell r="G3673">
            <v>0</v>
          </cell>
          <cell r="H3673">
            <v>0</v>
          </cell>
          <cell r="I3673">
            <v>0</v>
          </cell>
          <cell r="J3673">
            <v>0</v>
          </cell>
          <cell r="K3673">
            <v>0</v>
          </cell>
          <cell r="L3673">
            <v>101</v>
          </cell>
          <cell r="M3673">
            <v>101</v>
          </cell>
          <cell r="N3673">
            <v>0</v>
          </cell>
          <cell r="O3673">
            <v>0</v>
          </cell>
          <cell r="P3673">
            <v>0</v>
          </cell>
          <cell r="Q3673">
            <v>0</v>
          </cell>
          <cell r="R3673">
            <v>0</v>
          </cell>
          <cell r="S3673">
            <v>0</v>
          </cell>
          <cell r="T3673">
            <v>5408</v>
          </cell>
          <cell r="U3673">
            <v>5408</v>
          </cell>
          <cell r="V3673">
            <v>0</v>
          </cell>
          <cell r="W3673">
            <v>0</v>
          </cell>
        </row>
        <row r="3674">
          <cell r="A3674" t="str">
            <v>450197</v>
          </cell>
          <cell r="B3674" t="str">
            <v>1251</v>
          </cell>
          <cell r="C3674" t="str">
            <v>12</v>
          </cell>
          <cell r="D3674" t="str">
            <v>80</v>
          </cell>
          <cell r="E3674">
            <v>37</v>
          </cell>
          <cell r="G3674">
            <v>0</v>
          </cell>
          <cell r="H3674">
            <v>0</v>
          </cell>
          <cell r="I3674">
            <v>0</v>
          </cell>
          <cell r="J3674">
            <v>0</v>
          </cell>
          <cell r="K3674">
            <v>1528446</v>
          </cell>
          <cell r="L3674">
            <v>1643237</v>
          </cell>
          <cell r="M3674">
            <v>1582948</v>
          </cell>
          <cell r="N3674">
            <v>0</v>
          </cell>
          <cell r="O3674">
            <v>0</v>
          </cell>
          <cell r="P3674">
            <v>0</v>
          </cell>
          <cell r="Q3674">
            <v>0</v>
          </cell>
          <cell r="R3674">
            <v>0</v>
          </cell>
          <cell r="S3674">
            <v>3441</v>
          </cell>
          <cell r="T3674">
            <v>19621</v>
          </cell>
          <cell r="U3674">
            <v>15779</v>
          </cell>
          <cell r="V3674">
            <v>0</v>
          </cell>
          <cell r="W3674">
            <v>0</v>
          </cell>
        </row>
        <row r="3675">
          <cell r="A3675" t="str">
            <v>450197</v>
          </cell>
          <cell r="B3675" t="str">
            <v>1251</v>
          </cell>
          <cell r="C3675" t="str">
            <v>12</v>
          </cell>
          <cell r="D3675" t="str">
            <v>80</v>
          </cell>
          <cell r="E3675">
            <v>41</v>
          </cell>
          <cell r="G3675">
            <v>688</v>
          </cell>
          <cell r="H3675">
            <v>4009</v>
          </cell>
          <cell r="I3675">
            <v>3240</v>
          </cell>
          <cell r="J3675">
            <v>0</v>
          </cell>
          <cell r="K3675">
            <v>0</v>
          </cell>
          <cell r="L3675">
            <v>0</v>
          </cell>
          <cell r="M3675">
            <v>0</v>
          </cell>
          <cell r="N3675">
            <v>0</v>
          </cell>
          <cell r="O3675">
            <v>0</v>
          </cell>
          <cell r="P3675">
            <v>0</v>
          </cell>
          <cell r="Q3675">
            <v>0</v>
          </cell>
          <cell r="R3675">
            <v>0</v>
          </cell>
          <cell r="S3675">
            <v>0</v>
          </cell>
          <cell r="T3675">
            <v>0</v>
          </cell>
          <cell r="U3675">
            <v>0</v>
          </cell>
          <cell r="V3675">
            <v>0</v>
          </cell>
          <cell r="W3675">
            <v>0</v>
          </cell>
        </row>
        <row r="3676">
          <cell r="A3676" t="str">
            <v>450197</v>
          </cell>
          <cell r="B3676" t="str">
            <v>1251</v>
          </cell>
          <cell r="C3676" t="str">
            <v>12</v>
          </cell>
          <cell r="D3676" t="str">
            <v>80</v>
          </cell>
          <cell r="E3676">
            <v>45</v>
          </cell>
          <cell r="G3676">
            <v>0</v>
          </cell>
          <cell r="H3676">
            <v>0</v>
          </cell>
          <cell r="I3676">
            <v>0</v>
          </cell>
          <cell r="J3676">
            <v>0</v>
          </cell>
          <cell r="K3676">
            <v>0</v>
          </cell>
          <cell r="L3676">
            <v>0</v>
          </cell>
          <cell r="M3676">
            <v>0</v>
          </cell>
          <cell r="N3676">
            <v>0</v>
          </cell>
          <cell r="O3676">
            <v>0</v>
          </cell>
          <cell r="P3676">
            <v>0</v>
          </cell>
          <cell r="Q3676">
            <v>0</v>
          </cell>
          <cell r="R3676">
            <v>0</v>
          </cell>
          <cell r="S3676">
            <v>0</v>
          </cell>
          <cell r="T3676">
            <v>0</v>
          </cell>
          <cell r="U3676">
            <v>0</v>
          </cell>
          <cell r="V3676">
            <v>0</v>
          </cell>
          <cell r="W3676">
            <v>0</v>
          </cell>
        </row>
        <row r="3677">
          <cell r="A3677" t="str">
            <v>450197</v>
          </cell>
          <cell r="B3677" t="str">
            <v>1251</v>
          </cell>
          <cell r="C3677" t="str">
            <v>12</v>
          </cell>
          <cell r="D3677" t="str">
            <v>80</v>
          </cell>
          <cell r="E3677">
            <v>49</v>
          </cell>
          <cell r="G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</row>
        <row r="3678">
          <cell r="A3678" t="str">
            <v>450197</v>
          </cell>
          <cell r="B3678" t="str">
            <v>1251</v>
          </cell>
          <cell r="C3678" t="str">
            <v>12</v>
          </cell>
          <cell r="D3678" t="str">
            <v>80</v>
          </cell>
          <cell r="E3678">
            <v>53</v>
          </cell>
          <cell r="G3678">
            <v>0</v>
          </cell>
          <cell r="H3678">
            <v>0</v>
          </cell>
          <cell r="I3678">
            <v>0</v>
          </cell>
          <cell r="J3678">
            <v>0</v>
          </cell>
          <cell r="K3678">
            <v>0</v>
          </cell>
          <cell r="L3678">
            <v>0</v>
          </cell>
          <cell r="M3678">
            <v>0</v>
          </cell>
          <cell r="N3678">
            <v>0</v>
          </cell>
          <cell r="O3678">
            <v>0</v>
          </cell>
          <cell r="P3678">
            <v>0</v>
          </cell>
          <cell r="Q3678">
            <v>0</v>
          </cell>
          <cell r="R3678">
            <v>0</v>
          </cell>
          <cell r="S3678">
            <v>0</v>
          </cell>
          <cell r="T3678">
            <v>0</v>
          </cell>
          <cell r="U3678">
            <v>0</v>
          </cell>
          <cell r="V3678">
            <v>0</v>
          </cell>
          <cell r="W3678">
            <v>0</v>
          </cell>
        </row>
        <row r="3679">
          <cell r="A3679" t="str">
            <v>450197</v>
          </cell>
          <cell r="B3679" t="str">
            <v>1251</v>
          </cell>
          <cell r="C3679" t="str">
            <v>12</v>
          </cell>
          <cell r="D3679" t="str">
            <v>80</v>
          </cell>
          <cell r="E3679">
            <v>57</v>
          </cell>
          <cell r="G3679">
            <v>0</v>
          </cell>
          <cell r="H3679">
            <v>0</v>
          </cell>
          <cell r="I3679">
            <v>0</v>
          </cell>
          <cell r="J3679">
            <v>0</v>
          </cell>
          <cell r="K3679">
            <v>0</v>
          </cell>
          <cell r="L3679">
            <v>0</v>
          </cell>
          <cell r="M3679">
            <v>0</v>
          </cell>
          <cell r="N3679">
            <v>0</v>
          </cell>
          <cell r="O3679">
            <v>0</v>
          </cell>
          <cell r="P3679">
            <v>0</v>
          </cell>
          <cell r="Q3679">
            <v>0</v>
          </cell>
          <cell r="R3679">
            <v>0</v>
          </cell>
          <cell r="S3679">
            <v>0</v>
          </cell>
          <cell r="T3679">
            <v>0</v>
          </cell>
          <cell r="U3679">
            <v>0</v>
          </cell>
          <cell r="V3679">
            <v>0</v>
          </cell>
          <cell r="W3679">
            <v>0</v>
          </cell>
        </row>
        <row r="3680">
          <cell r="A3680" t="str">
            <v>450197</v>
          </cell>
          <cell r="B3680" t="str">
            <v>1251</v>
          </cell>
          <cell r="C3680" t="str">
            <v>12</v>
          </cell>
          <cell r="D3680" t="str">
            <v>80</v>
          </cell>
          <cell r="E3680">
            <v>61</v>
          </cell>
          <cell r="G3680">
            <v>4129</v>
          </cell>
          <cell r="H3680">
            <v>23630</v>
          </cell>
          <cell r="I3680">
            <v>19019</v>
          </cell>
          <cell r="J3680">
            <v>0</v>
          </cell>
          <cell r="K3680">
            <v>0</v>
          </cell>
          <cell r="L3680">
            <v>0</v>
          </cell>
          <cell r="M3680">
            <v>0</v>
          </cell>
          <cell r="N3680">
            <v>0</v>
          </cell>
          <cell r="O3680">
            <v>0</v>
          </cell>
          <cell r="P3680">
            <v>0</v>
          </cell>
          <cell r="Q3680">
            <v>0</v>
          </cell>
          <cell r="R3680">
            <v>0</v>
          </cell>
          <cell r="S3680">
            <v>0</v>
          </cell>
          <cell r="T3680">
            <v>0</v>
          </cell>
          <cell r="U3680">
            <v>0</v>
          </cell>
          <cell r="V3680">
            <v>0</v>
          </cell>
          <cell r="W3680">
            <v>0</v>
          </cell>
        </row>
        <row r="3681">
          <cell r="A3681" t="str">
            <v>450197</v>
          </cell>
          <cell r="B3681" t="str">
            <v>1251</v>
          </cell>
          <cell r="C3681" t="str">
            <v>12</v>
          </cell>
          <cell r="D3681" t="str">
            <v>80</v>
          </cell>
          <cell r="E3681">
            <v>65</v>
          </cell>
          <cell r="G3681">
            <v>0</v>
          </cell>
          <cell r="H3681">
            <v>0</v>
          </cell>
          <cell r="I3681">
            <v>0</v>
          </cell>
          <cell r="J3681">
            <v>0</v>
          </cell>
          <cell r="K3681">
            <v>0</v>
          </cell>
          <cell r="L3681">
            <v>0</v>
          </cell>
          <cell r="M3681">
            <v>0</v>
          </cell>
          <cell r="N3681">
            <v>0</v>
          </cell>
          <cell r="O3681">
            <v>1532575</v>
          </cell>
          <cell r="P3681">
            <v>1666867</v>
          </cell>
          <cell r="Q3681">
            <v>1601967</v>
          </cell>
          <cell r="R3681">
            <v>0</v>
          </cell>
          <cell r="S3681">
            <v>0</v>
          </cell>
          <cell r="T3681">
            <v>0</v>
          </cell>
          <cell r="U3681">
            <v>0</v>
          </cell>
          <cell r="V3681">
            <v>0</v>
          </cell>
          <cell r="W3681">
            <v>0</v>
          </cell>
        </row>
        <row r="3682">
          <cell r="A3682" t="str">
            <v>450197</v>
          </cell>
          <cell r="B3682" t="str">
            <v>1251</v>
          </cell>
          <cell r="C3682" t="str">
            <v>12</v>
          </cell>
          <cell r="D3682" t="str">
            <v>80</v>
          </cell>
          <cell r="E3682">
            <v>69</v>
          </cell>
          <cell r="G3682">
            <v>80601</v>
          </cell>
          <cell r="H3682">
            <v>89680</v>
          </cell>
          <cell r="I3682">
            <v>89685</v>
          </cell>
          <cell r="J3682">
            <v>0</v>
          </cell>
          <cell r="K3682">
            <v>6795</v>
          </cell>
          <cell r="L3682">
            <v>9695</v>
          </cell>
          <cell r="M3682">
            <v>9695</v>
          </cell>
          <cell r="N3682">
            <v>0</v>
          </cell>
          <cell r="O3682">
            <v>0</v>
          </cell>
          <cell r="P3682">
            <v>2</v>
          </cell>
          <cell r="Q3682">
            <v>3</v>
          </cell>
          <cell r="R3682">
            <v>0</v>
          </cell>
          <cell r="S3682">
            <v>0</v>
          </cell>
          <cell r="T3682">
            <v>0</v>
          </cell>
          <cell r="U3682">
            <v>0</v>
          </cell>
          <cell r="V3682">
            <v>0</v>
          </cell>
          <cell r="W3682">
            <v>0</v>
          </cell>
        </row>
        <row r="3683">
          <cell r="A3683" t="str">
            <v>450197</v>
          </cell>
          <cell r="B3683" t="str">
            <v>1251</v>
          </cell>
          <cell r="C3683" t="str">
            <v>12</v>
          </cell>
          <cell r="D3683" t="str">
            <v>80</v>
          </cell>
          <cell r="E3683">
            <v>73</v>
          </cell>
          <cell r="G3683">
            <v>0</v>
          </cell>
          <cell r="H3683">
            <v>0</v>
          </cell>
          <cell r="I3683">
            <v>0</v>
          </cell>
          <cell r="J3683">
            <v>0</v>
          </cell>
          <cell r="K3683">
            <v>0</v>
          </cell>
          <cell r="L3683">
            <v>0</v>
          </cell>
          <cell r="M3683">
            <v>0</v>
          </cell>
          <cell r="N3683">
            <v>0</v>
          </cell>
          <cell r="O3683">
            <v>0</v>
          </cell>
          <cell r="P3683">
            <v>0</v>
          </cell>
          <cell r="Q3683">
            <v>0</v>
          </cell>
          <cell r="R3683">
            <v>0</v>
          </cell>
          <cell r="S3683">
            <v>0</v>
          </cell>
          <cell r="T3683">
            <v>0</v>
          </cell>
          <cell r="U3683">
            <v>0</v>
          </cell>
          <cell r="V3683">
            <v>0</v>
          </cell>
          <cell r="W3683">
            <v>0</v>
          </cell>
        </row>
        <row r="3684">
          <cell r="A3684" t="str">
            <v>450197</v>
          </cell>
          <cell r="B3684" t="str">
            <v>1251</v>
          </cell>
          <cell r="C3684" t="str">
            <v>12</v>
          </cell>
          <cell r="D3684" t="str">
            <v>80</v>
          </cell>
          <cell r="E3684">
            <v>77</v>
          </cell>
          <cell r="G3684">
            <v>0</v>
          </cell>
          <cell r="H3684">
            <v>0</v>
          </cell>
          <cell r="I3684">
            <v>0</v>
          </cell>
          <cell r="J3684">
            <v>0</v>
          </cell>
          <cell r="K3684">
            <v>0</v>
          </cell>
          <cell r="L3684">
            <v>0</v>
          </cell>
          <cell r="M3684">
            <v>0</v>
          </cell>
          <cell r="N3684">
            <v>0</v>
          </cell>
          <cell r="O3684">
            <v>0</v>
          </cell>
          <cell r="P3684">
            <v>0</v>
          </cell>
          <cell r="Q3684">
            <v>0</v>
          </cell>
          <cell r="R3684">
            <v>0</v>
          </cell>
          <cell r="S3684">
            <v>0</v>
          </cell>
          <cell r="T3684">
            <v>0</v>
          </cell>
          <cell r="U3684">
            <v>0</v>
          </cell>
          <cell r="V3684">
            <v>0</v>
          </cell>
          <cell r="W3684">
            <v>0</v>
          </cell>
        </row>
        <row r="3685">
          <cell r="A3685" t="str">
            <v>450197</v>
          </cell>
          <cell r="B3685" t="str">
            <v>1251</v>
          </cell>
          <cell r="C3685" t="str">
            <v>12</v>
          </cell>
          <cell r="D3685" t="str">
            <v>80</v>
          </cell>
          <cell r="E3685">
            <v>81</v>
          </cell>
          <cell r="G3685">
            <v>0</v>
          </cell>
          <cell r="H3685">
            <v>0</v>
          </cell>
          <cell r="I3685">
            <v>0</v>
          </cell>
          <cell r="J3685">
            <v>0</v>
          </cell>
          <cell r="K3685">
            <v>0</v>
          </cell>
          <cell r="L3685">
            <v>0</v>
          </cell>
          <cell r="M3685">
            <v>0</v>
          </cell>
          <cell r="N3685">
            <v>0</v>
          </cell>
          <cell r="O3685">
            <v>0</v>
          </cell>
          <cell r="P3685">
            <v>0</v>
          </cell>
          <cell r="Q3685">
            <v>0</v>
          </cell>
          <cell r="R3685">
            <v>0</v>
          </cell>
          <cell r="S3685">
            <v>0</v>
          </cell>
          <cell r="T3685">
            <v>0</v>
          </cell>
          <cell r="U3685">
            <v>0</v>
          </cell>
          <cell r="V3685">
            <v>0</v>
          </cell>
          <cell r="W3685">
            <v>0</v>
          </cell>
        </row>
        <row r="3686">
          <cell r="A3686" t="str">
            <v>450197</v>
          </cell>
          <cell r="B3686" t="str">
            <v>1251</v>
          </cell>
          <cell r="C3686" t="str">
            <v>12</v>
          </cell>
          <cell r="D3686" t="str">
            <v>80</v>
          </cell>
          <cell r="E3686">
            <v>85</v>
          </cell>
          <cell r="G3686">
            <v>0</v>
          </cell>
          <cell r="H3686">
            <v>0</v>
          </cell>
          <cell r="I3686">
            <v>0</v>
          </cell>
          <cell r="J3686">
            <v>0</v>
          </cell>
          <cell r="K3686">
            <v>0</v>
          </cell>
          <cell r="L3686">
            <v>0</v>
          </cell>
          <cell r="M3686">
            <v>0</v>
          </cell>
          <cell r="N3686">
            <v>0</v>
          </cell>
          <cell r="O3686">
            <v>0</v>
          </cell>
          <cell r="P3686">
            <v>0</v>
          </cell>
          <cell r="Q3686">
            <v>0</v>
          </cell>
          <cell r="R3686">
            <v>0</v>
          </cell>
          <cell r="S3686">
            <v>0</v>
          </cell>
          <cell r="T3686">
            <v>0</v>
          </cell>
          <cell r="U3686">
            <v>0</v>
          </cell>
          <cell r="V3686">
            <v>0</v>
          </cell>
          <cell r="W3686">
            <v>0</v>
          </cell>
        </row>
        <row r="3687">
          <cell r="A3687" t="str">
            <v>450197</v>
          </cell>
          <cell r="B3687" t="str">
            <v>1251</v>
          </cell>
          <cell r="C3687" t="str">
            <v>12</v>
          </cell>
          <cell r="D3687" t="str">
            <v>80</v>
          </cell>
          <cell r="E3687">
            <v>89</v>
          </cell>
          <cell r="G3687">
            <v>0</v>
          </cell>
          <cell r="H3687">
            <v>0</v>
          </cell>
          <cell r="I3687">
            <v>0</v>
          </cell>
          <cell r="J3687">
            <v>0</v>
          </cell>
          <cell r="K3687">
            <v>0</v>
          </cell>
          <cell r="L3687">
            <v>0</v>
          </cell>
          <cell r="M3687">
            <v>0</v>
          </cell>
          <cell r="N3687">
            <v>0</v>
          </cell>
          <cell r="O3687">
            <v>0</v>
          </cell>
          <cell r="P3687">
            <v>1468</v>
          </cell>
          <cell r="Q3687">
            <v>1468</v>
          </cell>
          <cell r="R3687">
            <v>0</v>
          </cell>
          <cell r="S3687">
            <v>0</v>
          </cell>
          <cell r="T3687">
            <v>10554</v>
          </cell>
          <cell r="U3687">
            <v>10554</v>
          </cell>
          <cell r="V3687">
            <v>0</v>
          </cell>
          <cell r="W3687">
            <v>0</v>
          </cell>
        </row>
        <row r="3688">
          <cell r="A3688" t="str">
            <v>450197</v>
          </cell>
          <cell r="B3688" t="str">
            <v>1251</v>
          </cell>
          <cell r="C3688" t="str">
            <v>12</v>
          </cell>
          <cell r="D3688" t="str">
            <v>80</v>
          </cell>
          <cell r="E3688">
            <v>93</v>
          </cell>
          <cell r="G3688">
            <v>44459</v>
          </cell>
          <cell r="H3688">
            <v>44459</v>
          </cell>
          <cell r="I3688">
            <v>43677</v>
          </cell>
          <cell r="J3688">
            <v>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  <cell r="O3688">
            <v>0</v>
          </cell>
          <cell r="P3688">
            <v>595</v>
          </cell>
          <cell r="Q3688">
            <v>595</v>
          </cell>
          <cell r="R3688">
            <v>0</v>
          </cell>
          <cell r="S3688">
            <v>0</v>
          </cell>
          <cell r="T3688">
            <v>0</v>
          </cell>
          <cell r="U3688">
            <v>0</v>
          </cell>
          <cell r="V3688">
            <v>0</v>
          </cell>
          <cell r="W3688">
            <v>0</v>
          </cell>
        </row>
        <row r="3689">
          <cell r="A3689" t="str">
            <v>450197</v>
          </cell>
          <cell r="B3689" t="str">
            <v>1251</v>
          </cell>
          <cell r="C3689" t="str">
            <v>12</v>
          </cell>
          <cell r="D3689" t="str">
            <v>80</v>
          </cell>
          <cell r="E3689">
            <v>97</v>
          </cell>
          <cell r="G3689">
            <v>0</v>
          </cell>
          <cell r="H3689">
            <v>0</v>
          </cell>
          <cell r="I3689">
            <v>0</v>
          </cell>
          <cell r="J3689">
            <v>0</v>
          </cell>
          <cell r="K3689">
            <v>44459</v>
          </cell>
          <cell r="L3689">
            <v>57076</v>
          </cell>
          <cell r="M3689">
            <v>56294</v>
          </cell>
          <cell r="N3689">
            <v>0</v>
          </cell>
          <cell r="O3689">
            <v>0</v>
          </cell>
          <cell r="P3689">
            <v>3298</v>
          </cell>
          <cell r="Q3689">
            <v>3299</v>
          </cell>
          <cell r="R3689">
            <v>0</v>
          </cell>
          <cell r="S3689">
            <v>0</v>
          </cell>
          <cell r="T3689">
            <v>0</v>
          </cell>
          <cell r="U3689">
            <v>0</v>
          </cell>
          <cell r="V3689">
            <v>0</v>
          </cell>
          <cell r="W3689">
            <v>0</v>
          </cell>
        </row>
        <row r="3690">
          <cell r="A3690" t="str">
            <v>450197</v>
          </cell>
          <cell r="B3690" t="str">
            <v>1251</v>
          </cell>
          <cell r="C3690" t="str">
            <v>12</v>
          </cell>
          <cell r="D3690" t="str">
            <v>80</v>
          </cell>
          <cell r="E3690">
            <v>101</v>
          </cell>
          <cell r="G3690">
            <v>0</v>
          </cell>
          <cell r="H3690">
            <v>358</v>
          </cell>
          <cell r="I3690">
            <v>358</v>
          </cell>
          <cell r="J3690">
            <v>0</v>
          </cell>
          <cell r="K3690">
            <v>0</v>
          </cell>
          <cell r="L3690">
            <v>0</v>
          </cell>
          <cell r="M3690">
            <v>0</v>
          </cell>
          <cell r="N3690">
            <v>0</v>
          </cell>
          <cell r="O3690">
            <v>0</v>
          </cell>
          <cell r="P3690">
            <v>5665</v>
          </cell>
          <cell r="Q3690">
            <v>5666</v>
          </cell>
          <cell r="R3690">
            <v>0</v>
          </cell>
          <cell r="S3690">
            <v>0</v>
          </cell>
          <cell r="T3690">
            <v>0</v>
          </cell>
          <cell r="U3690">
            <v>0</v>
          </cell>
          <cell r="V3690">
            <v>0</v>
          </cell>
          <cell r="W3690">
            <v>0</v>
          </cell>
        </row>
        <row r="3691">
          <cell r="A3691" t="str">
            <v>450197</v>
          </cell>
          <cell r="B3691" t="str">
            <v>1251</v>
          </cell>
          <cell r="C3691" t="str">
            <v>12</v>
          </cell>
          <cell r="D3691" t="str">
            <v>80</v>
          </cell>
          <cell r="E3691">
            <v>105</v>
          </cell>
          <cell r="G3691">
            <v>0</v>
          </cell>
          <cell r="H3691">
            <v>0</v>
          </cell>
          <cell r="I3691">
            <v>0</v>
          </cell>
          <cell r="J3691">
            <v>0</v>
          </cell>
          <cell r="K3691">
            <v>0</v>
          </cell>
          <cell r="L3691">
            <v>0</v>
          </cell>
          <cell r="M3691">
            <v>0</v>
          </cell>
          <cell r="N3691">
            <v>0</v>
          </cell>
          <cell r="O3691">
            <v>0</v>
          </cell>
          <cell r="P3691">
            <v>0</v>
          </cell>
          <cell r="Q3691">
            <v>0</v>
          </cell>
          <cell r="R3691">
            <v>0</v>
          </cell>
          <cell r="S3691">
            <v>0</v>
          </cell>
          <cell r="T3691">
            <v>5665</v>
          </cell>
          <cell r="U3691">
            <v>5666</v>
          </cell>
          <cell r="V3691">
            <v>0</v>
          </cell>
          <cell r="W3691">
            <v>0</v>
          </cell>
        </row>
        <row r="3692">
          <cell r="A3692" t="str">
            <v>450197</v>
          </cell>
          <cell r="B3692" t="str">
            <v>1251</v>
          </cell>
          <cell r="C3692" t="str">
            <v>12</v>
          </cell>
          <cell r="D3692" t="str">
            <v>80</v>
          </cell>
          <cell r="E3692">
            <v>109</v>
          </cell>
          <cell r="G3692">
            <v>0</v>
          </cell>
          <cell r="H3692">
            <v>6247</v>
          </cell>
          <cell r="I3692">
            <v>6247</v>
          </cell>
          <cell r="J3692">
            <v>0</v>
          </cell>
          <cell r="K3692">
            <v>0</v>
          </cell>
          <cell r="L3692">
            <v>0</v>
          </cell>
          <cell r="M3692">
            <v>0</v>
          </cell>
          <cell r="N3692">
            <v>0</v>
          </cell>
          <cell r="O3692">
            <v>0</v>
          </cell>
          <cell r="P3692">
            <v>0</v>
          </cell>
          <cell r="Q3692">
            <v>0</v>
          </cell>
          <cell r="R3692">
            <v>0</v>
          </cell>
          <cell r="S3692">
            <v>0</v>
          </cell>
          <cell r="T3692">
            <v>0</v>
          </cell>
          <cell r="U3692">
            <v>0</v>
          </cell>
          <cell r="V3692">
            <v>0</v>
          </cell>
          <cell r="W3692">
            <v>0</v>
          </cell>
        </row>
        <row r="3693">
          <cell r="A3693" t="str">
            <v>450197</v>
          </cell>
          <cell r="B3693" t="str">
            <v>1251</v>
          </cell>
          <cell r="C3693" t="str">
            <v>12</v>
          </cell>
          <cell r="D3693" t="str">
            <v>80</v>
          </cell>
          <cell r="E3693">
            <v>113</v>
          </cell>
          <cell r="G3693">
            <v>0</v>
          </cell>
          <cell r="H3693">
            <v>0</v>
          </cell>
          <cell r="I3693">
            <v>0</v>
          </cell>
          <cell r="J3693">
            <v>0</v>
          </cell>
          <cell r="K3693">
            <v>0</v>
          </cell>
          <cell r="L3693">
            <v>0</v>
          </cell>
          <cell r="M3693">
            <v>0</v>
          </cell>
          <cell r="N3693">
            <v>0</v>
          </cell>
          <cell r="O3693">
            <v>0</v>
          </cell>
          <cell r="P3693">
            <v>12270</v>
          </cell>
          <cell r="Q3693">
            <v>12271</v>
          </cell>
          <cell r="R3693">
            <v>0</v>
          </cell>
          <cell r="S3693">
            <v>0</v>
          </cell>
          <cell r="T3693">
            <v>0</v>
          </cell>
          <cell r="U3693">
            <v>0</v>
          </cell>
          <cell r="V3693">
            <v>0</v>
          </cell>
          <cell r="W3693">
            <v>0</v>
          </cell>
        </row>
        <row r="3694">
          <cell r="A3694" t="str">
            <v>450197</v>
          </cell>
          <cell r="B3694" t="str">
            <v>1251</v>
          </cell>
          <cell r="C3694" t="str">
            <v>12</v>
          </cell>
          <cell r="D3694" t="str">
            <v>80</v>
          </cell>
          <cell r="E3694">
            <v>117</v>
          </cell>
          <cell r="G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</row>
        <row r="3695">
          <cell r="A3695" t="str">
            <v>450197</v>
          </cell>
          <cell r="B3695" t="str">
            <v>1251</v>
          </cell>
          <cell r="C3695" t="str">
            <v>12</v>
          </cell>
          <cell r="D3695" t="str">
            <v>80</v>
          </cell>
          <cell r="E3695">
            <v>121</v>
          </cell>
          <cell r="G3695">
            <v>131855</v>
          </cell>
          <cell r="H3695">
            <v>172021</v>
          </cell>
          <cell r="I3695">
            <v>171247</v>
          </cell>
          <cell r="J3695">
            <v>0</v>
          </cell>
          <cell r="K3695">
            <v>0</v>
          </cell>
          <cell r="L3695">
            <v>0</v>
          </cell>
          <cell r="M3695">
            <v>0</v>
          </cell>
          <cell r="N3695">
            <v>0</v>
          </cell>
          <cell r="O3695">
            <v>1400720</v>
          </cell>
          <cell r="P3695">
            <v>1479607</v>
          </cell>
          <cell r="Q3695">
            <v>1424612</v>
          </cell>
          <cell r="R3695">
            <v>0</v>
          </cell>
          <cell r="S3695">
            <v>0</v>
          </cell>
          <cell r="T3695">
            <v>15239</v>
          </cell>
          <cell r="U3695">
            <v>6108</v>
          </cell>
          <cell r="V3695">
            <v>0</v>
          </cell>
          <cell r="W3695">
            <v>0</v>
          </cell>
        </row>
        <row r="3696">
          <cell r="A3696" t="str">
            <v>450197</v>
          </cell>
          <cell r="B3696" t="str">
            <v>1251</v>
          </cell>
          <cell r="C3696" t="str">
            <v>12</v>
          </cell>
          <cell r="D3696" t="str">
            <v>80</v>
          </cell>
          <cell r="E3696">
            <v>125</v>
          </cell>
          <cell r="G3696">
            <v>0</v>
          </cell>
          <cell r="H3696">
            <v>15239</v>
          </cell>
          <cell r="I3696">
            <v>15240</v>
          </cell>
          <cell r="J3696">
            <v>0</v>
          </cell>
          <cell r="K3696">
            <v>0</v>
          </cell>
          <cell r="L3696">
            <v>0</v>
          </cell>
          <cell r="M3696">
            <v>0</v>
          </cell>
          <cell r="N3696">
            <v>0</v>
          </cell>
          <cell r="O3696">
            <v>0</v>
          </cell>
          <cell r="P3696">
            <v>0</v>
          </cell>
          <cell r="Q3696">
            <v>0</v>
          </cell>
          <cell r="R3696">
            <v>0</v>
          </cell>
          <cell r="S3696">
            <v>0</v>
          </cell>
          <cell r="T3696">
            <v>0</v>
          </cell>
          <cell r="U3696">
            <v>0</v>
          </cell>
          <cell r="V3696">
            <v>0</v>
          </cell>
          <cell r="W3696">
            <v>0</v>
          </cell>
        </row>
        <row r="3697">
          <cell r="A3697" t="str">
            <v>450197</v>
          </cell>
          <cell r="B3697" t="str">
            <v>1251</v>
          </cell>
          <cell r="C3697" t="str">
            <v>12</v>
          </cell>
          <cell r="D3697" t="str">
            <v>80</v>
          </cell>
          <cell r="E3697">
            <v>129</v>
          </cell>
          <cell r="G3697">
            <v>0</v>
          </cell>
          <cell r="H3697">
            <v>0</v>
          </cell>
          <cell r="I3697">
            <v>0</v>
          </cell>
          <cell r="J3697">
            <v>0</v>
          </cell>
          <cell r="K3697">
            <v>0</v>
          </cell>
          <cell r="L3697">
            <v>0</v>
          </cell>
          <cell r="M3697">
            <v>0</v>
          </cell>
          <cell r="N3697">
            <v>0</v>
          </cell>
          <cell r="O3697">
            <v>0</v>
          </cell>
          <cell r="P3697">
            <v>0</v>
          </cell>
          <cell r="Q3697">
            <v>0</v>
          </cell>
          <cell r="R3697">
            <v>0</v>
          </cell>
          <cell r="S3697">
            <v>0</v>
          </cell>
          <cell r="T3697">
            <v>0</v>
          </cell>
          <cell r="U3697">
            <v>0</v>
          </cell>
          <cell r="V3697">
            <v>0</v>
          </cell>
          <cell r="W3697">
            <v>0</v>
          </cell>
        </row>
        <row r="3698">
          <cell r="A3698" t="str">
            <v>450197</v>
          </cell>
          <cell r="B3698" t="str">
            <v>1251</v>
          </cell>
          <cell r="C3698" t="str">
            <v>12</v>
          </cell>
          <cell r="D3698" t="str">
            <v>80</v>
          </cell>
          <cell r="E3698">
            <v>133</v>
          </cell>
          <cell r="G3698">
            <v>0</v>
          </cell>
          <cell r="H3698">
            <v>0</v>
          </cell>
          <cell r="I3698">
            <v>0</v>
          </cell>
          <cell r="J3698">
            <v>0</v>
          </cell>
          <cell r="K3698">
            <v>0</v>
          </cell>
          <cell r="L3698">
            <v>0</v>
          </cell>
          <cell r="M3698">
            <v>0</v>
          </cell>
          <cell r="N3698">
            <v>0</v>
          </cell>
          <cell r="O3698">
            <v>0</v>
          </cell>
          <cell r="P3698">
            <v>0</v>
          </cell>
          <cell r="Q3698">
            <v>-11036</v>
          </cell>
          <cell r="R3698">
            <v>0</v>
          </cell>
          <cell r="S3698">
            <v>0</v>
          </cell>
          <cell r="T3698">
            <v>0</v>
          </cell>
          <cell r="U3698">
            <v>-11036</v>
          </cell>
          <cell r="V3698">
            <v>0</v>
          </cell>
          <cell r="W3698">
            <v>0</v>
          </cell>
        </row>
        <row r="3699">
          <cell r="A3699" t="str">
            <v>450197</v>
          </cell>
          <cell r="B3699" t="str">
            <v>1251</v>
          </cell>
          <cell r="C3699" t="str">
            <v>12</v>
          </cell>
          <cell r="D3699" t="str">
            <v>80</v>
          </cell>
          <cell r="E3699">
            <v>137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  <cell r="Q3699">
            <v>0</v>
          </cell>
          <cell r="R3699">
            <v>0</v>
          </cell>
          <cell r="S3699">
            <v>0</v>
          </cell>
          <cell r="T3699">
            <v>0</v>
          </cell>
          <cell r="U3699">
            <v>0</v>
          </cell>
          <cell r="V3699">
            <v>0</v>
          </cell>
          <cell r="W3699">
            <v>0</v>
          </cell>
        </row>
        <row r="3700">
          <cell r="A3700" t="str">
            <v>450197</v>
          </cell>
          <cell r="B3700" t="str">
            <v>1251</v>
          </cell>
          <cell r="C3700" t="str">
            <v>12</v>
          </cell>
          <cell r="D3700" t="str">
            <v>80</v>
          </cell>
          <cell r="E3700">
            <v>141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  <cell r="Q3700">
            <v>0</v>
          </cell>
          <cell r="R3700">
            <v>0</v>
          </cell>
          <cell r="S3700">
            <v>0</v>
          </cell>
          <cell r="T3700">
            <v>0</v>
          </cell>
          <cell r="U3700">
            <v>0</v>
          </cell>
          <cell r="V3700">
            <v>0</v>
          </cell>
          <cell r="W3700">
            <v>0</v>
          </cell>
        </row>
        <row r="3701">
          <cell r="A3701" t="str">
            <v>450197</v>
          </cell>
          <cell r="B3701" t="str">
            <v>1251</v>
          </cell>
          <cell r="C3701" t="str">
            <v>12</v>
          </cell>
          <cell r="D3701" t="str">
            <v>80</v>
          </cell>
          <cell r="E3701">
            <v>145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-77</v>
          </cell>
          <cell r="N3701">
            <v>0</v>
          </cell>
          <cell r="O3701">
            <v>0</v>
          </cell>
          <cell r="P3701">
            <v>0</v>
          </cell>
          <cell r="Q3701">
            <v>-77</v>
          </cell>
          <cell r="R3701">
            <v>0</v>
          </cell>
          <cell r="S3701">
            <v>0</v>
          </cell>
          <cell r="T3701">
            <v>15239</v>
          </cell>
          <cell r="U3701">
            <v>26199</v>
          </cell>
          <cell r="V3701">
            <v>0</v>
          </cell>
          <cell r="W3701">
            <v>0</v>
          </cell>
        </row>
        <row r="3702">
          <cell r="A3702" t="str">
            <v>450197</v>
          </cell>
          <cell r="B3702" t="str">
            <v>1251</v>
          </cell>
          <cell r="C3702" t="str">
            <v>12</v>
          </cell>
          <cell r="D3702" t="str">
            <v>80</v>
          </cell>
          <cell r="E3702">
            <v>149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  <cell r="Q3702">
            <v>0</v>
          </cell>
          <cell r="R3702">
            <v>0</v>
          </cell>
          <cell r="S3702">
            <v>0</v>
          </cell>
          <cell r="T3702">
            <v>0</v>
          </cell>
          <cell r="U3702">
            <v>0</v>
          </cell>
          <cell r="V3702">
            <v>0</v>
          </cell>
          <cell r="W3702">
            <v>0</v>
          </cell>
        </row>
        <row r="3703">
          <cell r="A3703" t="str">
            <v>450197</v>
          </cell>
          <cell r="B3703" t="str">
            <v>1251</v>
          </cell>
          <cell r="C3703" t="str">
            <v>12</v>
          </cell>
          <cell r="D3703" t="str">
            <v>80</v>
          </cell>
          <cell r="E3703">
            <v>153</v>
          </cell>
          <cell r="G3703">
            <v>0</v>
          </cell>
          <cell r="H3703">
            <v>0</v>
          </cell>
          <cell r="I3703">
            <v>4851</v>
          </cell>
          <cell r="J3703">
            <v>0</v>
          </cell>
          <cell r="K3703">
            <v>0</v>
          </cell>
          <cell r="L3703">
            <v>0</v>
          </cell>
          <cell r="M3703">
            <v>1396</v>
          </cell>
          <cell r="N3703">
            <v>0</v>
          </cell>
          <cell r="O3703">
            <v>0</v>
          </cell>
          <cell r="P3703">
            <v>0</v>
          </cell>
          <cell r="Q3703">
            <v>6247</v>
          </cell>
          <cell r="R3703">
            <v>0</v>
          </cell>
          <cell r="S3703">
            <v>506</v>
          </cell>
          <cell r="T3703">
            <v>486</v>
          </cell>
          <cell r="U3703">
            <v>446</v>
          </cell>
          <cell r="V3703">
            <v>0</v>
          </cell>
          <cell r="W3703">
            <v>0</v>
          </cell>
        </row>
        <row r="3704">
          <cell r="A3704" t="str">
            <v>450197</v>
          </cell>
          <cell r="B3704" t="str">
            <v>1251</v>
          </cell>
          <cell r="C3704" t="str">
            <v>12</v>
          </cell>
          <cell r="D3704" t="str">
            <v>80</v>
          </cell>
          <cell r="E3704">
            <v>157</v>
          </cell>
          <cell r="G3704">
            <v>0</v>
          </cell>
          <cell r="H3704">
            <v>0</v>
          </cell>
          <cell r="I3704">
            <v>463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  <cell r="O3704">
            <v>0</v>
          </cell>
          <cell r="P3704">
            <v>0</v>
          </cell>
          <cell r="Q3704">
            <v>0</v>
          </cell>
          <cell r="R3704">
            <v>0</v>
          </cell>
          <cell r="S3704">
            <v>0</v>
          </cell>
          <cell r="T3704">
            <v>0</v>
          </cell>
          <cell r="U3704">
            <v>0</v>
          </cell>
          <cell r="V3704">
            <v>0</v>
          </cell>
          <cell r="W3704">
            <v>0</v>
          </cell>
        </row>
        <row r="3705">
          <cell r="A3705" t="str">
            <v>453934</v>
          </cell>
          <cell r="B3705" t="str">
            <v>1251</v>
          </cell>
          <cell r="C3705" t="str">
            <v>12</v>
          </cell>
          <cell r="D3705" t="str">
            <v>01</v>
          </cell>
          <cell r="E3705">
            <v>1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  <cell r="O3705">
            <v>0</v>
          </cell>
          <cell r="P3705">
            <v>0</v>
          </cell>
          <cell r="Q3705">
            <v>0</v>
          </cell>
          <cell r="R3705">
            <v>0</v>
          </cell>
          <cell r="S3705">
            <v>0</v>
          </cell>
          <cell r="T3705">
            <v>0</v>
          </cell>
          <cell r="U3705">
            <v>0</v>
          </cell>
          <cell r="V3705">
            <v>0</v>
          </cell>
          <cell r="W3705">
            <v>0</v>
          </cell>
        </row>
        <row r="3706">
          <cell r="A3706" t="str">
            <v>453934</v>
          </cell>
          <cell r="B3706" t="str">
            <v>1251</v>
          </cell>
          <cell r="C3706" t="str">
            <v>12</v>
          </cell>
          <cell r="D3706" t="str">
            <v>01</v>
          </cell>
          <cell r="E3706">
            <v>8</v>
          </cell>
          <cell r="G3706">
            <v>0</v>
          </cell>
          <cell r="H3706">
            <v>0</v>
          </cell>
          <cell r="I3706">
            <v>1347</v>
          </cell>
          <cell r="J3706">
            <v>1387</v>
          </cell>
          <cell r="K3706">
            <v>0</v>
          </cell>
          <cell r="L3706">
            <v>0</v>
          </cell>
          <cell r="M3706">
            <v>0</v>
          </cell>
          <cell r="N3706">
            <v>0</v>
          </cell>
          <cell r="O3706">
            <v>0</v>
          </cell>
          <cell r="P3706">
            <v>0</v>
          </cell>
          <cell r="Q3706">
            <v>0</v>
          </cell>
          <cell r="R3706">
            <v>0</v>
          </cell>
          <cell r="S3706">
            <v>0</v>
          </cell>
          <cell r="T3706">
            <v>0</v>
          </cell>
          <cell r="U3706">
            <v>0</v>
          </cell>
          <cell r="V3706">
            <v>0</v>
          </cell>
          <cell r="W3706">
            <v>0</v>
          </cell>
        </row>
        <row r="3707">
          <cell r="A3707" t="str">
            <v>453934</v>
          </cell>
          <cell r="B3707" t="str">
            <v>1251</v>
          </cell>
          <cell r="C3707" t="str">
            <v>12</v>
          </cell>
          <cell r="D3707" t="str">
            <v>01</v>
          </cell>
          <cell r="E3707">
            <v>15</v>
          </cell>
          <cell r="G3707">
            <v>0</v>
          </cell>
          <cell r="H3707">
            <v>0</v>
          </cell>
          <cell r="I3707">
            <v>1347</v>
          </cell>
          <cell r="J3707">
            <v>1387</v>
          </cell>
          <cell r="K3707">
            <v>0</v>
          </cell>
          <cell r="L3707">
            <v>0</v>
          </cell>
          <cell r="M3707">
            <v>0</v>
          </cell>
          <cell r="N3707">
            <v>0</v>
          </cell>
          <cell r="O3707">
            <v>0</v>
          </cell>
          <cell r="P3707">
            <v>0</v>
          </cell>
          <cell r="Q3707">
            <v>0</v>
          </cell>
          <cell r="R3707">
            <v>0</v>
          </cell>
          <cell r="S3707">
            <v>0</v>
          </cell>
          <cell r="T3707">
            <v>0</v>
          </cell>
          <cell r="U3707">
            <v>0</v>
          </cell>
          <cell r="V3707">
            <v>0</v>
          </cell>
          <cell r="W3707">
            <v>0</v>
          </cell>
        </row>
        <row r="3708">
          <cell r="A3708" t="str">
            <v>453934</v>
          </cell>
          <cell r="B3708" t="str">
            <v>1251</v>
          </cell>
          <cell r="C3708" t="str">
            <v>12</v>
          </cell>
          <cell r="D3708" t="str">
            <v>01</v>
          </cell>
          <cell r="E3708">
            <v>22</v>
          </cell>
          <cell r="G3708">
            <v>0</v>
          </cell>
          <cell r="H3708">
            <v>0</v>
          </cell>
          <cell r="I3708">
            <v>0</v>
          </cell>
          <cell r="J3708">
            <v>0</v>
          </cell>
          <cell r="K3708">
            <v>0</v>
          </cell>
          <cell r="L3708">
            <v>0</v>
          </cell>
          <cell r="M3708">
            <v>0</v>
          </cell>
          <cell r="N3708">
            <v>0</v>
          </cell>
          <cell r="O3708">
            <v>0</v>
          </cell>
          <cell r="P3708">
            <v>0</v>
          </cell>
          <cell r="Q3708">
            <v>0</v>
          </cell>
          <cell r="R3708">
            <v>0</v>
          </cell>
          <cell r="S3708">
            <v>0</v>
          </cell>
          <cell r="T3708">
            <v>0</v>
          </cell>
          <cell r="U3708">
            <v>0</v>
          </cell>
          <cell r="V3708">
            <v>0</v>
          </cell>
          <cell r="W3708">
            <v>0</v>
          </cell>
        </row>
        <row r="3709">
          <cell r="A3709" t="str">
            <v>453934</v>
          </cell>
          <cell r="B3709" t="str">
            <v>1251</v>
          </cell>
          <cell r="C3709" t="str">
            <v>12</v>
          </cell>
          <cell r="D3709" t="str">
            <v>01</v>
          </cell>
          <cell r="E3709">
            <v>29</v>
          </cell>
          <cell r="G3709">
            <v>0</v>
          </cell>
          <cell r="H3709">
            <v>0</v>
          </cell>
          <cell r="I3709">
            <v>1347</v>
          </cell>
          <cell r="J3709">
            <v>1387</v>
          </cell>
          <cell r="K3709">
            <v>0</v>
          </cell>
          <cell r="L3709">
            <v>0</v>
          </cell>
          <cell r="M3709">
            <v>0</v>
          </cell>
          <cell r="N3709">
            <v>0</v>
          </cell>
          <cell r="O3709">
            <v>0</v>
          </cell>
          <cell r="P3709">
            <v>0</v>
          </cell>
          <cell r="Q3709">
            <v>0</v>
          </cell>
          <cell r="R3709">
            <v>0</v>
          </cell>
          <cell r="S3709">
            <v>0</v>
          </cell>
          <cell r="T3709">
            <v>0</v>
          </cell>
          <cell r="U3709">
            <v>0</v>
          </cell>
          <cell r="V3709">
            <v>0</v>
          </cell>
          <cell r="W3709">
            <v>0</v>
          </cell>
        </row>
        <row r="3710">
          <cell r="A3710" t="str">
            <v>453934</v>
          </cell>
          <cell r="B3710" t="str">
            <v>1251</v>
          </cell>
          <cell r="C3710" t="str">
            <v>12</v>
          </cell>
          <cell r="D3710" t="str">
            <v>01</v>
          </cell>
          <cell r="E3710">
            <v>36</v>
          </cell>
          <cell r="G3710">
            <v>0</v>
          </cell>
          <cell r="H3710">
            <v>0</v>
          </cell>
          <cell r="I3710">
            <v>0</v>
          </cell>
          <cell r="J3710">
            <v>0</v>
          </cell>
          <cell r="K3710">
            <v>0</v>
          </cell>
          <cell r="L3710">
            <v>0</v>
          </cell>
          <cell r="M3710">
            <v>0</v>
          </cell>
          <cell r="N3710">
            <v>0</v>
          </cell>
          <cell r="O3710">
            <v>0</v>
          </cell>
          <cell r="P3710">
            <v>0</v>
          </cell>
          <cell r="Q3710">
            <v>0</v>
          </cell>
          <cell r="R3710">
            <v>0</v>
          </cell>
          <cell r="S3710">
            <v>0</v>
          </cell>
          <cell r="T3710">
            <v>0</v>
          </cell>
          <cell r="U3710">
            <v>0</v>
          </cell>
          <cell r="V3710">
            <v>0</v>
          </cell>
          <cell r="W3710">
            <v>0</v>
          </cell>
        </row>
        <row r="3711">
          <cell r="A3711" t="str">
            <v>453934</v>
          </cell>
          <cell r="B3711" t="str">
            <v>1251</v>
          </cell>
          <cell r="C3711" t="str">
            <v>12</v>
          </cell>
          <cell r="D3711" t="str">
            <v>01</v>
          </cell>
          <cell r="E3711">
            <v>43</v>
          </cell>
          <cell r="G3711">
            <v>0</v>
          </cell>
          <cell r="H3711">
            <v>0</v>
          </cell>
          <cell r="I3711">
            <v>0</v>
          </cell>
          <cell r="J3711">
            <v>0</v>
          </cell>
          <cell r="K3711">
            <v>0</v>
          </cell>
          <cell r="L3711">
            <v>0</v>
          </cell>
          <cell r="M3711">
            <v>0</v>
          </cell>
          <cell r="N3711">
            <v>0</v>
          </cell>
          <cell r="O3711">
            <v>0</v>
          </cell>
          <cell r="P3711">
            <v>0</v>
          </cell>
          <cell r="Q3711">
            <v>0</v>
          </cell>
          <cell r="R3711">
            <v>0</v>
          </cell>
          <cell r="S3711">
            <v>0</v>
          </cell>
          <cell r="T3711">
            <v>0</v>
          </cell>
          <cell r="U3711">
            <v>0</v>
          </cell>
          <cell r="V3711">
            <v>0</v>
          </cell>
          <cell r="W3711">
            <v>0</v>
          </cell>
        </row>
        <row r="3712">
          <cell r="A3712" t="str">
            <v>453934</v>
          </cell>
          <cell r="B3712" t="str">
            <v>1251</v>
          </cell>
          <cell r="C3712" t="str">
            <v>12</v>
          </cell>
          <cell r="D3712" t="str">
            <v>01</v>
          </cell>
          <cell r="E3712">
            <v>50</v>
          </cell>
          <cell r="G3712">
            <v>0</v>
          </cell>
          <cell r="H3712">
            <v>0</v>
          </cell>
          <cell r="I3712">
            <v>79</v>
          </cell>
          <cell r="J3712">
            <v>96</v>
          </cell>
          <cell r="K3712">
            <v>2187</v>
          </cell>
          <cell r="L3712">
            <v>3766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2266</v>
          </cell>
          <cell r="R3712">
            <v>3862</v>
          </cell>
          <cell r="S3712">
            <v>0</v>
          </cell>
          <cell r="T3712">
            <v>2</v>
          </cell>
          <cell r="U3712">
            <v>0</v>
          </cell>
          <cell r="V3712">
            <v>0</v>
          </cell>
          <cell r="W3712">
            <v>0</v>
          </cell>
        </row>
        <row r="3713">
          <cell r="A3713" t="str">
            <v>453934</v>
          </cell>
          <cell r="B3713" t="str">
            <v>1251</v>
          </cell>
          <cell r="C3713" t="str">
            <v>12</v>
          </cell>
          <cell r="D3713" t="str">
            <v>01</v>
          </cell>
          <cell r="E3713">
            <v>57</v>
          </cell>
          <cell r="G3713">
            <v>688</v>
          </cell>
          <cell r="H3713">
            <v>680</v>
          </cell>
          <cell r="I3713">
            <v>0</v>
          </cell>
          <cell r="J3713">
            <v>0</v>
          </cell>
          <cell r="K3713">
            <v>0</v>
          </cell>
          <cell r="L3713">
            <v>0</v>
          </cell>
          <cell r="M3713">
            <v>688</v>
          </cell>
          <cell r="N3713">
            <v>682</v>
          </cell>
          <cell r="O3713">
            <v>2954</v>
          </cell>
          <cell r="P3713">
            <v>4544</v>
          </cell>
          <cell r="Q3713">
            <v>4301</v>
          </cell>
          <cell r="R3713">
            <v>5931</v>
          </cell>
          <cell r="S3713">
            <v>1249</v>
          </cell>
          <cell r="T3713">
            <v>1249</v>
          </cell>
          <cell r="U3713">
            <v>0</v>
          </cell>
          <cell r="V3713">
            <v>0</v>
          </cell>
          <cell r="W3713">
            <v>0</v>
          </cell>
        </row>
        <row r="3714">
          <cell r="A3714" t="str">
            <v>453934</v>
          </cell>
          <cell r="B3714" t="str">
            <v>1251</v>
          </cell>
          <cell r="C3714" t="str">
            <v>12</v>
          </cell>
          <cell r="D3714" t="str">
            <v>01</v>
          </cell>
          <cell r="E3714">
            <v>64</v>
          </cell>
          <cell r="G3714">
            <v>98</v>
          </cell>
          <cell r="H3714">
            <v>51</v>
          </cell>
          <cell r="I3714">
            <v>0</v>
          </cell>
          <cell r="J3714">
            <v>0</v>
          </cell>
          <cell r="K3714">
            <v>1347</v>
          </cell>
          <cell r="L3714">
            <v>1300</v>
          </cell>
          <cell r="M3714">
            <v>2954</v>
          </cell>
          <cell r="N3714">
            <v>4544</v>
          </cell>
          <cell r="O3714">
            <v>2954</v>
          </cell>
          <cell r="P3714">
            <v>4544</v>
          </cell>
          <cell r="Q3714">
            <v>0</v>
          </cell>
          <cell r="R3714">
            <v>0</v>
          </cell>
          <cell r="S3714">
            <v>0</v>
          </cell>
          <cell r="T3714">
            <v>0</v>
          </cell>
          <cell r="U3714">
            <v>0</v>
          </cell>
          <cell r="V3714">
            <v>0</v>
          </cell>
          <cell r="W3714">
            <v>0</v>
          </cell>
        </row>
        <row r="3715">
          <cell r="A3715" t="str">
            <v>453934</v>
          </cell>
          <cell r="B3715" t="str">
            <v>1251</v>
          </cell>
          <cell r="C3715" t="str">
            <v>12</v>
          </cell>
          <cell r="D3715" t="str">
            <v>01</v>
          </cell>
          <cell r="E3715">
            <v>71</v>
          </cell>
          <cell r="G3715">
            <v>0</v>
          </cell>
          <cell r="H3715">
            <v>0</v>
          </cell>
          <cell r="I3715">
            <v>0</v>
          </cell>
          <cell r="J3715">
            <v>0</v>
          </cell>
          <cell r="K3715">
            <v>0</v>
          </cell>
          <cell r="L3715">
            <v>0</v>
          </cell>
          <cell r="M3715">
            <v>2954</v>
          </cell>
          <cell r="N3715">
            <v>4544</v>
          </cell>
          <cell r="O3715">
            <v>0</v>
          </cell>
          <cell r="P3715">
            <v>0</v>
          </cell>
          <cell r="Q3715">
            <v>0</v>
          </cell>
          <cell r="R3715">
            <v>0</v>
          </cell>
          <cell r="S3715">
            <v>0</v>
          </cell>
          <cell r="T3715">
            <v>0</v>
          </cell>
          <cell r="U3715">
            <v>0</v>
          </cell>
          <cell r="V3715">
            <v>0</v>
          </cell>
          <cell r="W3715">
            <v>0</v>
          </cell>
        </row>
        <row r="3716">
          <cell r="A3716" t="str">
            <v>453934</v>
          </cell>
          <cell r="B3716" t="str">
            <v>1251</v>
          </cell>
          <cell r="C3716" t="str">
            <v>12</v>
          </cell>
          <cell r="D3716" t="str">
            <v>01</v>
          </cell>
          <cell r="E3716">
            <v>78</v>
          </cell>
          <cell r="G3716">
            <v>0</v>
          </cell>
          <cell r="H3716">
            <v>0</v>
          </cell>
          <cell r="I3716">
            <v>0</v>
          </cell>
          <cell r="J3716">
            <v>0</v>
          </cell>
          <cell r="K3716">
            <v>0</v>
          </cell>
          <cell r="L3716">
            <v>0</v>
          </cell>
          <cell r="M3716">
            <v>0</v>
          </cell>
          <cell r="N3716">
            <v>0</v>
          </cell>
          <cell r="O3716">
            <v>2954</v>
          </cell>
          <cell r="P3716">
            <v>4544</v>
          </cell>
          <cell r="Q3716">
            <v>0</v>
          </cell>
          <cell r="R3716">
            <v>0</v>
          </cell>
          <cell r="S3716">
            <v>0</v>
          </cell>
          <cell r="T3716">
            <v>0</v>
          </cell>
          <cell r="U3716">
            <v>0</v>
          </cell>
          <cell r="V3716">
            <v>0</v>
          </cell>
          <cell r="W3716">
            <v>0</v>
          </cell>
        </row>
        <row r="3717">
          <cell r="A3717" t="str">
            <v>453934</v>
          </cell>
          <cell r="B3717" t="str">
            <v>1251</v>
          </cell>
          <cell r="C3717" t="str">
            <v>12</v>
          </cell>
          <cell r="D3717" t="str">
            <v>01</v>
          </cell>
          <cell r="E3717">
            <v>85</v>
          </cell>
          <cell r="G3717">
            <v>0</v>
          </cell>
          <cell r="H3717">
            <v>0</v>
          </cell>
          <cell r="I3717">
            <v>0</v>
          </cell>
          <cell r="J3717">
            <v>0</v>
          </cell>
          <cell r="K3717">
            <v>0</v>
          </cell>
          <cell r="L3717">
            <v>0</v>
          </cell>
          <cell r="M3717">
            <v>0</v>
          </cell>
          <cell r="N3717">
            <v>0</v>
          </cell>
          <cell r="O3717">
            <v>0</v>
          </cell>
          <cell r="P3717">
            <v>0</v>
          </cell>
          <cell r="Q3717">
            <v>0</v>
          </cell>
          <cell r="R3717">
            <v>0</v>
          </cell>
          <cell r="S3717">
            <v>0</v>
          </cell>
          <cell r="T3717">
            <v>0</v>
          </cell>
          <cell r="U3717">
            <v>0</v>
          </cell>
          <cell r="V3717">
            <v>0</v>
          </cell>
          <cell r="W3717">
            <v>0</v>
          </cell>
        </row>
        <row r="3718">
          <cell r="A3718" t="str">
            <v>453934</v>
          </cell>
          <cell r="B3718" t="str">
            <v>1251</v>
          </cell>
          <cell r="C3718" t="str">
            <v>12</v>
          </cell>
          <cell r="D3718" t="str">
            <v>01</v>
          </cell>
          <cell r="E3718">
            <v>92</v>
          </cell>
          <cell r="G3718">
            <v>0</v>
          </cell>
          <cell r="H3718">
            <v>87</v>
          </cell>
          <cell r="I3718">
            <v>0</v>
          </cell>
          <cell r="J3718">
            <v>87</v>
          </cell>
          <cell r="K3718">
            <v>0</v>
          </cell>
          <cell r="L3718">
            <v>0</v>
          </cell>
          <cell r="M3718">
            <v>0</v>
          </cell>
          <cell r="N3718">
            <v>0</v>
          </cell>
          <cell r="O3718">
            <v>0</v>
          </cell>
          <cell r="P3718">
            <v>0</v>
          </cell>
          <cell r="Q3718">
            <v>0</v>
          </cell>
          <cell r="R3718">
            <v>0</v>
          </cell>
          <cell r="S3718">
            <v>0</v>
          </cell>
          <cell r="T3718">
            <v>0</v>
          </cell>
          <cell r="U3718">
            <v>0</v>
          </cell>
          <cell r="V3718">
            <v>0</v>
          </cell>
          <cell r="W3718">
            <v>0</v>
          </cell>
        </row>
        <row r="3719">
          <cell r="A3719" t="str">
            <v>453934</v>
          </cell>
          <cell r="B3719" t="str">
            <v>1251</v>
          </cell>
          <cell r="C3719" t="str">
            <v>12</v>
          </cell>
          <cell r="D3719" t="str">
            <v>01</v>
          </cell>
          <cell r="E3719">
            <v>99</v>
          </cell>
          <cell r="G3719">
            <v>0</v>
          </cell>
          <cell r="H3719">
            <v>0</v>
          </cell>
          <cell r="I3719">
            <v>0</v>
          </cell>
          <cell r="J3719">
            <v>0</v>
          </cell>
          <cell r="K3719">
            <v>0</v>
          </cell>
          <cell r="L3719">
            <v>0</v>
          </cell>
          <cell r="M3719">
            <v>0</v>
          </cell>
          <cell r="N3719">
            <v>0</v>
          </cell>
          <cell r="O3719">
            <v>0</v>
          </cell>
          <cell r="P3719">
            <v>0</v>
          </cell>
          <cell r="Q3719">
            <v>0</v>
          </cell>
          <cell r="R3719">
            <v>0</v>
          </cell>
          <cell r="S3719">
            <v>0</v>
          </cell>
          <cell r="T3719">
            <v>0</v>
          </cell>
          <cell r="U3719">
            <v>0</v>
          </cell>
          <cell r="V3719">
            <v>0</v>
          </cell>
          <cell r="W3719">
            <v>0</v>
          </cell>
        </row>
        <row r="3720">
          <cell r="A3720" t="str">
            <v>453934</v>
          </cell>
          <cell r="B3720" t="str">
            <v>1251</v>
          </cell>
          <cell r="C3720" t="str">
            <v>12</v>
          </cell>
          <cell r="D3720" t="str">
            <v>01</v>
          </cell>
          <cell r="E3720">
            <v>106</v>
          </cell>
          <cell r="G3720">
            <v>0</v>
          </cell>
          <cell r="H3720">
            <v>0</v>
          </cell>
          <cell r="I3720">
            <v>0</v>
          </cell>
          <cell r="J3720">
            <v>0</v>
          </cell>
          <cell r="K3720">
            <v>0</v>
          </cell>
          <cell r="L3720">
            <v>0</v>
          </cell>
          <cell r="M3720">
            <v>0</v>
          </cell>
          <cell r="N3720">
            <v>0</v>
          </cell>
          <cell r="O3720">
            <v>0</v>
          </cell>
          <cell r="P3720">
            <v>0</v>
          </cell>
          <cell r="Q3720">
            <v>0</v>
          </cell>
          <cell r="R3720">
            <v>0</v>
          </cell>
          <cell r="S3720">
            <v>0</v>
          </cell>
          <cell r="T3720">
            <v>0</v>
          </cell>
          <cell r="U3720">
            <v>0</v>
          </cell>
          <cell r="V3720">
            <v>0</v>
          </cell>
          <cell r="W3720">
            <v>0</v>
          </cell>
        </row>
        <row r="3721">
          <cell r="A3721" t="str">
            <v>453934</v>
          </cell>
          <cell r="B3721" t="str">
            <v>1251</v>
          </cell>
          <cell r="C3721" t="str">
            <v>12</v>
          </cell>
          <cell r="D3721" t="str">
            <v>01</v>
          </cell>
          <cell r="E3721">
            <v>113</v>
          </cell>
          <cell r="G3721">
            <v>0</v>
          </cell>
          <cell r="H3721">
            <v>87</v>
          </cell>
          <cell r="I3721">
            <v>0</v>
          </cell>
          <cell r="J3721">
            <v>0</v>
          </cell>
          <cell r="K3721">
            <v>0</v>
          </cell>
          <cell r="L3721">
            <v>0</v>
          </cell>
          <cell r="M3721">
            <v>0</v>
          </cell>
          <cell r="N3721">
            <v>0</v>
          </cell>
          <cell r="O3721">
            <v>0</v>
          </cell>
          <cell r="P3721">
            <v>0</v>
          </cell>
          <cell r="Q3721">
            <v>0</v>
          </cell>
          <cell r="R3721">
            <v>0</v>
          </cell>
          <cell r="S3721">
            <v>0</v>
          </cell>
          <cell r="T3721">
            <v>0</v>
          </cell>
          <cell r="U3721">
            <v>0</v>
          </cell>
          <cell r="V3721">
            <v>0</v>
          </cell>
          <cell r="W3721">
            <v>0</v>
          </cell>
        </row>
        <row r="3722">
          <cell r="A3722" t="str">
            <v>453934</v>
          </cell>
          <cell r="B3722" t="str">
            <v>1251</v>
          </cell>
          <cell r="C3722" t="str">
            <v>12</v>
          </cell>
          <cell r="D3722" t="str">
            <v>01</v>
          </cell>
          <cell r="E3722">
            <v>120</v>
          </cell>
          <cell r="G3722">
            <v>0</v>
          </cell>
          <cell r="H3722">
            <v>0</v>
          </cell>
          <cell r="I3722">
            <v>0</v>
          </cell>
          <cell r="J3722">
            <v>87</v>
          </cell>
          <cell r="K3722">
            <v>4301</v>
          </cell>
          <cell r="L3722">
            <v>5931</v>
          </cell>
          <cell r="M3722">
            <v>0</v>
          </cell>
          <cell r="N3722">
            <v>0</v>
          </cell>
          <cell r="O3722">
            <v>0</v>
          </cell>
          <cell r="P3722">
            <v>0</v>
          </cell>
          <cell r="Q3722">
            <v>0</v>
          </cell>
          <cell r="R3722">
            <v>0</v>
          </cell>
          <cell r="S3722">
            <v>0</v>
          </cell>
          <cell r="T3722">
            <v>0</v>
          </cell>
          <cell r="U3722">
            <v>0</v>
          </cell>
          <cell r="V3722">
            <v>0</v>
          </cell>
          <cell r="W3722">
            <v>0</v>
          </cell>
        </row>
        <row r="3723">
          <cell r="A3723" t="str">
            <v>453934</v>
          </cell>
          <cell r="B3723" t="str">
            <v>1251</v>
          </cell>
          <cell r="C3723" t="str">
            <v>12</v>
          </cell>
          <cell r="D3723" t="str">
            <v>02</v>
          </cell>
          <cell r="E3723">
            <v>1</v>
          </cell>
          <cell r="G3723">
            <v>11870</v>
          </cell>
          <cell r="H3723">
            <v>11719</v>
          </cell>
          <cell r="I3723">
            <v>11718</v>
          </cell>
          <cell r="J3723">
            <v>0</v>
          </cell>
          <cell r="K3723">
            <v>0</v>
          </cell>
          <cell r="L3723">
            <v>0</v>
          </cell>
          <cell r="M3723">
            <v>0</v>
          </cell>
          <cell r="N3723">
            <v>0</v>
          </cell>
          <cell r="O3723">
            <v>0</v>
          </cell>
          <cell r="P3723">
            <v>500</v>
          </cell>
          <cell r="Q3723">
            <v>429</v>
          </cell>
          <cell r="R3723">
            <v>429</v>
          </cell>
          <cell r="S3723">
            <v>0</v>
          </cell>
          <cell r="T3723">
            <v>0</v>
          </cell>
          <cell r="U3723">
            <v>0</v>
          </cell>
          <cell r="V3723">
            <v>0</v>
          </cell>
          <cell r="W3723">
            <v>0</v>
          </cell>
        </row>
        <row r="3724">
          <cell r="A3724" t="str">
            <v>453934</v>
          </cell>
          <cell r="B3724" t="str">
            <v>1251</v>
          </cell>
          <cell r="C3724" t="str">
            <v>12</v>
          </cell>
          <cell r="D3724" t="str">
            <v>02</v>
          </cell>
          <cell r="E3724">
            <v>6</v>
          </cell>
          <cell r="G3724">
            <v>0</v>
          </cell>
          <cell r="H3724">
            <v>0</v>
          </cell>
          <cell r="I3724">
            <v>0</v>
          </cell>
          <cell r="J3724">
            <v>12370</v>
          </cell>
          <cell r="K3724">
            <v>12148</v>
          </cell>
          <cell r="L3724">
            <v>12147</v>
          </cell>
          <cell r="M3724">
            <v>372</v>
          </cell>
          <cell r="N3724">
            <v>624</v>
          </cell>
          <cell r="O3724">
            <v>625</v>
          </cell>
          <cell r="P3724">
            <v>12742</v>
          </cell>
          <cell r="Q3724">
            <v>12772</v>
          </cell>
          <cell r="R3724">
            <v>12772</v>
          </cell>
          <cell r="S3724">
            <v>0</v>
          </cell>
          <cell r="T3724">
            <v>0</v>
          </cell>
          <cell r="U3724">
            <v>0</v>
          </cell>
          <cell r="V3724">
            <v>0</v>
          </cell>
          <cell r="W3724">
            <v>0</v>
          </cell>
        </row>
        <row r="3725">
          <cell r="A3725" t="str">
            <v>453934</v>
          </cell>
          <cell r="B3725" t="str">
            <v>1251</v>
          </cell>
          <cell r="C3725" t="str">
            <v>12</v>
          </cell>
          <cell r="D3725" t="str">
            <v>02</v>
          </cell>
          <cell r="E3725">
            <v>11</v>
          </cell>
          <cell r="G3725">
            <v>0</v>
          </cell>
          <cell r="H3725">
            <v>0</v>
          </cell>
          <cell r="I3725">
            <v>0</v>
          </cell>
          <cell r="J3725">
            <v>0</v>
          </cell>
          <cell r="K3725">
            <v>0</v>
          </cell>
          <cell r="L3725">
            <v>0</v>
          </cell>
          <cell r="M3725">
            <v>0</v>
          </cell>
          <cell r="N3725">
            <v>0</v>
          </cell>
          <cell r="O3725">
            <v>0</v>
          </cell>
          <cell r="P3725">
            <v>0</v>
          </cell>
          <cell r="Q3725">
            <v>0</v>
          </cell>
          <cell r="R3725">
            <v>0</v>
          </cell>
          <cell r="S3725">
            <v>0</v>
          </cell>
          <cell r="T3725">
            <v>0</v>
          </cell>
          <cell r="U3725">
            <v>0</v>
          </cell>
          <cell r="V3725">
            <v>0</v>
          </cell>
          <cell r="W3725">
            <v>0</v>
          </cell>
        </row>
        <row r="3726">
          <cell r="A3726" t="str">
            <v>453934</v>
          </cell>
          <cell r="B3726" t="str">
            <v>1251</v>
          </cell>
          <cell r="C3726" t="str">
            <v>12</v>
          </cell>
          <cell r="D3726" t="str">
            <v>02</v>
          </cell>
          <cell r="E3726">
            <v>16</v>
          </cell>
          <cell r="G3726">
            <v>0</v>
          </cell>
          <cell r="H3726">
            <v>0</v>
          </cell>
          <cell r="I3726">
            <v>0</v>
          </cell>
          <cell r="J3726">
            <v>182</v>
          </cell>
          <cell r="K3726">
            <v>0</v>
          </cell>
          <cell r="L3726">
            <v>0</v>
          </cell>
          <cell r="M3726">
            <v>0</v>
          </cell>
          <cell r="N3726">
            <v>0</v>
          </cell>
          <cell r="O3726">
            <v>0</v>
          </cell>
          <cell r="P3726">
            <v>0</v>
          </cell>
          <cell r="Q3726">
            <v>0</v>
          </cell>
          <cell r="R3726">
            <v>0</v>
          </cell>
          <cell r="S3726">
            <v>0</v>
          </cell>
          <cell r="T3726">
            <v>0</v>
          </cell>
          <cell r="U3726">
            <v>0</v>
          </cell>
          <cell r="V3726">
            <v>0</v>
          </cell>
          <cell r="W3726">
            <v>0</v>
          </cell>
        </row>
        <row r="3727">
          <cell r="A3727" t="str">
            <v>453934</v>
          </cell>
          <cell r="B3727" t="str">
            <v>1251</v>
          </cell>
          <cell r="C3727" t="str">
            <v>12</v>
          </cell>
          <cell r="D3727" t="str">
            <v>02</v>
          </cell>
          <cell r="E3727">
            <v>21</v>
          </cell>
          <cell r="G3727">
            <v>0</v>
          </cell>
          <cell r="H3727">
            <v>0</v>
          </cell>
          <cell r="I3727">
            <v>0</v>
          </cell>
          <cell r="J3727">
            <v>103</v>
          </cell>
          <cell r="K3727">
            <v>118</v>
          </cell>
          <cell r="L3727">
            <v>119</v>
          </cell>
          <cell r="M3727">
            <v>103</v>
          </cell>
          <cell r="N3727">
            <v>118</v>
          </cell>
          <cell r="O3727">
            <v>119</v>
          </cell>
          <cell r="P3727">
            <v>116</v>
          </cell>
          <cell r="Q3727">
            <v>0</v>
          </cell>
          <cell r="R3727">
            <v>0</v>
          </cell>
          <cell r="S3727">
            <v>219</v>
          </cell>
          <cell r="T3727">
            <v>118</v>
          </cell>
          <cell r="U3727">
            <v>119</v>
          </cell>
          <cell r="V3727">
            <v>0</v>
          </cell>
          <cell r="W3727">
            <v>0</v>
          </cell>
        </row>
        <row r="3728">
          <cell r="A3728" t="str">
            <v>453934</v>
          </cell>
          <cell r="B3728" t="str">
            <v>1251</v>
          </cell>
          <cell r="C3728" t="str">
            <v>12</v>
          </cell>
          <cell r="D3728" t="str">
            <v>02</v>
          </cell>
          <cell r="E3728">
            <v>26</v>
          </cell>
          <cell r="G3728">
            <v>0</v>
          </cell>
          <cell r="H3728">
            <v>0</v>
          </cell>
          <cell r="I3728">
            <v>0</v>
          </cell>
          <cell r="J3728">
            <v>0</v>
          </cell>
          <cell r="K3728">
            <v>375</v>
          </cell>
          <cell r="L3728">
            <v>375</v>
          </cell>
          <cell r="M3728">
            <v>14</v>
          </cell>
          <cell r="N3728">
            <v>0</v>
          </cell>
          <cell r="O3728">
            <v>0</v>
          </cell>
          <cell r="P3728">
            <v>220</v>
          </cell>
          <cell r="Q3728">
            <v>262</v>
          </cell>
          <cell r="R3728">
            <v>262</v>
          </cell>
          <cell r="S3728">
            <v>0</v>
          </cell>
          <cell r="T3728">
            <v>102</v>
          </cell>
          <cell r="U3728">
            <v>102</v>
          </cell>
          <cell r="V3728">
            <v>0</v>
          </cell>
          <cell r="W3728">
            <v>0</v>
          </cell>
        </row>
        <row r="3729">
          <cell r="A3729" t="str">
            <v>453934</v>
          </cell>
          <cell r="B3729" t="str">
            <v>1251</v>
          </cell>
          <cell r="C3729" t="str">
            <v>12</v>
          </cell>
          <cell r="D3729" t="str">
            <v>02</v>
          </cell>
          <cell r="E3729">
            <v>31</v>
          </cell>
          <cell r="G3729">
            <v>234</v>
          </cell>
          <cell r="H3729">
            <v>739</v>
          </cell>
          <cell r="I3729">
            <v>739</v>
          </cell>
          <cell r="J3729">
            <v>3</v>
          </cell>
          <cell r="K3729">
            <v>3</v>
          </cell>
          <cell r="L3729">
            <v>2</v>
          </cell>
          <cell r="M3729">
            <v>237</v>
          </cell>
          <cell r="N3729">
            <v>742</v>
          </cell>
          <cell r="O3729">
            <v>741</v>
          </cell>
          <cell r="P3729">
            <v>0</v>
          </cell>
          <cell r="Q3729">
            <v>40</v>
          </cell>
          <cell r="R3729">
            <v>40</v>
          </cell>
          <cell r="S3729">
            <v>0</v>
          </cell>
          <cell r="T3729">
            <v>0</v>
          </cell>
          <cell r="U3729">
            <v>0</v>
          </cell>
          <cell r="V3729">
            <v>0</v>
          </cell>
          <cell r="W3729">
            <v>0</v>
          </cell>
        </row>
        <row r="3730">
          <cell r="A3730" t="str">
            <v>453934</v>
          </cell>
          <cell r="B3730" t="str">
            <v>1251</v>
          </cell>
          <cell r="C3730" t="str">
            <v>12</v>
          </cell>
          <cell r="D3730" t="str">
            <v>02</v>
          </cell>
          <cell r="E3730">
            <v>36</v>
          </cell>
          <cell r="G3730">
            <v>0</v>
          </cell>
          <cell r="H3730">
            <v>40</v>
          </cell>
          <cell r="I3730">
            <v>40</v>
          </cell>
          <cell r="J3730">
            <v>0</v>
          </cell>
          <cell r="K3730">
            <v>0</v>
          </cell>
          <cell r="L3730">
            <v>0</v>
          </cell>
          <cell r="M3730">
            <v>0</v>
          </cell>
          <cell r="N3730">
            <v>0</v>
          </cell>
          <cell r="O3730">
            <v>0</v>
          </cell>
          <cell r="P3730">
            <v>0</v>
          </cell>
          <cell r="Q3730">
            <v>0</v>
          </cell>
          <cell r="R3730">
            <v>0</v>
          </cell>
          <cell r="S3730">
            <v>337</v>
          </cell>
          <cell r="T3730">
            <v>897</v>
          </cell>
          <cell r="U3730">
            <v>898</v>
          </cell>
          <cell r="V3730">
            <v>0</v>
          </cell>
          <cell r="W3730">
            <v>0</v>
          </cell>
        </row>
        <row r="3731">
          <cell r="A3731" t="str">
            <v>453934</v>
          </cell>
          <cell r="B3731" t="str">
            <v>1251</v>
          </cell>
          <cell r="C3731" t="str">
            <v>12</v>
          </cell>
          <cell r="D3731" t="str">
            <v>02</v>
          </cell>
          <cell r="E3731">
            <v>41</v>
          </cell>
          <cell r="G3731">
            <v>119</v>
          </cell>
          <cell r="H3731">
            <v>3</v>
          </cell>
          <cell r="I3731">
            <v>2</v>
          </cell>
          <cell r="J3731">
            <v>638</v>
          </cell>
          <cell r="K3731">
            <v>900</v>
          </cell>
          <cell r="L3731">
            <v>900</v>
          </cell>
          <cell r="M3731">
            <v>421</v>
          </cell>
          <cell r="N3731">
            <v>469</v>
          </cell>
          <cell r="O3731">
            <v>469</v>
          </cell>
          <cell r="P3731">
            <v>0</v>
          </cell>
          <cell r="Q3731">
            <v>0</v>
          </cell>
          <cell r="R3731">
            <v>0</v>
          </cell>
          <cell r="S3731">
            <v>0</v>
          </cell>
          <cell r="T3731">
            <v>0</v>
          </cell>
          <cell r="U3731">
            <v>0</v>
          </cell>
          <cell r="V3731">
            <v>0</v>
          </cell>
          <cell r="W3731">
            <v>0</v>
          </cell>
        </row>
        <row r="3732">
          <cell r="A3732" t="str">
            <v>453934</v>
          </cell>
          <cell r="B3732" t="str">
            <v>1251</v>
          </cell>
          <cell r="C3732" t="str">
            <v>12</v>
          </cell>
          <cell r="D3732" t="str">
            <v>02</v>
          </cell>
          <cell r="E3732">
            <v>46</v>
          </cell>
          <cell r="G3732">
            <v>0</v>
          </cell>
          <cell r="H3732">
            <v>0</v>
          </cell>
          <cell r="I3732">
            <v>0</v>
          </cell>
          <cell r="J3732">
            <v>0</v>
          </cell>
          <cell r="K3732">
            <v>0</v>
          </cell>
          <cell r="L3732">
            <v>0</v>
          </cell>
          <cell r="M3732">
            <v>0</v>
          </cell>
          <cell r="N3732">
            <v>0</v>
          </cell>
          <cell r="O3732">
            <v>0</v>
          </cell>
          <cell r="P3732">
            <v>421</v>
          </cell>
          <cell r="Q3732">
            <v>469</v>
          </cell>
          <cell r="R3732">
            <v>469</v>
          </cell>
          <cell r="S3732">
            <v>13801</v>
          </cell>
          <cell r="T3732">
            <v>14141</v>
          </cell>
          <cell r="U3732">
            <v>14141</v>
          </cell>
          <cell r="V3732">
            <v>0</v>
          </cell>
          <cell r="W3732">
            <v>0</v>
          </cell>
        </row>
        <row r="3733">
          <cell r="A3733" t="str">
            <v>453934</v>
          </cell>
          <cell r="B3733" t="str">
            <v>1251</v>
          </cell>
          <cell r="C3733" t="str">
            <v>12</v>
          </cell>
          <cell r="D3733" t="str">
            <v>02</v>
          </cell>
          <cell r="E3733">
            <v>51</v>
          </cell>
          <cell r="G3733">
            <v>3934</v>
          </cell>
          <cell r="H3733">
            <v>3934</v>
          </cell>
          <cell r="I3733">
            <v>3874</v>
          </cell>
          <cell r="J3733">
            <v>394</v>
          </cell>
          <cell r="K3733">
            <v>401</v>
          </cell>
          <cell r="L3733">
            <v>401</v>
          </cell>
          <cell r="M3733">
            <v>160</v>
          </cell>
          <cell r="N3733">
            <v>174</v>
          </cell>
          <cell r="O3733">
            <v>174</v>
          </cell>
          <cell r="P3733">
            <v>0</v>
          </cell>
          <cell r="Q3733">
            <v>10</v>
          </cell>
          <cell r="R3733">
            <v>9</v>
          </cell>
          <cell r="S3733">
            <v>0</v>
          </cell>
          <cell r="T3733">
            <v>0</v>
          </cell>
          <cell r="U3733">
            <v>0</v>
          </cell>
          <cell r="V3733">
            <v>0</v>
          </cell>
          <cell r="W3733">
            <v>0</v>
          </cell>
        </row>
        <row r="3734">
          <cell r="A3734" t="str">
            <v>453934</v>
          </cell>
          <cell r="B3734" t="str">
            <v>1251</v>
          </cell>
          <cell r="C3734" t="str">
            <v>12</v>
          </cell>
          <cell r="D3734" t="str">
            <v>02</v>
          </cell>
          <cell r="E3734">
            <v>56</v>
          </cell>
          <cell r="G3734">
            <v>0</v>
          </cell>
          <cell r="H3734">
            <v>0</v>
          </cell>
          <cell r="I3734">
            <v>0</v>
          </cell>
          <cell r="J3734">
            <v>4488</v>
          </cell>
          <cell r="K3734">
            <v>4519</v>
          </cell>
          <cell r="L3734">
            <v>4458</v>
          </cell>
          <cell r="M3734">
            <v>0</v>
          </cell>
          <cell r="N3734">
            <v>0</v>
          </cell>
          <cell r="O3734">
            <v>0</v>
          </cell>
          <cell r="P3734">
            <v>0</v>
          </cell>
          <cell r="Q3734">
            <v>0</v>
          </cell>
          <cell r="R3734">
            <v>0</v>
          </cell>
          <cell r="S3734">
            <v>0</v>
          </cell>
          <cell r="T3734">
            <v>0</v>
          </cell>
          <cell r="U3734">
            <v>0</v>
          </cell>
          <cell r="V3734">
            <v>0</v>
          </cell>
          <cell r="W3734">
            <v>0</v>
          </cell>
        </row>
        <row r="3735">
          <cell r="A3735" t="str">
            <v>453934</v>
          </cell>
          <cell r="B3735" t="str">
            <v>1251</v>
          </cell>
          <cell r="C3735" t="str">
            <v>12</v>
          </cell>
          <cell r="D3735" t="str">
            <v>03</v>
          </cell>
          <cell r="E3735">
            <v>1</v>
          </cell>
          <cell r="G3735">
            <v>0</v>
          </cell>
          <cell r="H3735">
            <v>0</v>
          </cell>
          <cell r="I3735">
            <v>0</v>
          </cell>
          <cell r="J3735">
            <v>450</v>
          </cell>
          <cell r="K3735">
            <v>450</v>
          </cell>
          <cell r="L3735">
            <v>119</v>
          </cell>
          <cell r="M3735">
            <v>0</v>
          </cell>
          <cell r="N3735">
            <v>0</v>
          </cell>
          <cell r="O3735">
            <v>0</v>
          </cell>
          <cell r="P3735">
            <v>100</v>
          </cell>
          <cell r="Q3735">
            <v>100</v>
          </cell>
          <cell r="R3735">
            <v>64</v>
          </cell>
          <cell r="S3735">
            <v>0</v>
          </cell>
          <cell r="T3735">
            <v>0</v>
          </cell>
          <cell r="U3735">
            <v>0</v>
          </cell>
          <cell r="V3735">
            <v>0</v>
          </cell>
          <cell r="W3735">
            <v>0</v>
          </cell>
        </row>
        <row r="3736">
          <cell r="A3736" t="str">
            <v>453934</v>
          </cell>
          <cell r="B3736" t="str">
            <v>1251</v>
          </cell>
          <cell r="C3736" t="str">
            <v>12</v>
          </cell>
          <cell r="D3736" t="str">
            <v>03</v>
          </cell>
          <cell r="E3736">
            <v>6</v>
          </cell>
          <cell r="G3736">
            <v>0</v>
          </cell>
          <cell r="H3736">
            <v>0</v>
          </cell>
          <cell r="I3736">
            <v>0</v>
          </cell>
          <cell r="J3736">
            <v>0</v>
          </cell>
          <cell r="K3736">
            <v>0</v>
          </cell>
          <cell r="L3736">
            <v>0</v>
          </cell>
          <cell r="M3736">
            <v>0</v>
          </cell>
          <cell r="N3736">
            <v>0</v>
          </cell>
          <cell r="O3736">
            <v>0</v>
          </cell>
          <cell r="P3736">
            <v>0</v>
          </cell>
          <cell r="Q3736">
            <v>0</v>
          </cell>
          <cell r="R3736">
            <v>0</v>
          </cell>
          <cell r="S3736">
            <v>1200</v>
          </cell>
          <cell r="T3736">
            <v>1875</v>
          </cell>
          <cell r="U3736">
            <v>1023</v>
          </cell>
          <cell r="V3736">
            <v>0</v>
          </cell>
          <cell r="W3736">
            <v>0</v>
          </cell>
        </row>
        <row r="3737">
          <cell r="A3737" t="str">
            <v>453934</v>
          </cell>
          <cell r="B3737" t="str">
            <v>1251</v>
          </cell>
          <cell r="C3737" t="str">
            <v>12</v>
          </cell>
          <cell r="D3737" t="str">
            <v>03</v>
          </cell>
          <cell r="E3737">
            <v>11</v>
          </cell>
          <cell r="G3737">
            <v>100</v>
          </cell>
          <cell r="H3737">
            <v>1231</v>
          </cell>
          <cell r="I3737">
            <v>145</v>
          </cell>
          <cell r="J3737">
            <v>0</v>
          </cell>
          <cell r="K3737">
            <v>100</v>
          </cell>
          <cell r="L3737">
            <v>84</v>
          </cell>
          <cell r="M3737">
            <v>100</v>
          </cell>
          <cell r="N3737">
            <v>119</v>
          </cell>
          <cell r="O3737">
            <v>21</v>
          </cell>
          <cell r="P3737">
            <v>1950</v>
          </cell>
          <cell r="Q3737">
            <v>3875</v>
          </cell>
          <cell r="R3737">
            <v>1456</v>
          </cell>
          <cell r="S3737">
            <v>200</v>
          </cell>
          <cell r="T3737">
            <v>200</v>
          </cell>
          <cell r="U3737">
            <v>0</v>
          </cell>
          <cell r="V3737">
            <v>0</v>
          </cell>
          <cell r="W3737">
            <v>0</v>
          </cell>
        </row>
        <row r="3738">
          <cell r="A3738" t="str">
            <v>453934</v>
          </cell>
          <cell r="B3738" t="str">
            <v>1251</v>
          </cell>
          <cell r="C3738" t="str">
            <v>12</v>
          </cell>
          <cell r="D3738" t="str">
            <v>03</v>
          </cell>
          <cell r="E3738">
            <v>16</v>
          </cell>
          <cell r="G3738">
            <v>0</v>
          </cell>
          <cell r="H3738">
            <v>0</v>
          </cell>
          <cell r="I3738">
            <v>0</v>
          </cell>
          <cell r="J3738">
            <v>0</v>
          </cell>
          <cell r="K3738">
            <v>0</v>
          </cell>
          <cell r="L3738">
            <v>0</v>
          </cell>
          <cell r="M3738">
            <v>200</v>
          </cell>
          <cell r="N3738">
            <v>200</v>
          </cell>
          <cell r="O3738">
            <v>0</v>
          </cell>
          <cell r="P3738">
            <v>0</v>
          </cell>
          <cell r="Q3738">
            <v>0</v>
          </cell>
          <cell r="R3738">
            <v>0</v>
          </cell>
          <cell r="S3738">
            <v>1220</v>
          </cell>
          <cell r="T3738">
            <v>1234</v>
          </cell>
          <cell r="U3738">
            <v>1233</v>
          </cell>
          <cell r="V3738">
            <v>0</v>
          </cell>
          <cell r="W3738">
            <v>0</v>
          </cell>
        </row>
        <row r="3739">
          <cell r="A3739" t="str">
            <v>453934</v>
          </cell>
          <cell r="B3739" t="str">
            <v>1251</v>
          </cell>
          <cell r="C3739" t="str">
            <v>12</v>
          </cell>
          <cell r="D3739" t="str">
            <v>03</v>
          </cell>
          <cell r="E3739">
            <v>21</v>
          </cell>
          <cell r="G3739">
            <v>0</v>
          </cell>
          <cell r="H3739">
            <v>0</v>
          </cell>
          <cell r="I3739">
            <v>0</v>
          </cell>
          <cell r="J3739">
            <v>0</v>
          </cell>
          <cell r="K3739">
            <v>0</v>
          </cell>
          <cell r="L3739">
            <v>0</v>
          </cell>
          <cell r="M3739">
            <v>0</v>
          </cell>
          <cell r="N3739">
            <v>0</v>
          </cell>
          <cell r="O3739">
            <v>0</v>
          </cell>
          <cell r="P3739">
            <v>0</v>
          </cell>
          <cell r="Q3739">
            <v>0</v>
          </cell>
          <cell r="R3739">
            <v>0</v>
          </cell>
          <cell r="S3739">
            <v>0</v>
          </cell>
          <cell r="T3739">
            <v>0</v>
          </cell>
          <cell r="U3739">
            <v>0</v>
          </cell>
          <cell r="V3739">
            <v>0</v>
          </cell>
          <cell r="W3739">
            <v>0</v>
          </cell>
        </row>
        <row r="3740">
          <cell r="A3740" t="str">
            <v>453934</v>
          </cell>
          <cell r="B3740" t="str">
            <v>1251</v>
          </cell>
          <cell r="C3740" t="str">
            <v>12</v>
          </cell>
          <cell r="D3740" t="str">
            <v>03</v>
          </cell>
          <cell r="E3740">
            <v>26</v>
          </cell>
          <cell r="G3740">
            <v>0</v>
          </cell>
          <cell r="H3740">
            <v>0</v>
          </cell>
          <cell r="I3740">
            <v>0</v>
          </cell>
          <cell r="J3740">
            <v>400</v>
          </cell>
          <cell r="K3740">
            <v>400</v>
          </cell>
          <cell r="L3740">
            <v>139</v>
          </cell>
          <cell r="M3740">
            <v>250</v>
          </cell>
          <cell r="N3740">
            <v>250</v>
          </cell>
          <cell r="O3740">
            <v>118</v>
          </cell>
          <cell r="P3740">
            <v>0</v>
          </cell>
          <cell r="Q3740">
            <v>0</v>
          </cell>
          <cell r="R3740">
            <v>0</v>
          </cell>
          <cell r="S3740">
            <v>0</v>
          </cell>
          <cell r="T3740">
            <v>0</v>
          </cell>
          <cell r="U3740">
            <v>0</v>
          </cell>
          <cell r="V3740">
            <v>0</v>
          </cell>
          <cell r="W3740">
            <v>0</v>
          </cell>
        </row>
        <row r="3741">
          <cell r="A3741" t="str">
            <v>453934</v>
          </cell>
          <cell r="B3741" t="str">
            <v>1251</v>
          </cell>
          <cell r="C3741" t="str">
            <v>12</v>
          </cell>
          <cell r="D3741" t="str">
            <v>03</v>
          </cell>
          <cell r="E3741">
            <v>31</v>
          </cell>
          <cell r="G3741">
            <v>1870</v>
          </cell>
          <cell r="H3741">
            <v>1884</v>
          </cell>
          <cell r="I3741">
            <v>1490</v>
          </cell>
          <cell r="J3741">
            <v>0</v>
          </cell>
          <cell r="K3741">
            <v>0</v>
          </cell>
          <cell r="L3741">
            <v>0</v>
          </cell>
          <cell r="M3741">
            <v>641</v>
          </cell>
          <cell r="N3741">
            <v>1133</v>
          </cell>
          <cell r="O3741">
            <v>285</v>
          </cell>
          <cell r="P3741">
            <v>0</v>
          </cell>
          <cell r="Q3741">
            <v>0</v>
          </cell>
          <cell r="R3741">
            <v>0</v>
          </cell>
          <cell r="S3741">
            <v>0</v>
          </cell>
          <cell r="T3741">
            <v>0</v>
          </cell>
          <cell r="U3741">
            <v>0</v>
          </cell>
          <cell r="V3741">
            <v>0</v>
          </cell>
          <cell r="W3741">
            <v>0</v>
          </cell>
        </row>
        <row r="3742">
          <cell r="A3742" t="str">
            <v>453934</v>
          </cell>
          <cell r="B3742" t="str">
            <v>1251</v>
          </cell>
          <cell r="C3742" t="str">
            <v>12</v>
          </cell>
          <cell r="D3742" t="str">
            <v>03</v>
          </cell>
          <cell r="E3742">
            <v>36</v>
          </cell>
          <cell r="G3742">
            <v>641</v>
          </cell>
          <cell r="H3742">
            <v>1133</v>
          </cell>
          <cell r="I3742">
            <v>285</v>
          </cell>
          <cell r="J3742">
            <v>0</v>
          </cell>
          <cell r="K3742">
            <v>0</v>
          </cell>
          <cell r="L3742">
            <v>0</v>
          </cell>
          <cell r="M3742">
            <v>0</v>
          </cell>
          <cell r="N3742">
            <v>0</v>
          </cell>
          <cell r="O3742">
            <v>0</v>
          </cell>
          <cell r="P3742">
            <v>0</v>
          </cell>
          <cell r="Q3742">
            <v>0</v>
          </cell>
          <cell r="R3742">
            <v>0</v>
          </cell>
          <cell r="S3742">
            <v>0</v>
          </cell>
          <cell r="T3742">
            <v>0</v>
          </cell>
          <cell r="U3742">
            <v>0</v>
          </cell>
          <cell r="V3742">
            <v>0</v>
          </cell>
          <cell r="W3742">
            <v>0</v>
          </cell>
        </row>
        <row r="3743">
          <cell r="A3743" t="str">
            <v>453934</v>
          </cell>
          <cell r="B3743" t="str">
            <v>1251</v>
          </cell>
          <cell r="C3743" t="str">
            <v>12</v>
          </cell>
          <cell r="D3743" t="str">
            <v>03</v>
          </cell>
          <cell r="E3743">
            <v>41</v>
          </cell>
          <cell r="G3743">
            <v>0</v>
          </cell>
          <cell r="H3743">
            <v>0</v>
          </cell>
          <cell r="I3743">
            <v>0</v>
          </cell>
          <cell r="J3743">
            <v>0</v>
          </cell>
          <cell r="K3743">
            <v>0</v>
          </cell>
          <cell r="L3743">
            <v>0</v>
          </cell>
          <cell r="M3743">
            <v>561</v>
          </cell>
          <cell r="N3743">
            <v>561</v>
          </cell>
          <cell r="O3743">
            <v>30</v>
          </cell>
          <cell r="P3743">
            <v>5222</v>
          </cell>
          <cell r="Q3743">
            <v>7653</v>
          </cell>
          <cell r="R3743">
            <v>3261</v>
          </cell>
          <cell r="S3743">
            <v>0</v>
          </cell>
          <cell r="T3743">
            <v>0</v>
          </cell>
          <cell r="U3743">
            <v>0</v>
          </cell>
          <cell r="V3743">
            <v>0</v>
          </cell>
          <cell r="W3743">
            <v>0</v>
          </cell>
        </row>
        <row r="3744">
          <cell r="A3744" t="str">
            <v>453934</v>
          </cell>
          <cell r="B3744" t="str">
            <v>1251</v>
          </cell>
          <cell r="C3744" t="str">
            <v>12</v>
          </cell>
          <cell r="D3744" t="str">
            <v>03</v>
          </cell>
          <cell r="E3744">
            <v>46</v>
          </cell>
          <cell r="G3744">
            <v>0</v>
          </cell>
          <cell r="H3744">
            <v>0</v>
          </cell>
          <cell r="I3744">
            <v>0</v>
          </cell>
          <cell r="J3744">
            <v>0</v>
          </cell>
          <cell r="K3744">
            <v>0</v>
          </cell>
          <cell r="L3744">
            <v>0</v>
          </cell>
          <cell r="M3744">
            <v>0</v>
          </cell>
          <cell r="N3744">
            <v>0</v>
          </cell>
          <cell r="O3744">
            <v>0</v>
          </cell>
          <cell r="P3744">
            <v>0</v>
          </cell>
          <cell r="Q3744">
            <v>0</v>
          </cell>
          <cell r="R3744">
            <v>0</v>
          </cell>
          <cell r="S3744">
            <v>0</v>
          </cell>
          <cell r="T3744">
            <v>0</v>
          </cell>
          <cell r="U3744">
            <v>0</v>
          </cell>
          <cell r="V3744">
            <v>0</v>
          </cell>
          <cell r="W3744">
            <v>0</v>
          </cell>
        </row>
        <row r="3745">
          <cell r="A3745" t="str">
            <v>453934</v>
          </cell>
          <cell r="B3745" t="str">
            <v>1251</v>
          </cell>
          <cell r="C3745" t="str">
            <v>12</v>
          </cell>
          <cell r="D3745" t="str">
            <v>03</v>
          </cell>
          <cell r="E3745">
            <v>51</v>
          </cell>
          <cell r="G3745">
            <v>0</v>
          </cell>
          <cell r="H3745">
            <v>0</v>
          </cell>
          <cell r="I3745">
            <v>0</v>
          </cell>
          <cell r="J3745">
            <v>0</v>
          </cell>
          <cell r="K3745">
            <v>0</v>
          </cell>
          <cell r="L3745">
            <v>0</v>
          </cell>
          <cell r="M3745">
            <v>0</v>
          </cell>
          <cell r="N3745">
            <v>0</v>
          </cell>
          <cell r="O3745">
            <v>0</v>
          </cell>
          <cell r="P3745">
            <v>0</v>
          </cell>
          <cell r="Q3745">
            <v>0</v>
          </cell>
          <cell r="R3745">
            <v>0</v>
          </cell>
          <cell r="S3745">
            <v>150</v>
          </cell>
          <cell r="T3745">
            <v>150</v>
          </cell>
          <cell r="U3745">
            <v>60</v>
          </cell>
          <cell r="V3745">
            <v>0</v>
          </cell>
          <cell r="W3745">
            <v>0</v>
          </cell>
        </row>
        <row r="3746">
          <cell r="A3746" t="str">
            <v>453934</v>
          </cell>
          <cell r="B3746" t="str">
            <v>1251</v>
          </cell>
          <cell r="C3746" t="str">
            <v>12</v>
          </cell>
          <cell r="D3746" t="str">
            <v>03</v>
          </cell>
          <cell r="E3746">
            <v>56</v>
          </cell>
          <cell r="G3746">
            <v>150</v>
          </cell>
          <cell r="H3746">
            <v>150</v>
          </cell>
          <cell r="I3746">
            <v>60</v>
          </cell>
          <cell r="J3746">
            <v>0</v>
          </cell>
          <cell r="K3746">
            <v>0</v>
          </cell>
          <cell r="L3746">
            <v>0</v>
          </cell>
          <cell r="M3746">
            <v>0</v>
          </cell>
          <cell r="N3746">
            <v>0</v>
          </cell>
          <cell r="O3746">
            <v>0</v>
          </cell>
          <cell r="P3746">
            <v>0</v>
          </cell>
          <cell r="Q3746">
            <v>0</v>
          </cell>
          <cell r="R3746">
            <v>0</v>
          </cell>
          <cell r="S3746">
            <v>0</v>
          </cell>
          <cell r="T3746">
            <v>0</v>
          </cell>
          <cell r="U3746">
            <v>0</v>
          </cell>
          <cell r="V3746">
            <v>0</v>
          </cell>
          <cell r="W3746">
            <v>0</v>
          </cell>
        </row>
        <row r="3747">
          <cell r="A3747" t="str">
            <v>453934</v>
          </cell>
          <cell r="B3747" t="str">
            <v>1251</v>
          </cell>
          <cell r="C3747" t="str">
            <v>12</v>
          </cell>
          <cell r="D3747" t="str">
            <v>03</v>
          </cell>
          <cell r="E3747">
            <v>61</v>
          </cell>
          <cell r="G3747">
            <v>150</v>
          </cell>
          <cell r="H3747">
            <v>150</v>
          </cell>
          <cell r="I3747">
            <v>60</v>
          </cell>
          <cell r="J3747">
            <v>5372</v>
          </cell>
          <cell r="K3747">
            <v>7803</v>
          </cell>
          <cell r="L3747">
            <v>3321</v>
          </cell>
          <cell r="M3747">
            <v>0</v>
          </cell>
          <cell r="N3747">
            <v>0</v>
          </cell>
          <cell r="O3747">
            <v>0</v>
          </cell>
          <cell r="P3747">
            <v>0</v>
          </cell>
          <cell r="Q3747">
            <v>0</v>
          </cell>
          <cell r="R3747">
            <v>0</v>
          </cell>
          <cell r="S3747">
            <v>0</v>
          </cell>
          <cell r="T3747">
            <v>0</v>
          </cell>
          <cell r="U3747">
            <v>0</v>
          </cell>
          <cell r="V3747">
            <v>0</v>
          </cell>
          <cell r="W3747">
            <v>0</v>
          </cell>
        </row>
        <row r="3748">
          <cell r="A3748" t="str">
            <v>453934</v>
          </cell>
          <cell r="B3748" t="str">
            <v>1251</v>
          </cell>
          <cell r="C3748" t="str">
            <v>12</v>
          </cell>
          <cell r="D3748" t="str">
            <v>05</v>
          </cell>
          <cell r="E3748">
            <v>1</v>
          </cell>
          <cell r="G3748">
            <v>0</v>
          </cell>
          <cell r="H3748">
            <v>0</v>
          </cell>
          <cell r="I3748">
            <v>0</v>
          </cell>
          <cell r="J3748">
            <v>0</v>
          </cell>
          <cell r="K3748">
            <v>0</v>
          </cell>
          <cell r="L3748">
            <v>0</v>
          </cell>
          <cell r="M3748">
            <v>0</v>
          </cell>
          <cell r="N3748">
            <v>0</v>
          </cell>
          <cell r="O3748">
            <v>0</v>
          </cell>
          <cell r="P3748">
            <v>0</v>
          </cell>
          <cell r="Q3748">
            <v>0</v>
          </cell>
          <cell r="R3748">
            <v>0</v>
          </cell>
          <cell r="S3748">
            <v>0</v>
          </cell>
          <cell r="T3748">
            <v>0</v>
          </cell>
          <cell r="U3748">
            <v>0</v>
          </cell>
          <cell r="V3748">
            <v>0</v>
          </cell>
          <cell r="W3748">
            <v>0</v>
          </cell>
        </row>
        <row r="3749">
          <cell r="A3749" t="str">
            <v>453934</v>
          </cell>
          <cell r="B3749" t="str">
            <v>1251</v>
          </cell>
          <cell r="C3749" t="str">
            <v>12</v>
          </cell>
          <cell r="D3749" t="str">
            <v>05</v>
          </cell>
          <cell r="E3749">
            <v>6</v>
          </cell>
          <cell r="G3749">
            <v>0</v>
          </cell>
          <cell r="H3749">
            <v>0</v>
          </cell>
          <cell r="I3749">
            <v>0</v>
          </cell>
          <cell r="J3749">
            <v>0</v>
          </cell>
          <cell r="K3749">
            <v>0</v>
          </cell>
          <cell r="L3749">
            <v>0</v>
          </cell>
          <cell r="M3749">
            <v>0</v>
          </cell>
          <cell r="N3749">
            <v>0</v>
          </cell>
          <cell r="O3749">
            <v>0</v>
          </cell>
          <cell r="P3749">
            <v>0</v>
          </cell>
          <cell r="Q3749">
            <v>0</v>
          </cell>
          <cell r="R3749">
            <v>0</v>
          </cell>
          <cell r="S3749">
            <v>0</v>
          </cell>
          <cell r="T3749">
            <v>414</v>
          </cell>
          <cell r="U3749">
            <v>413</v>
          </cell>
          <cell r="V3749">
            <v>0</v>
          </cell>
          <cell r="W3749">
            <v>0</v>
          </cell>
        </row>
        <row r="3750">
          <cell r="A3750" t="str">
            <v>453934</v>
          </cell>
          <cell r="B3750" t="str">
            <v>1251</v>
          </cell>
          <cell r="C3750" t="str">
            <v>12</v>
          </cell>
          <cell r="D3750" t="str">
            <v>05</v>
          </cell>
          <cell r="E3750">
            <v>11</v>
          </cell>
          <cell r="G3750">
            <v>0</v>
          </cell>
          <cell r="H3750">
            <v>0</v>
          </cell>
          <cell r="I3750">
            <v>0</v>
          </cell>
          <cell r="J3750">
            <v>0</v>
          </cell>
          <cell r="K3750">
            <v>0</v>
          </cell>
          <cell r="L3750">
            <v>0</v>
          </cell>
          <cell r="M3750">
            <v>0</v>
          </cell>
          <cell r="N3750">
            <v>414</v>
          </cell>
          <cell r="O3750">
            <v>413</v>
          </cell>
          <cell r="P3750">
            <v>0</v>
          </cell>
          <cell r="Q3750">
            <v>0</v>
          </cell>
          <cell r="R3750">
            <v>0</v>
          </cell>
          <cell r="S3750">
            <v>0</v>
          </cell>
          <cell r="T3750">
            <v>0</v>
          </cell>
          <cell r="U3750">
            <v>0</v>
          </cell>
          <cell r="V3750">
            <v>0</v>
          </cell>
          <cell r="W3750">
            <v>0</v>
          </cell>
        </row>
        <row r="3751">
          <cell r="A3751" t="str">
            <v>453934</v>
          </cell>
          <cell r="B3751" t="str">
            <v>1251</v>
          </cell>
          <cell r="C3751" t="str">
            <v>12</v>
          </cell>
          <cell r="D3751" t="str">
            <v>05</v>
          </cell>
          <cell r="E3751">
            <v>16</v>
          </cell>
          <cell r="G3751">
            <v>0</v>
          </cell>
          <cell r="H3751">
            <v>0</v>
          </cell>
          <cell r="I3751">
            <v>0</v>
          </cell>
          <cell r="J3751">
            <v>0</v>
          </cell>
          <cell r="K3751">
            <v>0</v>
          </cell>
          <cell r="L3751">
            <v>0</v>
          </cell>
          <cell r="M3751">
            <v>0</v>
          </cell>
          <cell r="N3751">
            <v>0</v>
          </cell>
          <cell r="O3751">
            <v>0</v>
          </cell>
          <cell r="P3751">
            <v>0</v>
          </cell>
          <cell r="Q3751">
            <v>0</v>
          </cell>
          <cell r="R3751">
            <v>0</v>
          </cell>
          <cell r="S3751">
            <v>0</v>
          </cell>
          <cell r="T3751">
            <v>0</v>
          </cell>
          <cell r="U3751">
            <v>0</v>
          </cell>
          <cell r="V3751">
            <v>0</v>
          </cell>
          <cell r="W3751">
            <v>0</v>
          </cell>
        </row>
        <row r="3752">
          <cell r="A3752" t="str">
            <v>453934</v>
          </cell>
          <cell r="B3752" t="str">
            <v>1251</v>
          </cell>
          <cell r="C3752" t="str">
            <v>12</v>
          </cell>
          <cell r="D3752" t="str">
            <v>05</v>
          </cell>
          <cell r="E3752">
            <v>21</v>
          </cell>
          <cell r="G3752">
            <v>0</v>
          </cell>
          <cell r="H3752">
            <v>0</v>
          </cell>
          <cell r="I3752">
            <v>0</v>
          </cell>
          <cell r="J3752">
            <v>0</v>
          </cell>
          <cell r="K3752">
            <v>0</v>
          </cell>
          <cell r="L3752">
            <v>0</v>
          </cell>
          <cell r="M3752">
            <v>0</v>
          </cell>
          <cell r="N3752">
            <v>0</v>
          </cell>
          <cell r="O3752">
            <v>0</v>
          </cell>
          <cell r="P3752">
            <v>0</v>
          </cell>
          <cell r="Q3752">
            <v>0</v>
          </cell>
          <cell r="R3752">
            <v>0</v>
          </cell>
          <cell r="S3752">
            <v>0</v>
          </cell>
          <cell r="T3752">
            <v>0</v>
          </cell>
          <cell r="U3752">
            <v>0</v>
          </cell>
          <cell r="V3752">
            <v>0</v>
          </cell>
          <cell r="W3752">
            <v>0</v>
          </cell>
        </row>
        <row r="3753">
          <cell r="A3753" t="str">
            <v>453934</v>
          </cell>
          <cell r="B3753" t="str">
            <v>1251</v>
          </cell>
          <cell r="C3753" t="str">
            <v>12</v>
          </cell>
          <cell r="D3753" t="str">
            <v>05</v>
          </cell>
          <cell r="E3753">
            <v>26</v>
          </cell>
          <cell r="G3753">
            <v>0</v>
          </cell>
          <cell r="H3753">
            <v>0</v>
          </cell>
          <cell r="I3753">
            <v>0</v>
          </cell>
          <cell r="J3753">
            <v>0</v>
          </cell>
          <cell r="K3753">
            <v>83</v>
          </cell>
          <cell r="L3753">
            <v>83</v>
          </cell>
          <cell r="M3753">
            <v>0</v>
          </cell>
          <cell r="N3753">
            <v>0</v>
          </cell>
          <cell r="O3753">
            <v>0</v>
          </cell>
          <cell r="P3753">
            <v>0</v>
          </cell>
          <cell r="Q3753">
            <v>0</v>
          </cell>
          <cell r="R3753">
            <v>0</v>
          </cell>
          <cell r="S3753">
            <v>0</v>
          </cell>
          <cell r="T3753">
            <v>0</v>
          </cell>
          <cell r="U3753">
            <v>0</v>
          </cell>
          <cell r="V3753">
            <v>0</v>
          </cell>
          <cell r="W3753">
            <v>0</v>
          </cell>
        </row>
        <row r="3754">
          <cell r="A3754" t="str">
            <v>453934</v>
          </cell>
          <cell r="B3754" t="str">
            <v>1251</v>
          </cell>
          <cell r="C3754" t="str">
            <v>12</v>
          </cell>
          <cell r="D3754" t="str">
            <v>05</v>
          </cell>
          <cell r="E3754">
            <v>31</v>
          </cell>
          <cell r="G3754">
            <v>0</v>
          </cell>
          <cell r="H3754">
            <v>0</v>
          </cell>
          <cell r="I3754">
            <v>0</v>
          </cell>
          <cell r="J3754">
            <v>0</v>
          </cell>
          <cell r="K3754">
            <v>83</v>
          </cell>
          <cell r="L3754">
            <v>83</v>
          </cell>
          <cell r="M3754">
            <v>0</v>
          </cell>
          <cell r="N3754">
            <v>497</v>
          </cell>
          <cell r="O3754">
            <v>496</v>
          </cell>
          <cell r="P3754">
            <v>0</v>
          </cell>
          <cell r="Q3754">
            <v>0</v>
          </cell>
          <cell r="R3754">
            <v>0</v>
          </cell>
          <cell r="S3754">
            <v>0</v>
          </cell>
          <cell r="T3754">
            <v>0</v>
          </cell>
          <cell r="U3754">
            <v>0</v>
          </cell>
          <cell r="V3754">
            <v>0</v>
          </cell>
          <cell r="W3754">
            <v>0</v>
          </cell>
        </row>
        <row r="3755">
          <cell r="A3755" t="str">
            <v>453934</v>
          </cell>
          <cell r="B3755" t="str">
            <v>1251</v>
          </cell>
          <cell r="C3755" t="str">
            <v>12</v>
          </cell>
          <cell r="D3755" t="str">
            <v>05</v>
          </cell>
          <cell r="E3755">
            <v>36</v>
          </cell>
          <cell r="G3755">
            <v>0</v>
          </cell>
          <cell r="H3755">
            <v>0</v>
          </cell>
          <cell r="I3755">
            <v>0</v>
          </cell>
          <cell r="J3755">
            <v>0</v>
          </cell>
          <cell r="K3755">
            <v>0</v>
          </cell>
          <cell r="L3755">
            <v>0</v>
          </cell>
          <cell r="M3755">
            <v>0</v>
          </cell>
          <cell r="N3755">
            <v>0</v>
          </cell>
          <cell r="O3755">
            <v>0</v>
          </cell>
          <cell r="P3755">
            <v>0</v>
          </cell>
          <cell r="Q3755">
            <v>497</v>
          </cell>
          <cell r="R3755">
            <v>496</v>
          </cell>
          <cell r="S3755">
            <v>0</v>
          </cell>
          <cell r="T3755">
            <v>0</v>
          </cell>
          <cell r="U3755">
            <v>0</v>
          </cell>
          <cell r="V3755">
            <v>0</v>
          </cell>
          <cell r="W3755">
            <v>0</v>
          </cell>
        </row>
        <row r="3756">
          <cell r="A3756" t="str">
            <v>453934</v>
          </cell>
          <cell r="B3756" t="str">
            <v>1251</v>
          </cell>
          <cell r="C3756" t="str">
            <v>12</v>
          </cell>
          <cell r="D3756" t="str">
            <v>06</v>
          </cell>
          <cell r="E3756">
            <v>1</v>
          </cell>
          <cell r="G3756">
            <v>0</v>
          </cell>
          <cell r="H3756">
            <v>0</v>
          </cell>
          <cell r="I3756">
            <v>0</v>
          </cell>
          <cell r="J3756">
            <v>0</v>
          </cell>
          <cell r="K3756">
            <v>0</v>
          </cell>
          <cell r="L3756">
            <v>0</v>
          </cell>
          <cell r="M3756">
            <v>0</v>
          </cell>
          <cell r="N3756">
            <v>0</v>
          </cell>
          <cell r="O3756">
            <v>0</v>
          </cell>
          <cell r="P3756">
            <v>0</v>
          </cell>
          <cell r="Q3756">
            <v>0</v>
          </cell>
          <cell r="R3756">
            <v>0</v>
          </cell>
          <cell r="S3756">
            <v>0</v>
          </cell>
          <cell r="T3756">
            <v>0</v>
          </cell>
          <cell r="U3756">
            <v>0</v>
          </cell>
          <cell r="V3756">
            <v>0</v>
          </cell>
          <cell r="W3756">
            <v>0</v>
          </cell>
        </row>
        <row r="3757">
          <cell r="A3757" t="str">
            <v>453934</v>
          </cell>
          <cell r="B3757" t="str">
            <v>1251</v>
          </cell>
          <cell r="C3757" t="str">
            <v>12</v>
          </cell>
          <cell r="D3757" t="str">
            <v>06</v>
          </cell>
          <cell r="E3757">
            <v>6</v>
          </cell>
          <cell r="G3757">
            <v>0</v>
          </cell>
          <cell r="H3757">
            <v>0</v>
          </cell>
          <cell r="I3757">
            <v>0</v>
          </cell>
          <cell r="J3757">
            <v>0</v>
          </cell>
          <cell r="K3757">
            <v>0</v>
          </cell>
          <cell r="L3757">
            <v>0</v>
          </cell>
          <cell r="M3757">
            <v>0</v>
          </cell>
          <cell r="N3757">
            <v>0</v>
          </cell>
          <cell r="O3757">
            <v>0</v>
          </cell>
          <cell r="P3757">
            <v>0</v>
          </cell>
          <cell r="Q3757">
            <v>0</v>
          </cell>
          <cell r="R3757">
            <v>0</v>
          </cell>
          <cell r="S3757">
            <v>0</v>
          </cell>
          <cell r="T3757">
            <v>0</v>
          </cell>
          <cell r="U3757">
            <v>0</v>
          </cell>
          <cell r="V3757">
            <v>0</v>
          </cell>
          <cell r="W3757">
            <v>0</v>
          </cell>
        </row>
        <row r="3758">
          <cell r="A3758" t="str">
            <v>453934</v>
          </cell>
          <cell r="B3758" t="str">
            <v>1251</v>
          </cell>
          <cell r="C3758" t="str">
            <v>12</v>
          </cell>
          <cell r="D3758" t="str">
            <v>06</v>
          </cell>
          <cell r="E3758">
            <v>11</v>
          </cell>
          <cell r="G3758">
            <v>0</v>
          </cell>
          <cell r="H3758">
            <v>0</v>
          </cell>
          <cell r="I3758">
            <v>0</v>
          </cell>
          <cell r="J3758">
            <v>0</v>
          </cell>
          <cell r="K3758">
            <v>0</v>
          </cell>
          <cell r="L3758">
            <v>0</v>
          </cell>
          <cell r="M3758">
            <v>0</v>
          </cell>
          <cell r="N3758">
            <v>0</v>
          </cell>
          <cell r="O3758">
            <v>0</v>
          </cell>
          <cell r="P3758">
            <v>0</v>
          </cell>
          <cell r="Q3758">
            <v>0</v>
          </cell>
          <cell r="R3758">
            <v>0</v>
          </cell>
          <cell r="S3758">
            <v>0</v>
          </cell>
          <cell r="T3758">
            <v>0</v>
          </cell>
          <cell r="U3758">
            <v>0</v>
          </cell>
          <cell r="V3758">
            <v>0</v>
          </cell>
          <cell r="W3758">
            <v>0</v>
          </cell>
        </row>
        <row r="3759">
          <cell r="A3759" t="str">
            <v>453934</v>
          </cell>
          <cell r="B3759" t="str">
            <v>1251</v>
          </cell>
          <cell r="C3759" t="str">
            <v>12</v>
          </cell>
          <cell r="D3759" t="str">
            <v>06</v>
          </cell>
          <cell r="E3759">
            <v>16</v>
          </cell>
          <cell r="G3759">
            <v>0</v>
          </cell>
          <cell r="H3759">
            <v>0</v>
          </cell>
          <cell r="I3759">
            <v>0</v>
          </cell>
          <cell r="J3759">
            <v>0</v>
          </cell>
          <cell r="K3759">
            <v>0</v>
          </cell>
          <cell r="L3759">
            <v>0</v>
          </cell>
          <cell r="M3759">
            <v>0</v>
          </cell>
          <cell r="N3759">
            <v>0</v>
          </cell>
          <cell r="O3759">
            <v>0</v>
          </cell>
          <cell r="P3759">
            <v>0</v>
          </cell>
          <cell r="Q3759">
            <v>0</v>
          </cell>
          <cell r="R3759">
            <v>0</v>
          </cell>
          <cell r="S3759">
            <v>0</v>
          </cell>
          <cell r="T3759">
            <v>0</v>
          </cell>
          <cell r="U3759">
            <v>0</v>
          </cell>
          <cell r="V3759">
            <v>0</v>
          </cell>
          <cell r="W3759">
            <v>0</v>
          </cell>
        </row>
        <row r="3760">
          <cell r="A3760" t="str">
            <v>453934</v>
          </cell>
          <cell r="B3760" t="str">
            <v>1251</v>
          </cell>
          <cell r="C3760" t="str">
            <v>12</v>
          </cell>
          <cell r="D3760" t="str">
            <v>06</v>
          </cell>
          <cell r="E3760">
            <v>21</v>
          </cell>
          <cell r="G3760">
            <v>0</v>
          </cell>
          <cell r="H3760">
            <v>0</v>
          </cell>
          <cell r="I3760">
            <v>0</v>
          </cell>
          <cell r="J3760">
            <v>0</v>
          </cell>
          <cell r="K3760">
            <v>0</v>
          </cell>
          <cell r="L3760">
            <v>0</v>
          </cell>
          <cell r="M3760">
            <v>0</v>
          </cell>
          <cell r="N3760">
            <v>0</v>
          </cell>
          <cell r="O3760">
            <v>0</v>
          </cell>
          <cell r="P3760">
            <v>0</v>
          </cell>
          <cell r="Q3760">
            <v>0</v>
          </cell>
          <cell r="R3760">
            <v>0</v>
          </cell>
          <cell r="S3760">
            <v>0</v>
          </cell>
          <cell r="T3760">
            <v>0</v>
          </cell>
          <cell r="U3760">
            <v>0</v>
          </cell>
          <cell r="V3760">
            <v>0</v>
          </cell>
          <cell r="W3760">
            <v>0</v>
          </cell>
        </row>
        <row r="3761">
          <cell r="A3761" t="str">
            <v>453934</v>
          </cell>
          <cell r="B3761" t="str">
            <v>1251</v>
          </cell>
          <cell r="C3761" t="str">
            <v>12</v>
          </cell>
          <cell r="D3761" t="str">
            <v>06</v>
          </cell>
          <cell r="E3761">
            <v>26</v>
          </cell>
          <cell r="G3761">
            <v>0</v>
          </cell>
          <cell r="H3761">
            <v>0</v>
          </cell>
          <cell r="I3761">
            <v>0</v>
          </cell>
          <cell r="J3761">
            <v>0</v>
          </cell>
          <cell r="K3761">
            <v>0</v>
          </cell>
          <cell r="L3761">
            <v>0</v>
          </cell>
          <cell r="M3761">
            <v>0</v>
          </cell>
          <cell r="N3761">
            <v>0</v>
          </cell>
          <cell r="O3761">
            <v>0</v>
          </cell>
          <cell r="P3761">
            <v>0</v>
          </cell>
          <cell r="Q3761">
            <v>0</v>
          </cell>
          <cell r="R3761">
            <v>0</v>
          </cell>
          <cell r="S3761">
            <v>0</v>
          </cell>
          <cell r="T3761">
            <v>0</v>
          </cell>
          <cell r="U3761">
            <v>0</v>
          </cell>
          <cell r="V3761">
            <v>0</v>
          </cell>
          <cell r="W3761">
            <v>0</v>
          </cell>
        </row>
        <row r="3762">
          <cell r="A3762" t="str">
            <v>453934</v>
          </cell>
          <cell r="B3762" t="str">
            <v>1251</v>
          </cell>
          <cell r="C3762" t="str">
            <v>12</v>
          </cell>
          <cell r="D3762" t="str">
            <v>06</v>
          </cell>
          <cell r="E3762">
            <v>31</v>
          </cell>
          <cell r="G3762">
            <v>0</v>
          </cell>
          <cell r="H3762">
            <v>0</v>
          </cell>
          <cell r="I3762">
            <v>0</v>
          </cell>
          <cell r="J3762">
            <v>0</v>
          </cell>
          <cell r="K3762">
            <v>0</v>
          </cell>
          <cell r="L3762">
            <v>0</v>
          </cell>
          <cell r="M3762">
            <v>0</v>
          </cell>
          <cell r="N3762">
            <v>0</v>
          </cell>
          <cell r="O3762">
            <v>0</v>
          </cell>
          <cell r="P3762">
            <v>0</v>
          </cell>
          <cell r="Q3762">
            <v>0</v>
          </cell>
          <cell r="R3762">
            <v>0</v>
          </cell>
          <cell r="S3762">
            <v>0</v>
          </cell>
          <cell r="T3762">
            <v>0</v>
          </cell>
          <cell r="U3762">
            <v>0</v>
          </cell>
          <cell r="V3762">
            <v>0</v>
          </cell>
          <cell r="W3762">
            <v>0</v>
          </cell>
        </row>
        <row r="3763">
          <cell r="A3763" t="str">
            <v>453934</v>
          </cell>
          <cell r="B3763" t="str">
            <v>1251</v>
          </cell>
          <cell r="C3763" t="str">
            <v>12</v>
          </cell>
          <cell r="D3763" t="str">
            <v>06</v>
          </cell>
          <cell r="E3763">
            <v>36</v>
          </cell>
          <cell r="G3763">
            <v>0</v>
          </cell>
          <cell r="H3763">
            <v>0</v>
          </cell>
          <cell r="I3763">
            <v>0</v>
          </cell>
          <cell r="J3763">
            <v>0</v>
          </cell>
          <cell r="K3763">
            <v>0</v>
          </cell>
          <cell r="L3763">
            <v>0</v>
          </cell>
          <cell r="M3763">
            <v>0</v>
          </cell>
          <cell r="N3763">
            <v>0</v>
          </cell>
          <cell r="O3763">
            <v>0</v>
          </cell>
          <cell r="P3763">
            <v>0</v>
          </cell>
          <cell r="Q3763">
            <v>0</v>
          </cell>
          <cell r="R3763">
            <v>0</v>
          </cell>
          <cell r="S3763">
            <v>0</v>
          </cell>
          <cell r="T3763">
            <v>0</v>
          </cell>
          <cell r="U3763">
            <v>0</v>
          </cell>
          <cell r="V3763">
            <v>0</v>
          </cell>
          <cell r="W3763">
            <v>0</v>
          </cell>
        </row>
        <row r="3764">
          <cell r="A3764" t="str">
            <v>453934</v>
          </cell>
          <cell r="B3764" t="str">
            <v>1251</v>
          </cell>
          <cell r="C3764" t="str">
            <v>12</v>
          </cell>
          <cell r="D3764" t="str">
            <v>06</v>
          </cell>
          <cell r="E3764">
            <v>41</v>
          </cell>
          <cell r="G3764">
            <v>0</v>
          </cell>
          <cell r="H3764">
            <v>0</v>
          </cell>
          <cell r="I3764">
            <v>0</v>
          </cell>
          <cell r="J3764">
            <v>0</v>
          </cell>
          <cell r="K3764">
            <v>0</v>
          </cell>
          <cell r="L3764">
            <v>0</v>
          </cell>
          <cell r="M3764">
            <v>0</v>
          </cell>
          <cell r="N3764">
            <v>0</v>
          </cell>
          <cell r="O3764">
            <v>0</v>
          </cell>
          <cell r="P3764">
            <v>0</v>
          </cell>
          <cell r="Q3764">
            <v>0</v>
          </cell>
          <cell r="R3764">
            <v>0</v>
          </cell>
          <cell r="S3764">
            <v>0</v>
          </cell>
          <cell r="T3764">
            <v>0</v>
          </cell>
          <cell r="U3764">
            <v>0</v>
          </cell>
          <cell r="V3764">
            <v>0</v>
          </cell>
          <cell r="W3764">
            <v>0</v>
          </cell>
        </row>
        <row r="3765">
          <cell r="A3765" t="str">
            <v>453934</v>
          </cell>
          <cell r="B3765" t="str">
            <v>1251</v>
          </cell>
          <cell r="C3765" t="str">
            <v>12</v>
          </cell>
          <cell r="D3765" t="str">
            <v>06</v>
          </cell>
          <cell r="E3765">
            <v>46</v>
          </cell>
          <cell r="G3765">
            <v>0</v>
          </cell>
          <cell r="H3765">
            <v>0</v>
          </cell>
          <cell r="I3765">
            <v>0</v>
          </cell>
          <cell r="J3765">
            <v>0</v>
          </cell>
          <cell r="K3765">
            <v>0</v>
          </cell>
          <cell r="L3765">
            <v>0</v>
          </cell>
          <cell r="M3765">
            <v>0</v>
          </cell>
          <cell r="N3765">
            <v>0</v>
          </cell>
          <cell r="O3765">
            <v>0</v>
          </cell>
          <cell r="P3765">
            <v>0</v>
          </cell>
          <cell r="Q3765">
            <v>0</v>
          </cell>
          <cell r="R3765">
            <v>0</v>
          </cell>
          <cell r="S3765">
            <v>0</v>
          </cell>
          <cell r="T3765">
            <v>0</v>
          </cell>
          <cell r="U3765">
            <v>0</v>
          </cell>
          <cell r="V3765">
            <v>0</v>
          </cell>
          <cell r="W3765">
            <v>0</v>
          </cell>
        </row>
        <row r="3766">
          <cell r="A3766" t="str">
            <v>453934</v>
          </cell>
          <cell r="B3766" t="str">
            <v>1251</v>
          </cell>
          <cell r="C3766" t="str">
            <v>12</v>
          </cell>
          <cell r="D3766" t="str">
            <v>06</v>
          </cell>
          <cell r="E3766">
            <v>51</v>
          </cell>
          <cell r="G3766">
            <v>0</v>
          </cell>
          <cell r="H3766">
            <v>0</v>
          </cell>
          <cell r="I3766">
            <v>0</v>
          </cell>
          <cell r="J3766">
            <v>0</v>
          </cell>
          <cell r="K3766">
            <v>0</v>
          </cell>
          <cell r="L3766">
            <v>0</v>
          </cell>
          <cell r="M3766">
            <v>0</v>
          </cell>
          <cell r="N3766">
            <v>0</v>
          </cell>
          <cell r="O3766">
            <v>0</v>
          </cell>
          <cell r="P3766">
            <v>0</v>
          </cell>
          <cell r="Q3766">
            <v>0</v>
          </cell>
          <cell r="R3766">
            <v>0</v>
          </cell>
          <cell r="S3766">
            <v>0</v>
          </cell>
          <cell r="T3766">
            <v>0</v>
          </cell>
          <cell r="U3766">
            <v>0</v>
          </cell>
          <cell r="V3766">
            <v>0</v>
          </cell>
          <cell r="W3766">
            <v>0</v>
          </cell>
        </row>
        <row r="3767">
          <cell r="A3767" t="str">
            <v>453934</v>
          </cell>
          <cell r="B3767" t="str">
            <v>1251</v>
          </cell>
          <cell r="C3767" t="str">
            <v>12</v>
          </cell>
          <cell r="D3767" t="str">
            <v>06</v>
          </cell>
          <cell r="E3767">
            <v>56</v>
          </cell>
          <cell r="G3767">
            <v>0</v>
          </cell>
          <cell r="H3767">
            <v>0</v>
          </cell>
          <cell r="I3767">
            <v>0</v>
          </cell>
          <cell r="J3767">
            <v>0</v>
          </cell>
          <cell r="K3767">
            <v>0</v>
          </cell>
          <cell r="L3767">
            <v>0</v>
          </cell>
          <cell r="M3767">
            <v>0</v>
          </cell>
          <cell r="N3767">
            <v>0</v>
          </cell>
          <cell r="O3767">
            <v>0</v>
          </cell>
          <cell r="P3767">
            <v>0</v>
          </cell>
          <cell r="Q3767">
            <v>0</v>
          </cell>
          <cell r="R3767">
            <v>0</v>
          </cell>
          <cell r="S3767">
            <v>0</v>
          </cell>
          <cell r="T3767">
            <v>0</v>
          </cell>
          <cell r="U3767">
            <v>0</v>
          </cell>
          <cell r="V3767">
            <v>0</v>
          </cell>
          <cell r="W3767">
            <v>0</v>
          </cell>
        </row>
        <row r="3768">
          <cell r="A3768" t="str">
            <v>453934</v>
          </cell>
          <cell r="B3768" t="str">
            <v>1251</v>
          </cell>
          <cell r="C3768" t="str">
            <v>12</v>
          </cell>
          <cell r="D3768" t="str">
            <v>06</v>
          </cell>
          <cell r="E3768">
            <v>61</v>
          </cell>
          <cell r="G3768">
            <v>0</v>
          </cell>
          <cell r="H3768">
            <v>0</v>
          </cell>
          <cell r="I3768">
            <v>0</v>
          </cell>
          <cell r="J3768">
            <v>0</v>
          </cell>
          <cell r="K3768">
            <v>0</v>
          </cell>
          <cell r="L3768">
            <v>0</v>
          </cell>
          <cell r="M3768">
            <v>0</v>
          </cell>
          <cell r="N3768">
            <v>0</v>
          </cell>
          <cell r="O3768">
            <v>0</v>
          </cell>
          <cell r="P3768">
            <v>0</v>
          </cell>
          <cell r="Q3768">
            <v>0</v>
          </cell>
          <cell r="R3768">
            <v>0</v>
          </cell>
          <cell r="S3768">
            <v>0</v>
          </cell>
          <cell r="T3768">
            <v>0</v>
          </cell>
          <cell r="U3768">
            <v>0</v>
          </cell>
          <cell r="V3768">
            <v>0</v>
          </cell>
          <cell r="W3768">
            <v>0</v>
          </cell>
        </row>
        <row r="3769">
          <cell r="A3769" t="str">
            <v>453934</v>
          </cell>
          <cell r="B3769" t="str">
            <v>1251</v>
          </cell>
          <cell r="C3769" t="str">
            <v>12</v>
          </cell>
          <cell r="D3769" t="str">
            <v>06</v>
          </cell>
          <cell r="E3769">
            <v>66</v>
          </cell>
          <cell r="G3769">
            <v>0</v>
          </cell>
          <cell r="H3769">
            <v>0</v>
          </cell>
          <cell r="I3769">
            <v>0</v>
          </cell>
          <cell r="J3769">
            <v>0</v>
          </cell>
          <cell r="K3769">
            <v>0</v>
          </cell>
          <cell r="L3769">
            <v>0</v>
          </cell>
          <cell r="M3769">
            <v>0</v>
          </cell>
          <cell r="N3769">
            <v>0</v>
          </cell>
          <cell r="O3769">
            <v>0</v>
          </cell>
          <cell r="P3769">
            <v>0</v>
          </cell>
          <cell r="Q3769">
            <v>0</v>
          </cell>
          <cell r="R3769">
            <v>0</v>
          </cell>
          <cell r="S3769">
            <v>0</v>
          </cell>
          <cell r="T3769">
            <v>0</v>
          </cell>
          <cell r="U3769">
            <v>0</v>
          </cell>
          <cell r="V3769">
            <v>0</v>
          </cell>
          <cell r="W3769">
            <v>0</v>
          </cell>
        </row>
        <row r="3770">
          <cell r="A3770" t="str">
            <v>453934</v>
          </cell>
          <cell r="B3770" t="str">
            <v>1251</v>
          </cell>
          <cell r="C3770" t="str">
            <v>12</v>
          </cell>
          <cell r="D3770" t="str">
            <v>06</v>
          </cell>
          <cell r="E3770">
            <v>71</v>
          </cell>
          <cell r="G3770">
            <v>0</v>
          </cell>
          <cell r="H3770">
            <v>0</v>
          </cell>
          <cell r="I3770">
            <v>0</v>
          </cell>
          <cell r="J3770">
            <v>0</v>
          </cell>
          <cell r="K3770">
            <v>0</v>
          </cell>
          <cell r="L3770">
            <v>0</v>
          </cell>
          <cell r="M3770">
            <v>0</v>
          </cell>
          <cell r="N3770">
            <v>0</v>
          </cell>
          <cell r="O3770">
            <v>0</v>
          </cell>
          <cell r="P3770">
            <v>0</v>
          </cell>
          <cell r="Q3770">
            <v>0</v>
          </cell>
          <cell r="R3770">
            <v>0</v>
          </cell>
          <cell r="S3770">
            <v>0</v>
          </cell>
          <cell r="T3770">
            <v>0</v>
          </cell>
          <cell r="U3770">
            <v>0</v>
          </cell>
          <cell r="V3770">
            <v>0</v>
          </cell>
          <cell r="W3770">
            <v>0</v>
          </cell>
        </row>
        <row r="3771">
          <cell r="A3771" t="str">
            <v>453934</v>
          </cell>
          <cell r="B3771" t="str">
            <v>1251</v>
          </cell>
          <cell r="C3771" t="str">
            <v>12</v>
          </cell>
          <cell r="D3771" t="str">
            <v>06</v>
          </cell>
          <cell r="E3771">
            <v>76</v>
          </cell>
          <cell r="G3771">
            <v>0</v>
          </cell>
          <cell r="H3771">
            <v>0</v>
          </cell>
          <cell r="I3771">
            <v>0</v>
          </cell>
          <cell r="J3771">
            <v>0</v>
          </cell>
          <cell r="K3771">
            <v>0</v>
          </cell>
          <cell r="L3771">
            <v>0</v>
          </cell>
          <cell r="M3771">
            <v>0</v>
          </cell>
          <cell r="N3771">
            <v>0</v>
          </cell>
          <cell r="O3771">
            <v>0</v>
          </cell>
          <cell r="P3771">
            <v>0</v>
          </cell>
          <cell r="Q3771">
            <v>0</v>
          </cell>
          <cell r="R3771">
            <v>0</v>
          </cell>
          <cell r="S3771">
            <v>0</v>
          </cell>
          <cell r="T3771">
            <v>0</v>
          </cell>
          <cell r="U3771">
            <v>0</v>
          </cell>
          <cell r="V3771">
            <v>0</v>
          </cell>
          <cell r="W3771">
            <v>0</v>
          </cell>
        </row>
        <row r="3772">
          <cell r="A3772" t="str">
            <v>453934</v>
          </cell>
          <cell r="B3772" t="str">
            <v>1251</v>
          </cell>
          <cell r="C3772" t="str">
            <v>12</v>
          </cell>
          <cell r="D3772" t="str">
            <v>06</v>
          </cell>
          <cell r="E3772">
            <v>81</v>
          </cell>
          <cell r="G3772">
            <v>0</v>
          </cell>
          <cell r="H3772">
            <v>0</v>
          </cell>
          <cell r="I3772">
            <v>0</v>
          </cell>
          <cell r="J3772">
            <v>0</v>
          </cell>
          <cell r="K3772">
            <v>0</v>
          </cell>
          <cell r="L3772">
            <v>0</v>
          </cell>
          <cell r="M3772">
            <v>0</v>
          </cell>
          <cell r="N3772">
            <v>0</v>
          </cell>
          <cell r="O3772">
            <v>0</v>
          </cell>
          <cell r="P3772">
            <v>0</v>
          </cell>
          <cell r="Q3772">
            <v>0</v>
          </cell>
          <cell r="R3772">
            <v>0</v>
          </cell>
          <cell r="S3772">
            <v>0</v>
          </cell>
          <cell r="T3772">
            <v>0</v>
          </cell>
          <cell r="U3772">
            <v>0</v>
          </cell>
          <cell r="V3772">
            <v>0</v>
          </cell>
          <cell r="W3772">
            <v>0</v>
          </cell>
        </row>
        <row r="3773">
          <cell r="A3773" t="str">
            <v>453934</v>
          </cell>
          <cell r="B3773" t="str">
            <v>1251</v>
          </cell>
          <cell r="C3773" t="str">
            <v>12</v>
          </cell>
          <cell r="D3773" t="str">
            <v>06</v>
          </cell>
          <cell r="E3773">
            <v>86</v>
          </cell>
          <cell r="G3773">
            <v>0</v>
          </cell>
          <cell r="H3773">
            <v>0</v>
          </cell>
          <cell r="I3773">
            <v>0</v>
          </cell>
          <cell r="J3773">
            <v>0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0</v>
          </cell>
          <cell r="R3773">
            <v>0</v>
          </cell>
          <cell r="S3773">
            <v>0</v>
          </cell>
          <cell r="T3773">
            <v>0</v>
          </cell>
          <cell r="U3773">
            <v>0</v>
          </cell>
          <cell r="V3773">
            <v>0</v>
          </cell>
          <cell r="W3773">
            <v>0</v>
          </cell>
        </row>
        <row r="3774">
          <cell r="A3774" t="str">
            <v>453934</v>
          </cell>
          <cell r="B3774" t="str">
            <v>1251</v>
          </cell>
          <cell r="C3774" t="str">
            <v>12</v>
          </cell>
          <cell r="D3774" t="str">
            <v>06</v>
          </cell>
          <cell r="E3774">
            <v>91</v>
          </cell>
          <cell r="G3774">
            <v>0</v>
          </cell>
          <cell r="H3774">
            <v>0</v>
          </cell>
          <cell r="I3774">
            <v>0</v>
          </cell>
          <cell r="J3774">
            <v>0</v>
          </cell>
          <cell r="K3774">
            <v>0</v>
          </cell>
          <cell r="L3774">
            <v>0</v>
          </cell>
          <cell r="M3774">
            <v>0</v>
          </cell>
          <cell r="N3774">
            <v>0</v>
          </cell>
          <cell r="O3774">
            <v>0</v>
          </cell>
          <cell r="P3774">
            <v>0</v>
          </cell>
          <cell r="Q3774">
            <v>0</v>
          </cell>
          <cell r="R3774">
            <v>0</v>
          </cell>
          <cell r="S3774">
            <v>0</v>
          </cell>
          <cell r="T3774">
            <v>0</v>
          </cell>
          <cell r="U3774">
            <v>0</v>
          </cell>
          <cell r="V3774">
            <v>0</v>
          </cell>
          <cell r="W3774">
            <v>0</v>
          </cell>
        </row>
        <row r="3775">
          <cell r="A3775" t="str">
            <v>453934</v>
          </cell>
          <cell r="B3775" t="str">
            <v>1251</v>
          </cell>
          <cell r="C3775" t="str">
            <v>12</v>
          </cell>
          <cell r="D3775" t="str">
            <v>06</v>
          </cell>
          <cell r="E3775">
            <v>96</v>
          </cell>
          <cell r="G3775">
            <v>0</v>
          </cell>
          <cell r="H3775">
            <v>0</v>
          </cell>
          <cell r="I3775">
            <v>0</v>
          </cell>
          <cell r="J3775">
            <v>0</v>
          </cell>
          <cell r="K3775">
            <v>0</v>
          </cell>
          <cell r="L3775">
            <v>0</v>
          </cell>
          <cell r="M3775">
            <v>0</v>
          </cell>
          <cell r="N3775">
            <v>0</v>
          </cell>
          <cell r="O3775">
            <v>0</v>
          </cell>
          <cell r="P3775">
            <v>0</v>
          </cell>
          <cell r="Q3775">
            <v>0</v>
          </cell>
          <cell r="R3775">
            <v>0</v>
          </cell>
          <cell r="S3775">
            <v>0</v>
          </cell>
          <cell r="T3775">
            <v>0</v>
          </cell>
          <cell r="U3775">
            <v>0</v>
          </cell>
          <cell r="V3775">
            <v>0</v>
          </cell>
          <cell r="W3775">
            <v>0</v>
          </cell>
        </row>
        <row r="3776">
          <cell r="A3776" t="str">
            <v>453934</v>
          </cell>
          <cell r="B3776" t="str">
            <v>1251</v>
          </cell>
          <cell r="C3776" t="str">
            <v>12</v>
          </cell>
          <cell r="D3776" t="str">
            <v>06</v>
          </cell>
          <cell r="E3776">
            <v>101</v>
          </cell>
          <cell r="G3776">
            <v>0</v>
          </cell>
          <cell r="H3776">
            <v>0</v>
          </cell>
          <cell r="I3776">
            <v>0</v>
          </cell>
          <cell r="J3776">
            <v>0</v>
          </cell>
          <cell r="K3776">
            <v>0</v>
          </cell>
          <cell r="L3776">
            <v>0</v>
          </cell>
          <cell r="M3776">
            <v>0</v>
          </cell>
          <cell r="N3776">
            <v>0</v>
          </cell>
          <cell r="O3776">
            <v>0</v>
          </cell>
          <cell r="P3776">
            <v>0</v>
          </cell>
          <cell r="Q3776">
            <v>0</v>
          </cell>
          <cell r="R3776">
            <v>0</v>
          </cell>
          <cell r="S3776">
            <v>0</v>
          </cell>
          <cell r="T3776">
            <v>0</v>
          </cell>
          <cell r="U3776">
            <v>0</v>
          </cell>
          <cell r="V3776">
            <v>0</v>
          </cell>
          <cell r="W3776">
            <v>0</v>
          </cell>
        </row>
        <row r="3777">
          <cell r="A3777" t="str">
            <v>453934</v>
          </cell>
          <cell r="B3777" t="str">
            <v>1251</v>
          </cell>
          <cell r="C3777" t="str">
            <v>12</v>
          </cell>
          <cell r="D3777" t="str">
            <v>06</v>
          </cell>
          <cell r="E3777">
            <v>106</v>
          </cell>
          <cell r="G3777">
            <v>0</v>
          </cell>
          <cell r="H3777">
            <v>0</v>
          </cell>
          <cell r="I3777">
            <v>0</v>
          </cell>
          <cell r="J3777">
            <v>0</v>
          </cell>
          <cell r="K3777">
            <v>0</v>
          </cell>
          <cell r="L3777">
            <v>2</v>
          </cell>
          <cell r="M3777">
            <v>0</v>
          </cell>
          <cell r="N3777">
            <v>0</v>
          </cell>
          <cell r="O3777">
            <v>-8</v>
          </cell>
          <cell r="P3777">
            <v>0</v>
          </cell>
          <cell r="Q3777">
            <v>0</v>
          </cell>
          <cell r="R3777">
            <v>0</v>
          </cell>
          <cell r="S3777">
            <v>0</v>
          </cell>
          <cell r="T3777">
            <v>0</v>
          </cell>
          <cell r="U3777">
            <v>-6</v>
          </cell>
          <cell r="V3777">
            <v>0</v>
          </cell>
          <cell r="W3777">
            <v>0</v>
          </cell>
        </row>
        <row r="3778">
          <cell r="A3778" t="str">
            <v>453934</v>
          </cell>
          <cell r="B3778" t="str">
            <v>1251</v>
          </cell>
          <cell r="C3778" t="str">
            <v>12</v>
          </cell>
          <cell r="D3778" t="str">
            <v>07</v>
          </cell>
          <cell r="E3778">
            <v>1</v>
          </cell>
          <cell r="G3778">
            <v>0</v>
          </cell>
          <cell r="H3778">
            <v>0</v>
          </cell>
          <cell r="I3778">
            <v>0</v>
          </cell>
          <cell r="J3778">
            <v>0</v>
          </cell>
          <cell r="K3778">
            <v>0</v>
          </cell>
          <cell r="L3778">
            <v>0</v>
          </cell>
          <cell r="M3778">
            <v>0</v>
          </cell>
          <cell r="N3778">
            <v>0</v>
          </cell>
          <cell r="O3778">
            <v>0</v>
          </cell>
          <cell r="P3778">
            <v>0</v>
          </cell>
          <cell r="Q3778">
            <v>0</v>
          </cell>
          <cell r="R3778">
            <v>0</v>
          </cell>
          <cell r="S3778">
            <v>0</v>
          </cell>
          <cell r="T3778">
            <v>0</v>
          </cell>
          <cell r="U3778">
            <v>0</v>
          </cell>
          <cell r="V3778">
            <v>0</v>
          </cell>
          <cell r="W3778">
            <v>0</v>
          </cell>
        </row>
        <row r="3779">
          <cell r="A3779" t="str">
            <v>453934</v>
          </cell>
          <cell r="B3779" t="str">
            <v>1251</v>
          </cell>
          <cell r="C3779" t="str">
            <v>12</v>
          </cell>
          <cell r="D3779" t="str">
            <v>07</v>
          </cell>
          <cell r="E3779">
            <v>5</v>
          </cell>
          <cell r="G3779">
            <v>0</v>
          </cell>
          <cell r="H3779">
            <v>0</v>
          </cell>
          <cell r="I3779">
            <v>0</v>
          </cell>
          <cell r="J3779">
            <v>0</v>
          </cell>
          <cell r="K3779">
            <v>0</v>
          </cell>
          <cell r="L3779">
            <v>0</v>
          </cell>
          <cell r="M3779">
            <v>0</v>
          </cell>
          <cell r="N3779">
            <v>0</v>
          </cell>
          <cell r="O3779">
            <v>0</v>
          </cell>
          <cell r="P3779">
            <v>0</v>
          </cell>
          <cell r="Q3779">
            <v>0</v>
          </cell>
          <cell r="R3779">
            <v>0</v>
          </cell>
          <cell r="S3779">
            <v>0</v>
          </cell>
          <cell r="T3779">
            <v>0</v>
          </cell>
          <cell r="U3779">
            <v>0</v>
          </cell>
          <cell r="V3779">
            <v>0</v>
          </cell>
          <cell r="W3779">
            <v>0</v>
          </cell>
        </row>
        <row r="3780">
          <cell r="A3780" t="str">
            <v>453934</v>
          </cell>
          <cell r="B3780" t="str">
            <v>1251</v>
          </cell>
          <cell r="C3780" t="str">
            <v>12</v>
          </cell>
          <cell r="D3780" t="str">
            <v>07</v>
          </cell>
          <cell r="E3780">
            <v>9</v>
          </cell>
          <cell r="G3780">
            <v>0</v>
          </cell>
          <cell r="H3780">
            <v>0</v>
          </cell>
          <cell r="I3780">
            <v>0</v>
          </cell>
          <cell r="J3780">
            <v>0</v>
          </cell>
          <cell r="K3780">
            <v>0</v>
          </cell>
          <cell r="L3780">
            <v>0</v>
          </cell>
          <cell r="M3780">
            <v>0</v>
          </cell>
          <cell r="N3780">
            <v>0</v>
          </cell>
          <cell r="O3780">
            <v>0</v>
          </cell>
          <cell r="P3780">
            <v>0</v>
          </cell>
          <cell r="Q3780">
            <v>0</v>
          </cell>
          <cell r="R3780">
            <v>0</v>
          </cell>
          <cell r="S3780">
            <v>0</v>
          </cell>
          <cell r="T3780">
            <v>0</v>
          </cell>
          <cell r="U3780">
            <v>0</v>
          </cell>
          <cell r="V3780">
            <v>0</v>
          </cell>
          <cell r="W3780">
            <v>0</v>
          </cell>
        </row>
        <row r="3781">
          <cell r="A3781" t="str">
            <v>453934</v>
          </cell>
          <cell r="B3781" t="str">
            <v>1251</v>
          </cell>
          <cell r="C3781" t="str">
            <v>12</v>
          </cell>
          <cell r="D3781" t="str">
            <v>07</v>
          </cell>
          <cell r="E3781">
            <v>13</v>
          </cell>
          <cell r="G3781">
            <v>0</v>
          </cell>
          <cell r="H3781">
            <v>0</v>
          </cell>
          <cell r="I3781">
            <v>0</v>
          </cell>
          <cell r="J3781">
            <v>0</v>
          </cell>
          <cell r="K3781">
            <v>0</v>
          </cell>
          <cell r="L3781">
            <v>0</v>
          </cell>
          <cell r="M3781">
            <v>0</v>
          </cell>
          <cell r="N3781">
            <v>0</v>
          </cell>
          <cell r="O3781">
            <v>0</v>
          </cell>
          <cell r="P3781">
            <v>0</v>
          </cell>
          <cell r="Q3781">
            <v>0</v>
          </cell>
          <cell r="R3781">
            <v>0</v>
          </cell>
          <cell r="S3781">
            <v>0</v>
          </cell>
          <cell r="T3781">
            <v>0</v>
          </cell>
          <cell r="U3781">
            <v>0</v>
          </cell>
          <cell r="V3781">
            <v>0</v>
          </cell>
          <cell r="W3781">
            <v>0</v>
          </cell>
        </row>
        <row r="3782">
          <cell r="A3782" t="str">
            <v>453934</v>
          </cell>
          <cell r="B3782" t="str">
            <v>1251</v>
          </cell>
          <cell r="C3782" t="str">
            <v>12</v>
          </cell>
          <cell r="D3782" t="str">
            <v>07</v>
          </cell>
          <cell r="E3782">
            <v>17</v>
          </cell>
          <cell r="G3782">
            <v>0</v>
          </cell>
          <cell r="H3782">
            <v>0</v>
          </cell>
          <cell r="I3782">
            <v>0</v>
          </cell>
          <cell r="J3782">
            <v>0</v>
          </cell>
          <cell r="K3782">
            <v>0</v>
          </cell>
          <cell r="L3782">
            <v>0</v>
          </cell>
          <cell r="M3782">
            <v>0</v>
          </cell>
          <cell r="N3782">
            <v>0</v>
          </cell>
          <cell r="O3782">
            <v>0</v>
          </cell>
          <cell r="P3782">
            <v>0</v>
          </cell>
          <cell r="Q3782">
            <v>0</v>
          </cell>
          <cell r="R3782">
            <v>0</v>
          </cell>
          <cell r="S3782">
            <v>0</v>
          </cell>
          <cell r="T3782">
            <v>0</v>
          </cell>
          <cell r="U3782">
            <v>0</v>
          </cell>
          <cell r="V3782">
            <v>0</v>
          </cell>
          <cell r="W3782">
            <v>0</v>
          </cell>
        </row>
        <row r="3783">
          <cell r="A3783" t="str">
            <v>453934</v>
          </cell>
          <cell r="B3783" t="str">
            <v>1251</v>
          </cell>
          <cell r="C3783" t="str">
            <v>12</v>
          </cell>
          <cell r="D3783" t="str">
            <v>07</v>
          </cell>
          <cell r="E3783">
            <v>21</v>
          </cell>
          <cell r="G3783">
            <v>0</v>
          </cell>
          <cell r="H3783">
            <v>5</v>
          </cell>
          <cell r="I3783">
            <v>5</v>
          </cell>
          <cell r="J3783">
            <v>0</v>
          </cell>
          <cell r="K3783">
            <v>0</v>
          </cell>
          <cell r="L3783">
            <v>0</v>
          </cell>
          <cell r="M3783">
            <v>0</v>
          </cell>
          <cell r="N3783">
            <v>0</v>
          </cell>
          <cell r="O3783">
            <v>0</v>
          </cell>
          <cell r="P3783">
            <v>5</v>
          </cell>
          <cell r="Q3783">
            <v>5</v>
          </cell>
          <cell r="R3783">
            <v>0</v>
          </cell>
          <cell r="S3783">
            <v>0</v>
          </cell>
          <cell r="T3783">
            <v>0</v>
          </cell>
          <cell r="U3783">
            <v>0</v>
          </cell>
          <cell r="V3783">
            <v>0</v>
          </cell>
          <cell r="W3783">
            <v>0</v>
          </cell>
        </row>
        <row r="3784">
          <cell r="A3784" t="str">
            <v>453934</v>
          </cell>
          <cell r="B3784" t="str">
            <v>1251</v>
          </cell>
          <cell r="C3784" t="str">
            <v>12</v>
          </cell>
          <cell r="D3784" t="str">
            <v>07</v>
          </cell>
          <cell r="E3784">
            <v>25</v>
          </cell>
          <cell r="G3784">
            <v>0</v>
          </cell>
          <cell r="H3784">
            <v>0</v>
          </cell>
          <cell r="I3784">
            <v>0</v>
          </cell>
          <cell r="J3784">
            <v>0</v>
          </cell>
          <cell r="K3784">
            <v>0</v>
          </cell>
          <cell r="L3784">
            <v>0</v>
          </cell>
          <cell r="M3784">
            <v>0</v>
          </cell>
          <cell r="N3784">
            <v>0</v>
          </cell>
          <cell r="O3784">
            <v>0</v>
          </cell>
          <cell r="P3784">
            <v>0</v>
          </cell>
          <cell r="Q3784">
            <v>0</v>
          </cell>
          <cell r="R3784">
            <v>0</v>
          </cell>
          <cell r="S3784">
            <v>0</v>
          </cell>
          <cell r="T3784">
            <v>0</v>
          </cell>
          <cell r="U3784">
            <v>0</v>
          </cell>
          <cell r="V3784">
            <v>0</v>
          </cell>
          <cell r="W3784">
            <v>0</v>
          </cell>
        </row>
        <row r="3785">
          <cell r="A3785" t="str">
            <v>453934</v>
          </cell>
          <cell r="B3785" t="str">
            <v>1251</v>
          </cell>
          <cell r="C3785" t="str">
            <v>12</v>
          </cell>
          <cell r="D3785" t="str">
            <v>07</v>
          </cell>
          <cell r="E3785">
            <v>29</v>
          </cell>
          <cell r="G3785">
            <v>0</v>
          </cell>
          <cell r="H3785">
            <v>0</v>
          </cell>
          <cell r="I3785">
            <v>0</v>
          </cell>
          <cell r="J3785">
            <v>0</v>
          </cell>
          <cell r="K3785">
            <v>0</v>
          </cell>
          <cell r="L3785">
            <v>0</v>
          </cell>
          <cell r="M3785">
            <v>0</v>
          </cell>
          <cell r="N3785">
            <v>0</v>
          </cell>
          <cell r="O3785">
            <v>0</v>
          </cell>
          <cell r="P3785">
            <v>5</v>
          </cell>
          <cell r="Q3785">
            <v>5</v>
          </cell>
          <cell r="R3785">
            <v>0</v>
          </cell>
          <cell r="S3785">
            <v>0</v>
          </cell>
          <cell r="T3785">
            <v>0</v>
          </cell>
          <cell r="U3785">
            <v>0</v>
          </cell>
          <cell r="V3785">
            <v>0</v>
          </cell>
          <cell r="W3785">
            <v>0</v>
          </cell>
        </row>
        <row r="3786">
          <cell r="A3786" t="str">
            <v>453934</v>
          </cell>
          <cell r="B3786" t="str">
            <v>1251</v>
          </cell>
          <cell r="C3786" t="str">
            <v>12</v>
          </cell>
          <cell r="D3786" t="str">
            <v>09</v>
          </cell>
          <cell r="E3786">
            <v>1</v>
          </cell>
          <cell r="G3786">
            <v>7161</v>
          </cell>
          <cell r="H3786">
            <v>3996</v>
          </cell>
          <cell r="I3786">
            <v>3996</v>
          </cell>
          <cell r="J3786">
            <v>0</v>
          </cell>
          <cell r="K3786">
            <v>0</v>
          </cell>
          <cell r="L3786">
            <v>0</v>
          </cell>
          <cell r="M3786">
            <v>0</v>
          </cell>
          <cell r="N3786">
            <v>0</v>
          </cell>
          <cell r="O3786">
            <v>0</v>
          </cell>
          <cell r="P3786">
            <v>0</v>
          </cell>
          <cell r="Q3786">
            <v>0</v>
          </cell>
          <cell r="R3786">
            <v>0</v>
          </cell>
          <cell r="S3786">
            <v>7161</v>
          </cell>
          <cell r="T3786">
            <v>3996</v>
          </cell>
          <cell r="U3786">
            <v>3996</v>
          </cell>
          <cell r="V3786">
            <v>0</v>
          </cell>
          <cell r="W3786">
            <v>0</v>
          </cell>
        </row>
        <row r="3787">
          <cell r="A3787" t="str">
            <v>453934</v>
          </cell>
          <cell r="B3787" t="str">
            <v>1251</v>
          </cell>
          <cell r="C3787" t="str">
            <v>12</v>
          </cell>
          <cell r="D3787" t="str">
            <v>09</v>
          </cell>
          <cell r="E3787">
            <v>6</v>
          </cell>
          <cell r="G3787">
            <v>0</v>
          </cell>
          <cell r="H3787">
            <v>0</v>
          </cell>
          <cell r="I3787">
            <v>0</v>
          </cell>
          <cell r="J3787">
            <v>0</v>
          </cell>
          <cell r="K3787">
            <v>0</v>
          </cell>
          <cell r="L3787">
            <v>0</v>
          </cell>
          <cell r="M3787">
            <v>0</v>
          </cell>
          <cell r="N3787">
            <v>0</v>
          </cell>
          <cell r="O3787">
            <v>0</v>
          </cell>
          <cell r="P3787">
            <v>16500</v>
          </cell>
          <cell r="Q3787">
            <v>16846</v>
          </cell>
          <cell r="R3787">
            <v>16846</v>
          </cell>
          <cell r="S3787">
            <v>0</v>
          </cell>
          <cell r="T3787">
            <v>0</v>
          </cell>
          <cell r="U3787">
            <v>0</v>
          </cell>
          <cell r="V3787">
            <v>0</v>
          </cell>
          <cell r="W3787">
            <v>0</v>
          </cell>
        </row>
        <row r="3788">
          <cell r="A3788" t="str">
            <v>453934</v>
          </cell>
          <cell r="B3788" t="str">
            <v>1251</v>
          </cell>
          <cell r="C3788" t="str">
            <v>12</v>
          </cell>
          <cell r="D3788" t="str">
            <v>09</v>
          </cell>
          <cell r="E3788">
            <v>11</v>
          </cell>
          <cell r="G3788">
            <v>0</v>
          </cell>
          <cell r="H3788">
            <v>3159</v>
          </cell>
          <cell r="I3788">
            <v>3159</v>
          </cell>
          <cell r="J3788">
            <v>0</v>
          </cell>
          <cell r="K3788">
            <v>0</v>
          </cell>
          <cell r="L3788">
            <v>0</v>
          </cell>
          <cell r="M3788">
            <v>0</v>
          </cell>
          <cell r="N3788">
            <v>0</v>
          </cell>
          <cell r="O3788">
            <v>0</v>
          </cell>
          <cell r="P3788">
            <v>16500</v>
          </cell>
          <cell r="Q3788">
            <v>20005</v>
          </cell>
          <cell r="R3788">
            <v>20005</v>
          </cell>
          <cell r="S3788">
            <v>0</v>
          </cell>
          <cell r="T3788">
            <v>0</v>
          </cell>
          <cell r="U3788">
            <v>0</v>
          </cell>
          <cell r="V3788">
            <v>0</v>
          </cell>
          <cell r="W3788">
            <v>0</v>
          </cell>
        </row>
        <row r="3789">
          <cell r="A3789" t="str">
            <v>453934</v>
          </cell>
          <cell r="B3789" t="str">
            <v>1251</v>
          </cell>
          <cell r="C3789" t="str">
            <v>12</v>
          </cell>
          <cell r="D3789" t="str">
            <v>09</v>
          </cell>
          <cell r="E3789">
            <v>16</v>
          </cell>
          <cell r="G3789">
            <v>0</v>
          </cell>
          <cell r="H3789">
            <v>0</v>
          </cell>
          <cell r="I3789">
            <v>0</v>
          </cell>
          <cell r="J3789">
            <v>0</v>
          </cell>
          <cell r="K3789">
            <v>0</v>
          </cell>
          <cell r="L3789">
            <v>0</v>
          </cell>
          <cell r="M3789">
            <v>0</v>
          </cell>
          <cell r="N3789">
            <v>0</v>
          </cell>
          <cell r="O3789">
            <v>0</v>
          </cell>
          <cell r="P3789">
            <v>0</v>
          </cell>
          <cell r="Q3789">
            <v>0</v>
          </cell>
          <cell r="R3789">
            <v>0</v>
          </cell>
          <cell r="S3789">
            <v>0</v>
          </cell>
          <cell r="T3789">
            <v>0</v>
          </cell>
          <cell r="U3789">
            <v>0</v>
          </cell>
          <cell r="V3789">
            <v>0</v>
          </cell>
          <cell r="W3789">
            <v>0</v>
          </cell>
        </row>
        <row r="3790">
          <cell r="A3790" t="str">
            <v>453934</v>
          </cell>
          <cell r="B3790" t="str">
            <v>1251</v>
          </cell>
          <cell r="C3790" t="str">
            <v>12</v>
          </cell>
          <cell r="D3790" t="str">
            <v>09</v>
          </cell>
          <cell r="E3790">
            <v>21</v>
          </cell>
          <cell r="G3790">
            <v>0</v>
          </cell>
          <cell r="H3790">
            <v>0</v>
          </cell>
          <cell r="I3790">
            <v>0</v>
          </cell>
          <cell r="J3790">
            <v>16500</v>
          </cell>
          <cell r="K3790">
            <v>20005</v>
          </cell>
          <cell r="L3790">
            <v>20005</v>
          </cell>
          <cell r="M3790">
            <v>0</v>
          </cell>
          <cell r="N3790">
            <v>0</v>
          </cell>
          <cell r="O3790">
            <v>0</v>
          </cell>
          <cell r="P3790">
            <v>0</v>
          </cell>
          <cell r="Q3790">
            <v>0</v>
          </cell>
          <cell r="R3790">
            <v>0</v>
          </cell>
          <cell r="S3790">
            <v>0</v>
          </cell>
          <cell r="T3790">
            <v>0</v>
          </cell>
          <cell r="U3790">
            <v>0</v>
          </cell>
          <cell r="V3790">
            <v>0</v>
          </cell>
          <cell r="W3790">
            <v>0</v>
          </cell>
        </row>
        <row r="3791">
          <cell r="A3791" t="str">
            <v>453934</v>
          </cell>
          <cell r="B3791" t="str">
            <v>1251</v>
          </cell>
          <cell r="C3791" t="str">
            <v>12</v>
          </cell>
          <cell r="D3791" t="str">
            <v>09</v>
          </cell>
          <cell r="E3791">
            <v>26</v>
          </cell>
          <cell r="G3791">
            <v>0</v>
          </cell>
          <cell r="H3791">
            <v>0</v>
          </cell>
          <cell r="I3791">
            <v>0</v>
          </cell>
          <cell r="J3791">
            <v>23661</v>
          </cell>
          <cell r="K3791">
            <v>24001</v>
          </cell>
          <cell r="L3791">
            <v>24001</v>
          </cell>
          <cell r="M3791">
            <v>0</v>
          </cell>
          <cell r="N3791">
            <v>0</v>
          </cell>
          <cell r="O3791">
            <v>0</v>
          </cell>
          <cell r="P3791">
            <v>0</v>
          </cell>
          <cell r="Q3791">
            <v>0</v>
          </cell>
          <cell r="R3791">
            <v>0</v>
          </cell>
          <cell r="S3791">
            <v>0</v>
          </cell>
          <cell r="T3791">
            <v>0</v>
          </cell>
          <cell r="U3791">
            <v>0</v>
          </cell>
          <cell r="V3791">
            <v>0</v>
          </cell>
          <cell r="W3791">
            <v>0</v>
          </cell>
        </row>
        <row r="3792">
          <cell r="A3792" t="str">
            <v>453934</v>
          </cell>
          <cell r="B3792" t="str">
            <v>1251</v>
          </cell>
          <cell r="C3792" t="str">
            <v>12</v>
          </cell>
          <cell r="D3792" t="str">
            <v>10</v>
          </cell>
          <cell r="E3792">
            <v>1</v>
          </cell>
          <cell r="G3792">
            <v>0</v>
          </cell>
          <cell r="H3792">
            <v>0</v>
          </cell>
          <cell r="I3792">
            <v>0</v>
          </cell>
          <cell r="J3792">
            <v>0</v>
          </cell>
          <cell r="K3792">
            <v>0</v>
          </cell>
          <cell r="L3792">
            <v>0</v>
          </cell>
          <cell r="M3792">
            <v>0</v>
          </cell>
          <cell r="N3792">
            <v>0</v>
          </cell>
          <cell r="O3792">
            <v>0</v>
          </cell>
          <cell r="P3792">
            <v>0</v>
          </cell>
          <cell r="Q3792">
            <v>0</v>
          </cell>
          <cell r="R3792">
            <v>0</v>
          </cell>
          <cell r="S3792">
            <v>0</v>
          </cell>
          <cell r="T3792">
            <v>0</v>
          </cell>
          <cell r="U3792">
            <v>0</v>
          </cell>
          <cell r="V3792">
            <v>0</v>
          </cell>
          <cell r="W3792">
            <v>0</v>
          </cell>
        </row>
        <row r="3793">
          <cell r="A3793" t="str">
            <v>453934</v>
          </cell>
          <cell r="B3793" t="str">
            <v>1251</v>
          </cell>
          <cell r="C3793" t="str">
            <v>12</v>
          </cell>
          <cell r="D3793" t="str">
            <v>10</v>
          </cell>
          <cell r="E3793">
            <v>6</v>
          </cell>
          <cell r="G3793">
            <v>0</v>
          </cell>
          <cell r="H3793">
            <v>0</v>
          </cell>
          <cell r="I3793">
            <v>0</v>
          </cell>
          <cell r="J3793">
            <v>0</v>
          </cell>
          <cell r="K3793">
            <v>0</v>
          </cell>
          <cell r="L3793">
            <v>0</v>
          </cell>
          <cell r="M3793">
            <v>0</v>
          </cell>
          <cell r="N3793">
            <v>0</v>
          </cell>
          <cell r="O3793">
            <v>0</v>
          </cell>
          <cell r="P3793">
            <v>0</v>
          </cell>
          <cell r="Q3793">
            <v>0</v>
          </cell>
          <cell r="R3793">
            <v>0</v>
          </cell>
          <cell r="S3793">
            <v>0</v>
          </cell>
          <cell r="T3793">
            <v>0</v>
          </cell>
          <cell r="U3793">
            <v>0</v>
          </cell>
          <cell r="V3793">
            <v>0</v>
          </cell>
          <cell r="W3793">
            <v>0</v>
          </cell>
        </row>
        <row r="3794">
          <cell r="A3794" t="str">
            <v>453934</v>
          </cell>
          <cell r="B3794" t="str">
            <v>1251</v>
          </cell>
          <cell r="C3794" t="str">
            <v>12</v>
          </cell>
          <cell r="D3794" t="str">
            <v>10</v>
          </cell>
          <cell r="E3794">
            <v>11</v>
          </cell>
          <cell r="G3794">
            <v>0</v>
          </cell>
          <cell r="H3794">
            <v>0</v>
          </cell>
          <cell r="I3794">
            <v>0</v>
          </cell>
          <cell r="J3794">
            <v>0</v>
          </cell>
          <cell r="K3794">
            <v>0</v>
          </cell>
          <cell r="L3794">
            <v>0</v>
          </cell>
          <cell r="M3794">
            <v>0</v>
          </cell>
          <cell r="N3794">
            <v>0</v>
          </cell>
          <cell r="O3794">
            <v>0</v>
          </cell>
          <cell r="P3794">
            <v>0</v>
          </cell>
          <cell r="Q3794">
            <v>0</v>
          </cell>
          <cell r="R3794">
            <v>0</v>
          </cell>
          <cell r="S3794">
            <v>0</v>
          </cell>
          <cell r="T3794">
            <v>0</v>
          </cell>
          <cell r="U3794">
            <v>0</v>
          </cell>
          <cell r="V3794">
            <v>0</v>
          </cell>
          <cell r="W3794">
            <v>0</v>
          </cell>
        </row>
        <row r="3795">
          <cell r="A3795" t="str">
            <v>453934</v>
          </cell>
          <cell r="B3795" t="str">
            <v>1251</v>
          </cell>
          <cell r="C3795" t="str">
            <v>12</v>
          </cell>
          <cell r="D3795" t="str">
            <v>10</v>
          </cell>
          <cell r="E3795">
            <v>16</v>
          </cell>
          <cell r="G3795">
            <v>0</v>
          </cell>
          <cell r="H3795">
            <v>0</v>
          </cell>
          <cell r="I3795">
            <v>0</v>
          </cell>
          <cell r="J3795">
            <v>0</v>
          </cell>
          <cell r="K3795">
            <v>0</v>
          </cell>
          <cell r="L3795">
            <v>0</v>
          </cell>
          <cell r="M3795">
            <v>0</v>
          </cell>
          <cell r="N3795">
            <v>0</v>
          </cell>
          <cell r="O3795">
            <v>0</v>
          </cell>
          <cell r="P3795">
            <v>0</v>
          </cell>
          <cell r="Q3795">
            <v>0</v>
          </cell>
          <cell r="R3795">
            <v>0</v>
          </cell>
          <cell r="S3795">
            <v>0</v>
          </cell>
          <cell r="T3795">
            <v>0</v>
          </cell>
          <cell r="U3795">
            <v>0</v>
          </cell>
          <cell r="V3795">
            <v>0</v>
          </cell>
          <cell r="W3795">
            <v>0</v>
          </cell>
        </row>
        <row r="3796">
          <cell r="A3796" t="str">
            <v>453934</v>
          </cell>
          <cell r="B3796" t="str">
            <v>1251</v>
          </cell>
          <cell r="C3796" t="str">
            <v>12</v>
          </cell>
          <cell r="D3796" t="str">
            <v>10</v>
          </cell>
          <cell r="E3796">
            <v>21</v>
          </cell>
          <cell r="G3796">
            <v>0</v>
          </cell>
          <cell r="H3796">
            <v>0</v>
          </cell>
          <cell r="I3796">
            <v>0</v>
          </cell>
          <cell r="J3796">
            <v>0</v>
          </cell>
          <cell r="K3796">
            <v>0</v>
          </cell>
          <cell r="L3796">
            <v>0</v>
          </cell>
          <cell r="M3796">
            <v>0</v>
          </cell>
          <cell r="N3796">
            <v>0</v>
          </cell>
          <cell r="O3796">
            <v>0</v>
          </cell>
          <cell r="P3796">
            <v>0</v>
          </cell>
          <cell r="Q3796">
            <v>0</v>
          </cell>
          <cell r="R3796">
            <v>0</v>
          </cell>
          <cell r="S3796">
            <v>0</v>
          </cell>
          <cell r="T3796">
            <v>0</v>
          </cell>
          <cell r="U3796">
            <v>0</v>
          </cell>
          <cell r="V3796">
            <v>0</v>
          </cell>
          <cell r="W3796">
            <v>0</v>
          </cell>
        </row>
        <row r="3797">
          <cell r="A3797" t="str">
            <v>453934</v>
          </cell>
          <cell r="B3797" t="str">
            <v>1251</v>
          </cell>
          <cell r="C3797" t="str">
            <v>12</v>
          </cell>
          <cell r="D3797" t="str">
            <v>10</v>
          </cell>
          <cell r="E3797">
            <v>26</v>
          </cell>
          <cell r="G3797">
            <v>0</v>
          </cell>
          <cell r="H3797">
            <v>0</v>
          </cell>
          <cell r="I3797">
            <v>0</v>
          </cell>
          <cell r="J3797">
            <v>0</v>
          </cell>
          <cell r="K3797">
            <v>0</v>
          </cell>
          <cell r="L3797">
            <v>0</v>
          </cell>
          <cell r="M3797">
            <v>0</v>
          </cell>
          <cell r="N3797">
            <v>0</v>
          </cell>
          <cell r="O3797">
            <v>0</v>
          </cell>
          <cell r="P3797">
            <v>0</v>
          </cell>
          <cell r="Q3797">
            <v>0</v>
          </cell>
          <cell r="R3797">
            <v>0</v>
          </cell>
          <cell r="S3797">
            <v>0</v>
          </cell>
          <cell r="T3797">
            <v>0</v>
          </cell>
          <cell r="U3797">
            <v>0</v>
          </cell>
          <cell r="V3797">
            <v>0</v>
          </cell>
          <cell r="W3797">
            <v>0</v>
          </cell>
        </row>
        <row r="3798">
          <cell r="A3798" t="str">
            <v>453934</v>
          </cell>
          <cell r="B3798" t="str">
            <v>1251</v>
          </cell>
          <cell r="C3798" t="str">
            <v>12</v>
          </cell>
          <cell r="D3798" t="str">
            <v>10</v>
          </cell>
          <cell r="E3798">
            <v>31</v>
          </cell>
          <cell r="G3798">
            <v>0</v>
          </cell>
          <cell r="H3798">
            <v>0</v>
          </cell>
          <cell r="I3798">
            <v>0</v>
          </cell>
          <cell r="J3798">
            <v>0</v>
          </cell>
          <cell r="K3798">
            <v>0</v>
          </cell>
          <cell r="L3798">
            <v>0</v>
          </cell>
          <cell r="M3798">
            <v>0</v>
          </cell>
          <cell r="N3798">
            <v>0</v>
          </cell>
          <cell r="O3798">
            <v>0</v>
          </cell>
          <cell r="P3798">
            <v>0</v>
          </cell>
          <cell r="Q3798">
            <v>0</v>
          </cell>
          <cell r="R3798">
            <v>0</v>
          </cell>
          <cell r="S3798">
            <v>0</v>
          </cell>
          <cell r="T3798">
            <v>0</v>
          </cell>
          <cell r="U3798">
            <v>0</v>
          </cell>
          <cell r="V3798">
            <v>0</v>
          </cell>
          <cell r="W3798">
            <v>0</v>
          </cell>
        </row>
        <row r="3799">
          <cell r="A3799" t="str">
            <v>453934</v>
          </cell>
          <cell r="B3799" t="str">
            <v>1251</v>
          </cell>
          <cell r="C3799" t="str">
            <v>12</v>
          </cell>
          <cell r="D3799" t="str">
            <v>10</v>
          </cell>
          <cell r="E3799">
            <v>36</v>
          </cell>
          <cell r="G3799">
            <v>0</v>
          </cell>
          <cell r="H3799">
            <v>0</v>
          </cell>
          <cell r="I3799">
            <v>0</v>
          </cell>
          <cell r="J3799">
            <v>0</v>
          </cell>
          <cell r="K3799">
            <v>0</v>
          </cell>
          <cell r="L3799">
            <v>0</v>
          </cell>
          <cell r="M3799">
            <v>0</v>
          </cell>
          <cell r="N3799">
            <v>0</v>
          </cell>
          <cell r="O3799">
            <v>0</v>
          </cell>
          <cell r="P3799">
            <v>0</v>
          </cell>
          <cell r="Q3799">
            <v>0</v>
          </cell>
          <cell r="R3799">
            <v>0</v>
          </cell>
          <cell r="S3799">
            <v>0</v>
          </cell>
          <cell r="T3799">
            <v>0</v>
          </cell>
          <cell r="U3799">
            <v>0</v>
          </cell>
          <cell r="V3799">
            <v>0</v>
          </cell>
          <cell r="W3799">
            <v>0</v>
          </cell>
        </row>
        <row r="3800">
          <cell r="A3800" t="str">
            <v>453934</v>
          </cell>
          <cell r="B3800" t="str">
            <v>1251</v>
          </cell>
          <cell r="C3800" t="str">
            <v>12</v>
          </cell>
          <cell r="D3800" t="str">
            <v>10</v>
          </cell>
          <cell r="E3800">
            <v>41</v>
          </cell>
          <cell r="G3800">
            <v>0</v>
          </cell>
          <cell r="H3800">
            <v>0</v>
          </cell>
          <cell r="I3800">
            <v>0</v>
          </cell>
          <cell r="J3800">
            <v>0</v>
          </cell>
          <cell r="K3800">
            <v>0</v>
          </cell>
          <cell r="L3800">
            <v>0</v>
          </cell>
          <cell r="M3800">
            <v>0</v>
          </cell>
          <cell r="N3800">
            <v>0</v>
          </cell>
          <cell r="O3800">
            <v>0</v>
          </cell>
          <cell r="P3800">
            <v>0</v>
          </cell>
          <cell r="Q3800">
            <v>0</v>
          </cell>
          <cell r="R3800">
            <v>0</v>
          </cell>
          <cell r="S3800">
            <v>0</v>
          </cell>
          <cell r="T3800">
            <v>0</v>
          </cell>
          <cell r="U3800">
            <v>0</v>
          </cell>
          <cell r="V3800">
            <v>0</v>
          </cell>
          <cell r="W3800">
            <v>0</v>
          </cell>
        </row>
        <row r="3801">
          <cell r="A3801" t="str">
            <v>453934</v>
          </cell>
          <cell r="B3801" t="str">
            <v>1251</v>
          </cell>
          <cell r="C3801" t="str">
            <v>12</v>
          </cell>
          <cell r="D3801" t="str">
            <v>10</v>
          </cell>
          <cell r="E3801">
            <v>46</v>
          </cell>
          <cell r="G3801">
            <v>0</v>
          </cell>
          <cell r="H3801">
            <v>0</v>
          </cell>
          <cell r="I3801">
            <v>0</v>
          </cell>
          <cell r="J3801">
            <v>0</v>
          </cell>
          <cell r="K3801">
            <v>0</v>
          </cell>
          <cell r="L3801">
            <v>0</v>
          </cell>
          <cell r="M3801">
            <v>0</v>
          </cell>
          <cell r="N3801">
            <v>0</v>
          </cell>
          <cell r="O3801">
            <v>0</v>
          </cell>
          <cell r="P3801">
            <v>0</v>
          </cell>
          <cell r="Q3801">
            <v>0</v>
          </cell>
          <cell r="R3801">
            <v>0</v>
          </cell>
          <cell r="S3801">
            <v>0</v>
          </cell>
          <cell r="T3801">
            <v>0</v>
          </cell>
          <cell r="U3801">
            <v>0</v>
          </cell>
          <cell r="V3801">
            <v>0</v>
          </cell>
          <cell r="W3801">
            <v>0</v>
          </cell>
        </row>
        <row r="3802">
          <cell r="A3802" t="str">
            <v>453934</v>
          </cell>
          <cell r="B3802" t="str">
            <v>1251</v>
          </cell>
          <cell r="C3802" t="str">
            <v>12</v>
          </cell>
          <cell r="D3802" t="str">
            <v>10</v>
          </cell>
          <cell r="E3802">
            <v>51</v>
          </cell>
          <cell r="G3802">
            <v>0</v>
          </cell>
          <cell r="H3802">
            <v>0</v>
          </cell>
          <cell r="I3802">
            <v>0</v>
          </cell>
          <cell r="J3802">
            <v>0</v>
          </cell>
          <cell r="K3802">
            <v>0</v>
          </cell>
          <cell r="L3802">
            <v>0</v>
          </cell>
          <cell r="M3802">
            <v>0</v>
          </cell>
          <cell r="N3802">
            <v>0</v>
          </cell>
          <cell r="O3802">
            <v>0</v>
          </cell>
          <cell r="P3802">
            <v>0</v>
          </cell>
          <cell r="Q3802">
            <v>0</v>
          </cell>
          <cell r="R3802">
            <v>0</v>
          </cell>
          <cell r="S3802">
            <v>0</v>
          </cell>
          <cell r="T3802">
            <v>0</v>
          </cell>
          <cell r="U3802">
            <v>0</v>
          </cell>
          <cell r="V3802">
            <v>0</v>
          </cell>
          <cell r="W3802">
            <v>0</v>
          </cell>
        </row>
        <row r="3803">
          <cell r="A3803" t="str">
            <v>453934</v>
          </cell>
          <cell r="B3803" t="str">
            <v>1251</v>
          </cell>
          <cell r="C3803" t="str">
            <v>12</v>
          </cell>
          <cell r="D3803" t="str">
            <v>10</v>
          </cell>
          <cell r="E3803">
            <v>56</v>
          </cell>
          <cell r="G3803">
            <v>0</v>
          </cell>
          <cell r="H3803">
            <v>2954</v>
          </cell>
          <cell r="I3803">
            <v>2954</v>
          </cell>
          <cell r="J3803">
            <v>0</v>
          </cell>
          <cell r="K3803">
            <v>0</v>
          </cell>
          <cell r="L3803">
            <v>0</v>
          </cell>
          <cell r="M3803">
            <v>0</v>
          </cell>
          <cell r="N3803">
            <v>0</v>
          </cell>
          <cell r="O3803">
            <v>0</v>
          </cell>
          <cell r="P3803">
            <v>0</v>
          </cell>
          <cell r="Q3803">
            <v>2954</v>
          </cell>
          <cell r="R3803">
            <v>2954</v>
          </cell>
          <cell r="S3803">
            <v>0</v>
          </cell>
          <cell r="T3803">
            <v>0</v>
          </cell>
          <cell r="U3803">
            <v>0</v>
          </cell>
          <cell r="V3803">
            <v>0</v>
          </cell>
          <cell r="W3803">
            <v>0</v>
          </cell>
        </row>
        <row r="3804">
          <cell r="A3804" t="str">
            <v>453934</v>
          </cell>
          <cell r="B3804" t="str">
            <v>1251</v>
          </cell>
          <cell r="C3804" t="str">
            <v>12</v>
          </cell>
          <cell r="D3804" t="str">
            <v>10</v>
          </cell>
          <cell r="E3804">
            <v>61</v>
          </cell>
          <cell r="G3804">
            <v>0</v>
          </cell>
          <cell r="H3804">
            <v>0</v>
          </cell>
          <cell r="I3804">
            <v>0</v>
          </cell>
          <cell r="J3804">
            <v>0</v>
          </cell>
          <cell r="K3804">
            <v>0</v>
          </cell>
          <cell r="L3804">
            <v>0</v>
          </cell>
          <cell r="M3804">
            <v>0</v>
          </cell>
          <cell r="N3804">
            <v>0</v>
          </cell>
          <cell r="O3804">
            <v>0</v>
          </cell>
          <cell r="P3804">
            <v>0</v>
          </cell>
          <cell r="Q3804">
            <v>0</v>
          </cell>
          <cell r="R3804">
            <v>0</v>
          </cell>
          <cell r="S3804">
            <v>0</v>
          </cell>
          <cell r="T3804">
            <v>0</v>
          </cell>
          <cell r="U3804">
            <v>0</v>
          </cell>
          <cell r="V3804">
            <v>0</v>
          </cell>
          <cell r="W3804">
            <v>0</v>
          </cell>
        </row>
        <row r="3805">
          <cell r="A3805" t="str">
            <v>453934</v>
          </cell>
          <cell r="B3805" t="str">
            <v>1251</v>
          </cell>
          <cell r="C3805" t="str">
            <v>12</v>
          </cell>
          <cell r="D3805" t="str">
            <v>10</v>
          </cell>
          <cell r="E3805">
            <v>66</v>
          </cell>
          <cell r="G3805">
            <v>0</v>
          </cell>
          <cell r="H3805">
            <v>0</v>
          </cell>
          <cell r="I3805">
            <v>0</v>
          </cell>
          <cell r="J3805">
            <v>0</v>
          </cell>
          <cell r="K3805">
            <v>0</v>
          </cell>
          <cell r="L3805">
            <v>0</v>
          </cell>
          <cell r="M3805">
            <v>0</v>
          </cell>
          <cell r="N3805">
            <v>0</v>
          </cell>
          <cell r="O3805">
            <v>0</v>
          </cell>
          <cell r="P3805">
            <v>0</v>
          </cell>
          <cell r="Q3805">
            <v>0</v>
          </cell>
          <cell r="R3805">
            <v>0</v>
          </cell>
          <cell r="S3805">
            <v>0</v>
          </cell>
          <cell r="T3805">
            <v>0</v>
          </cell>
          <cell r="U3805">
            <v>0</v>
          </cell>
          <cell r="V3805">
            <v>0</v>
          </cell>
          <cell r="W3805">
            <v>0</v>
          </cell>
        </row>
        <row r="3806">
          <cell r="A3806" t="str">
            <v>453934</v>
          </cell>
          <cell r="B3806" t="str">
            <v>1251</v>
          </cell>
          <cell r="C3806" t="str">
            <v>12</v>
          </cell>
          <cell r="D3806" t="str">
            <v>10</v>
          </cell>
          <cell r="E3806">
            <v>71</v>
          </cell>
          <cell r="G3806">
            <v>0</v>
          </cell>
          <cell r="H3806">
            <v>0</v>
          </cell>
          <cell r="I3806">
            <v>0</v>
          </cell>
          <cell r="J3806">
            <v>0</v>
          </cell>
          <cell r="K3806">
            <v>0</v>
          </cell>
          <cell r="L3806">
            <v>0</v>
          </cell>
          <cell r="M3806">
            <v>0</v>
          </cell>
          <cell r="N3806">
            <v>0</v>
          </cell>
          <cell r="O3806">
            <v>0</v>
          </cell>
          <cell r="P3806">
            <v>0</v>
          </cell>
          <cell r="Q3806">
            <v>0</v>
          </cell>
          <cell r="R3806">
            <v>0</v>
          </cell>
          <cell r="S3806">
            <v>0</v>
          </cell>
          <cell r="T3806">
            <v>0</v>
          </cell>
          <cell r="U3806">
            <v>0</v>
          </cell>
          <cell r="V3806">
            <v>0</v>
          </cell>
          <cell r="W3806">
            <v>0</v>
          </cell>
        </row>
        <row r="3807">
          <cell r="A3807" t="str">
            <v>453934</v>
          </cell>
          <cell r="B3807" t="str">
            <v>1251</v>
          </cell>
          <cell r="C3807" t="str">
            <v>12</v>
          </cell>
          <cell r="D3807" t="str">
            <v>10</v>
          </cell>
          <cell r="E3807">
            <v>76</v>
          </cell>
          <cell r="G3807">
            <v>0</v>
          </cell>
          <cell r="H3807">
            <v>0</v>
          </cell>
          <cell r="I3807">
            <v>0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0</v>
          </cell>
          <cell r="R3807">
            <v>0</v>
          </cell>
          <cell r="S3807">
            <v>0</v>
          </cell>
          <cell r="T3807">
            <v>0</v>
          </cell>
          <cell r="U3807">
            <v>0</v>
          </cell>
          <cell r="V3807">
            <v>0</v>
          </cell>
          <cell r="W3807">
            <v>0</v>
          </cell>
        </row>
        <row r="3808">
          <cell r="A3808" t="str">
            <v>453934</v>
          </cell>
          <cell r="B3808" t="str">
            <v>1251</v>
          </cell>
          <cell r="C3808" t="str">
            <v>12</v>
          </cell>
          <cell r="D3808" t="str">
            <v>10</v>
          </cell>
          <cell r="E3808">
            <v>81</v>
          </cell>
          <cell r="G3808">
            <v>0</v>
          </cell>
          <cell r="H3808">
            <v>0</v>
          </cell>
          <cell r="I3808">
            <v>0</v>
          </cell>
          <cell r="J3808">
            <v>0</v>
          </cell>
          <cell r="K3808">
            <v>0</v>
          </cell>
          <cell r="L3808">
            <v>0</v>
          </cell>
          <cell r="M3808">
            <v>0</v>
          </cell>
          <cell r="N3808">
            <v>0</v>
          </cell>
          <cell r="O3808">
            <v>0</v>
          </cell>
          <cell r="P3808">
            <v>0</v>
          </cell>
          <cell r="Q3808">
            <v>0</v>
          </cell>
          <cell r="R3808">
            <v>0</v>
          </cell>
          <cell r="S3808">
            <v>0</v>
          </cell>
          <cell r="T3808">
            <v>0</v>
          </cell>
          <cell r="U3808">
            <v>0</v>
          </cell>
          <cell r="V3808">
            <v>0</v>
          </cell>
          <cell r="W3808">
            <v>0</v>
          </cell>
        </row>
        <row r="3809">
          <cell r="A3809" t="str">
            <v>453934</v>
          </cell>
          <cell r="B3809" t="str">
            <v>1251</v>
          </cell>
          <cell r="C3809" t="str">
            <v>12</v>
          </cell>
          <cell r="D3809" t="str">
            <v>10</v>
          </cell>
          <cell r="E3809">
            <v>86</v>
          </cell>
          <cell r="G3809">
            <v>0</v>
          </cell>
          <cell r="H3809">
            <v>0</v>
          </cell>
          <cell r="I3809">
            <v>0</v>
          </cell>
          <cell r="J3809">
            <v>0</v>
          </cell>
          <cell r="K3809">
            <v>0</v>
          </cell>
          <cell r="L3809">
            <v>0</v>
          </cell>
          <cell r="M3809">
            <v>0</v>
          </cell>
          <cell r="N3809">
            <v>0</v>
          </cell>
          <cell r="O3809">
            <v>0</v>
          </cell>
          <cell r="P3809">
            <v>0</v>
          </cell>
          <cell r="Q3809">
            <v>0</v>
          </cell>
          <cell r="R3809">
            <v>0</v>
          </cell>
          <cell r="S3809">
            <v>0</v>
          </cell>
          <cell r="T3809">
            <v>0</v>
          </cell>
          <cell r="U3809">
            <v>0</v>
          </cell>
          <cell r="V3809">
            <v>0</v>
          </cell>
          <cell r="W3809">
            <v>0</v>
          </cell>
        </row>
        <row r="3810">
          <cell r="A3810" t="str">
            <v>453934</v>
          </cell>
          <cell r="B3810" t="str">
            <v>1251</v>
          </cell>
          <cell r="C3810" t="str">
            <v>12</v>
          </cell>
          <cell r="D3810" t="str">
            <v>10</v>
          </cell>
          <cell r="E3810">
            <v>91</v>
          </cell>
          <cell r="G3810">
            <v>0</v>
          </cell>
          <cell r="H3810">
            <v>0</v>
          </cell>
          <cell r="I3810">
            <v>0</v>
          </cell>
          <cell r="J3810">
            <v>0</v>
          </cell>
          <cell r="K3810">
            <v>0</v>
          </cell>
          <cell r="L3810">
            <v>0</v>
          </cell>
          <cell r="M3810">
            <v>0</v>
          </cell>
          <cell r="N3810">
            <v>0</v>
          </cell>
          <cell r="O3810">
            <v>0</v>
          </cell>
          <cell r="P3810">
            <v>0</v>
          </cell>
          <cell r="Q3810">
            <v>0</v>
          </cell>
          <cell r="R3810">
            <v>0</v>
          </cell>
          <cell r="S3810">
            <v>0</v>
          </cell>
          <cell r="T3810">
            <v>0</v>
          </cell>
          <cell r="U3810">
            <v>0</v>
          </cell>
          <cell r="V3810">
            <v>0</v>
          </cell>
          <cell r="W3810">
            <v>0</v>
          </cell>
        </row>
        <row r="3811">
          <cell r="A3811" t="str">
            <v>453934</v>
          </cell>
          <cell r="B3811" t="str">
            <v>1251</v>
          </cell>
          <cell r="C3811" t="str">
            <v>12</v>
          </cell>
          <cell r="D3811" t="str">
            <v>10</v>
          </cell>
          <cell r="E3811">
            <v>96</v>
          </cell>
          <cell r="G3811">
            <v>0</v>
          </cell>
          <cell r="H3811">
            <v>0</v>
          </cell>
          <cell r="I3811">
            <v>0</v>
          </cell>
          <cell r="J3811">
            <v>0</v>
          </cell>
          <cell r="K3811">
            <v>0</v>
          </cell>
          <cell r="L3811">
            <v>0</v>
          </cell>
          <cell r="M3811">
            <v>0</v>
          </cell>
          <cell r="N3811">
            <v>0</v>
          </cell>
          <cell r="O3811">
            <v>0</v>
          </cell>
          <cell r="P3811">
            <v>0</v>
          </cell>
          <cell r="Q3811">
            <v>0</v>
          </cell>
          <cell r="R3811">
            <v>0</v>
          </cell>
          <cell r="S3811">
            <v>0</v>
          </cell>
          <cell r="T3811">
            <v>0</v>
          </cell>
          <cell r="U3811">
            <v>0</v>
          </cell>
          <cell r="V3811">
            <v>0</v>
          </cell>
          <cell r="W3811">
            <v>0</v>
          </cell>
        </row>
        <row r="3812">
          <cell r="A3812" t="str">
            <v>453934</v>
          </cell>
          <cell r="B3812" t="str">
            <v>1251</v>
          </cell>
          <cell r="C3812" t="str">
            <v>12</v>
          </cell>
          <cell r="D3812" t="str">
            <v>10</v>
          </cell>
          <cell r="E3812">
            <v>101</v>
          </cell>
          <cell r="G3812">
            <v>0</v>
          </cell>
          <cell r="H3812">
            <v>0</v>
          </cell>
          <cell r="I3812">
            <v>0</v>
          </cell>
          <cell r="J3812">
            <v>0</v>
          </cell>
          <cell r="K3812">
            <v>0</v>
          </cell>
          <cell r="L3812">
            <v>0</v>
          </cell>
          <cell r="M3812">
            <v>0</v>
          </cell>
          <cell r="N3812">
            <v>0</v>
          </cell>
          <cell r="O3812">
            <v>0</v>
          </cell>
          <cell r="P3812">
            <v>0</v>
          </cell>
          <cell r="Q3812">
            <v>0</v>
          </cell>
          <cell r="R3812">
            <v>0</v>
          </cell>
          <cell r="S3812">
            <v>0</v>
          </cell>
          <cell r="T3812">
            <v>0</v>
          </cell>
          <cell r="U3812">
            <v>0</v>
          </cell>
          <cell r="V3812">
            <v>0</v>
          </cell>
          <cell r="W3812">
            <v>0</v>
          </cell>
        </row>
        <row r="3813">
          <cell r="A3813" t="str">
            <v>453934</v>
          </cell>
          <cell r="B3813" t="str">
            <v>1251</v>
          </cell>
          <cell r="C3813" t="str">
            <v>12</v>
          </cell>
          <cell r="D3813" t="str">
            <v>10</v>
          </cell>
          <cell r="E3813">
            <v>106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</row>
        <row r="3814">
          <cell r="A3814" t="str">
            <v>453934</v>
          </cell>
          <cell r="B3814" t="str">
            <v>1251</v>
          </cell>
          <cell r="C3814" t="str">
            <v>12</v>
          </cell>
          <cell r="D3814" t="str">
            <v>10</v>
          </cell>
          <cell r="E3814">
            <v>111</v>
          </cell>
          <cell r="G3814">
            <v>0</v>
          </cell>
          <cell r="H3814">
            <v>0</v>
          </cell>
          <cell r="I3814">
            <v>0</v>
          </cell>
          <cell r="J3814">
            <v>0</v>
          </cell>
          <cell r="K3814">
            <v>2954</v>
          </cell>
          <cell r="L3814">
            <v>2954</v>
          </cell>
          <cell r="M3814">
            <v>0</v>
          </cell>
          <cell r="N3814">
            <v>0</v>
          </cell>
          <cell r="O3814">
            <v>0</v>
          </cell>
          <cell r="P3814">
            <v>0</v>
          </cell>
          <cell r="Q3814">
            <v>0</v>
          </cell>
          <cell r="R3814">
            <v>0</v>
          </cell>
          <cell r="S3814">
            <v>0</v>
          </cell>
          <cell r="T3814">
            <v>0</v>
          </cell>
          <cell r="U3814">
            <v>0</v>
          </cell>
          <cell r="V3814">
            <v>0</v>
          </cell>
          <cell r="W3814">
            <v>0</v>
          </cell>
        </row>
        <row r="3815">
          <cell r="A3815" t="str">
            <v>453934</v>
          </cell>
          <cell r="B3815" t="str">
            <v>1251</v>
          </cell>
          <cell r="C3815" t="str">
            <v>12</v>
          </cell>
          <cell r="D3815" t="str">
            <v>21</v>
          </cell>
          <cell r="E3815">
            <v>1</v>
          </cell>
          <cell r="G3815">
            <v>851286</v>
          </cell>
          <cell r="H3815">
            <v>12772</v>
          </cell>
          <cell r="I3815">
            <v>900</v>
          </cell>
          <cell r="J3815">
            <v>469</v>
          </cell>
          <cell r="K3815">
            <v>14141</v>
          </cell>
          <cell r="L3815">
            <v>4458</v>
          </cell>
          <cell r="M3815">
            <v>3261</v>
          </cell>
          <cell r="N3815">
            <v>60</v>
          </cell>
          <cell r="O3815">
            <v>0</v>
          </cell>
          <cell r="P3815">
            <v>0</v>
          </cell>
          <cell r="Q3815">
            <v>0</v>
          </cell>
          <cell r="R3815">
            <v>0</v>
          </cell>
          <cell r="S3815">
            <v>0</v>
          </cell>
          <cell r="T3815">
            <v>0</v>
          </cell>
          <cell r="U3815">
            <v>0</v>
          </cell>
          <cell r="V3815">
            <v>0</v>
          </cell>
          <cell r="W3815">
            <v>0</v>
          </cell>
        </row>
        <row r="3816">
          <cell r="A3816" t="str">
            <v>453934</v>
          </cell>
          <cell r="B3816" t="str">
            <v>1251</v>
          </cell>
          <cell r="C3816" t="str">
            <v>12</v>
          </cell>
          <cell r="D3816" t="str">
            <v>21</v>
          </cell>
          <cell r="E3816">
            <v>1</v>
          </cell>
          <cell r="G3816">
            <v>999999</v>
          </cell>
          <cell r="H3816">
            <v>12772</v>
          </cell>
          <cell r="I3816">
            <v>900</v>
          </cell>
          <cell r="J3816">
            <v>469</v>
          </cell>
          <cell r="K3816">
            <v>14141</v>
          </cell>
          <cell r="L3816">
            <v>4458</v>
          </cell>
          <cell r="M3816">
            <v>3261</v>
          </cell>
          <cell r="N3816">
            <v>60</v>
          </cell>
          <cell r="O3816">
            <v>0</v>
          </cell>
          <cell r="P3816">
            <v>0</v>
          </cell>
          <cell r="Q3816">
            <v>0</v>
          </cell>
          <cell r="R3816">
            <v>0</v>
          </cell>
          <cell r="S3816">
            <v>0</v>
          </cell>
          <cell r="T3816">
            <v>0</v>
          </cell>
          <cell r="U3816">
            <v>0</v>
          </cell>
          <cell r="V3816">
            <v>0</v>
          </cell>
          <cell r="W3816">
            <v>0</v>
          </cell>
        </row>
        <row r="3817">
          <cell r="A3817" t="str">
            <v>453934</v>
          </cell>
          <cell r="B3817" t="str">
            <v>1251</v>
          </cell>
          <cell r="C3817" t="str">
            <v>12</v>
          </cell>
          <cell r="D3817" t="str">
            <v>21</v>
          </cell>
          <cell r="E3817">
            <v>17</v>
          </cell>
          <cell r="G3817">
            <v>851286</v>
          </cell>
          <cell r="H3817">
            <v>0</v>
          </cell>
          <cell r="I3817">
            <v>0</v>
          </cell>
          <cell r="J3817">
            <v>0</v>
          </cell>
          <cell r="K3817">
            <v>0</v>
          </cell>
          <cell r="L3817">
            <v>0</v>
          </cell>
          <cell r="M3817">
            <v>0</v>
          </cell>
          <cell r="N3817">
            <v>0</v>
          </cell>
          <cell r="O3817">
            <v>0</v>
          </cell>
          <cell r="P3817">
            <v>0</v>
          </cell>
          <cell r="Q3817">
            <v>0</v>
          </cell>
          <cell r="R3817">
            <v>0</v>
          </cell>
          <cell r="S3817">
            <v>0</v>
          </cell>
          <cell r="T3817">
            <v>0</v>
          </cell>
          <cell r="U3817">
            <v>0</v>
          </cell>
          <cell r="V3817">
            <v>0</v>
          </cell>
          <cell r="W3817">
            <v>0</v>
          </cell>
        </row>
        <row r="3818">
          <cell r="A3818" t="str">
            <v>453934</v>
          </cell>
          <cell r="B3818" t="str">
            <v>1251</v>
          </cell>
          <cell r="C3818" t="str">
            <v>12</v>
          </cell>
          <cell r="D3818" t="str">
            <v>21</v>
          </cell>
          <cell r="E3818">
            <v>17</v>
          </cell>
          <cell r="G3818">
            <v>999999</v>
          </cell>
          <cell r="H3818">
            <v>0</v>
          </cell>
          <cell r="I3818">
            <v>0</v>
          </cell>
          <cell r="J3818">
            <v>0</v>
          </cell>
          <cell r="K3818">
            <v>0</v>
          </cell>
          <cell r="L3818">
            <v>0</v>
          </cell>
          <cell r="M3818">
            <v>0</v>
          </cell>
          <cell r="N3818">
            <v>0</v>
          </cell>
          <cell r="O3818">
            <v>0</v>
          </cell>
          <cell r="P3818">
            <v>0</v>
          </cell>
          <cell r="Q3818">
            <v>0</v>
          </cell>
          <cell r="R3818">
            <v>0</v>
          </cell>
          <cell r="S3818">
            <v>0</v>
          </cell>
          <cell r="T3818">
            <v>0</v>
          </cell>
          <cell r="U3818">
            <v>0</v>
          </cell>
          <cell r="V3818">
            <v>0</v>
          </cell>
          <cell r="W3818">
            <v>0</v>
          </cell>
        </row>
        <row r="3819">
          <cell r="A3819" t="str">
            <v>453934</v>
          </cell>
          <cell r="B3819" t="str">
            <v>1251</v>
          </cell>
          <cell r="C3819" t="str">
            <v>12</v>
          </cell>
          <cell r="D3819" t="str">
            <v>21</v>
          </cell>
          <cell r="E3819">
            <v>33</v>
          </cell>
          <cell r="G3819">
            <v>851286</v>
          </cell>
          <cell r="H3819">
            <v>0</v>
          </cell>
          <cell r="I3819">
            <v>0</v>
          </cell>
          <cell r="J3819">
            <v>0</v>
          </cell>
          <cell r="K3819">
            <v>0</v>
          </cell>
          <cell r="L3819">
            <v>0</v>
          </cell>
          <cell r="M3819">
            <v>0</v>
          </cell>
          <cell r="N3819">
            <v>0</v>
          </cell>
          <cell r="O3819">
            <v>0</v>
          </cell>
          <cell r="P3819">
            <v>0</v>
          </cell>
          <cell r="Q3819">
            <v>0</v>
          </cell>
          <cell r="R3819">
            <v>0</v>
          </cell>
          <cell r="S3819">
            <v>0</v>
          </cell>
          <cell r="T3819">
            <v>0</v>
          </cell>
          <cell r="U3819">
            <v>0</v>
          </cell>
          <cell r="V3819">
            <v>0</v>
          </cell>
          <cell r="W3819">
            <v>0</v>
          </cell>
        </row>
        <row r="3820">
          <cell r="A3820" t="str">
            <v>453934</v>
          </cell>
          <cell r="B3820" t="str">
            <v>1251</v>
          </cell>
          <cell r="C3820" t="str">
            <v>12</v>
          </cell>
          <cell r="D3820" t="str">
            <v>21</v>
          </cell>
          <cell r="E3820">
            <v>33</v>
          </cell>
          <cell r="G3820">
            <v>999999</v>
          </cell>
          <cell r="H3820">
            <v>0</v>
          </cell>
          <cell r="I3820">
            <v>0</v>
          </cell>
          <cell r="J3820">
            <v>0</v>
          </cell>
          <cell r="K3820">
            <v>0</v>
          </cell>
          <cell r="L3820">
            <v>0</v>
          </cell>
          <cell r="M3820">
            <v>0</v>
          </cell>
          <cell r="N3820">
            <v>0</v>
          </cell>
          <cell r="O3820">
            <v>0</v>
          </cell>
          <cell r="P3820">
            <v>0</v>
          </cell>
          <cell r="Q3820">
            <v>0</v>
          </cell>
          <cell r="R3820">
            <v>0</v>
          </cell>
          <cell r="S3820">
            <v>0</v>
          </cell>
          <cell r="T3820">
            <v>0</v>
          </cell>
          <cell r="U3820">
            <v>0</v>
          </cell>
          <cell r="V3820">
            <v>0</v>
          </cell>
          <cell r="W3820">
            <v>0</v>
          </cell>
        </row>
        <row r="3821">
          <cell r="A3821" t="str">
            <v>453934</v>
          </cell>
          <cell r="B3821" t="str">
            <v>1251</v>
          </cell>
          <cell r="C3821" t="str">
            <v>12</v>
          </cell>
          <cell r="D3821" t="str">
            <v>21</v>
          </cell>
          <cell r="E3821">
            <v>49</v>
          </cell>
          <cell r="G3821">
            <v>851286</v>
          </cell>
          <cell r="H3821">
            <v>0</v>
          </cell>
          <cell r="I3821">
            <v>0</v>
          </cell>
          <cell r="J3821">
            <v>0</v>
          </cell>
          <cell r="K3821">
            <v>0</v>
          </cell>
          <cell r="L3821">
            <v>0</v>
          </cell>
          <cell r="M3821">
            <v>0</v>
          </cell>
          <cell r="N3821">
            <v>0</v>
          </cell>
          <cell r="O3821">
            <v>0</v>
          </cell>
          <cell r="P3821">
            <v>0</v>
          </cell>
          <cell r="Q3821">
            <v>0</v>
          </cell>
          <cell r="R3821">
            <v>0</v>
          </cell>
          <cell r="S3821">
            <v>0</v>
          </cell>
          <cell r="T3821">
            <v>0</v>
          </cell>
          <cell r="U3821">
            <v>0</v>
          </cell>
          <cell r="V3821">
            <v>0</v>
          </cell>
          <cell r="W3821">
            <v>413</v>
          </cell>
        </row>
        <row r="3822">
          <cell r="A3822" t="str">
            <v>453934</v>
          </cell>
          <cell r="B3822" t="str">
            <v>1251</v>
          </cell>
          <cell r="C3822" t="str">
            <v>12</v>
          </cell>
          <cell r="D3822" t="str">
            <v>21</v>
          </cell>
          <cell r="E3822">
            <v>49</v>
          </cell>
          <cell r="G3822">
            <v>999999</v>
          </cell>
          <cell r="H3822">
            <v>0</v>
          </cell>
          <cell r="I3822">
            <v>0</v>
          </cell>
          <cell r="J3822">
            <v>0</v>
          </cell>
          <cell r="K3822">
            <v>0</v>
          </cell>
          <cell r="L3822">
            <v>0</v>
          </cell>
          <cell r="M3822">
            <v>0</v>
          </cell>
          <cell r="N3822">
            <v>0</v>
          </cell>
          <cell r="O3822">
            <v>0</v>
          </cell>
          <cell r="P3822">
            <v>0</v>
          </cell>
          <cell r="Q3822">
            <v>0</v>
          </cell>
          <cell r="R3822">
            <v>0</v>
          </cell>
          <cell r="S3822">
            <v>0</v>
          </cell>
          <cell r="T3822">
            <v>0</v>
          </cell>
          <cell r="U3822">
            <v>0</v>
          </cell>
          <cell r="V3822">
            <v>0</v>
          </cell>
          <cell r="W3822">
            <v>413</v>
          </cell>
        </row>
        <row r="3823">
          <cell r="A3823" t="str">
            <v>453934</v>
          </cell>
          <cell r="B3823" t="str">
            <v>1251</v>
          </cell>
          <cell r="C3823" t="str">
            <v>12</v>
          </cell>
          <cell r="D3823" t="str">
            <v>21</v>
          </cell>
          <cell r="E3823">
            <v>65</v>
          </cell>
          <cell r="G3823">
            <v>851286</v>
          </cell>
          <cell r="H3823">
            <v>0</v>
          </cell>
          <cell r="I3823">
            <v>83</v>
          </cell>
          <cell r="J3823">
            <v>0</v>
          </cell>
          <cell r="K3823">
            <v>0</v>
          </cell>
          <cell r="L3823">
            <v>22416</v>
          </cell>
          <cell r="M3823">
            <v>0</v>
          </cell>
          <cell r="N3823">
            <v>22416</v>
          </cell>
          <cell r="O3823">
            <v>0</v>
          </cell>
          <cell r="P3823">
            <v>22416</v>
          </cell>
          <cell r="Q3823">
            <v>1</v>
          </cell>
          <cell r="R3823">
            <v>1</v>
          </cell>
          <cell r="S3823">
            <v>6</v>
          </cell>
          <cell r="T3823">
            <v>6</v>
          </cell>
          <cell r="U3823">
            <v>0</v>
          </cell>
          <cell r="V3823">
            <v>0</v>
          </cell>
          <cell r="W3823">
            <v>0</v>
          </cell>
        </row>
        <row r="3824">
          <cell r="A3824" t="str">
            <v>453934</v>
          </cell>
          <cell r="B3824" t="str">
            <v>1251</v>
          </cell>
          <cell r="C3824" t="str">
            <v>12</v>
          </cell>
          <cell r="D3824" t="str">
            <v>21</v>
          </cell>
          <cell r="E3824">
            <v>65</v>
          </cell>
          <cell r="G3824">
            <v>999999</v>
          </cell>
          <cell r="H3824">
            <v>0</v>
          </cell>
          <cell r="I3824">
            <v>83</v>
          </cell>
          <cell r="J3824">
            <v>0</v>
          </cell>
          <cell r="K3824">
            <v>0</v>
          </cell>
          <cell r="L3824">
            <v>22416</v>
          </cell>
          <cell r="M3824">
            <v>0</v>
          </cell>
          <cell r="N3824">
            <v>22416</v>
          </cell>
          <cell r="O3824">
            <v>0</v>
          </cell>
          <cell r="P3824">
            <v>22416</v>
          </cell>
          <cell r="Q3824">
            <v>1</v>
          </cell>
          <cell r="R3824">
            <v>1</v>
          </cell>
          <cell r="S3824">
            <v>6</v>
          </cell>
          <cell r="T3824">
            <v>6</v>
          </cell>
          <cell r="U3824">
            <v>0</v>
          </cell>
          <cell r="V3824">
            <v>0</v>
          </cell>
          <cell r="W3824">
            <v>0</v>
          </cell>
        </row>
        <row r="3825">
          <cell r="A3825" t="str">
            <v>453934</v>
          </cell>
          <cell r="B3825" t="str">
            <v>1251</v>
          </cell>
          <cell r="C3825" t="str">
            <v>12</v>
          </cell>
          <cell r="D3825" t="str">
            <v>22</v>
          </cell>
          <cell r="E3825">
            <v>1</v>
          </cell>
          <cell r="G3825">
            <v>751922</v>
          </cell>
          <cell r="H3825">
            <v>0</v>
          </cell>
          <cell r="I3825">
            <v>0</v>
          </cell>
          <cell r="J3825">
            <v>0</v>
          </cell>
          <cell r="K3825">
            <v>0</v>
          </cell>
          <cell r="L3825">
            <v>0</v>
          </cell>
          <cell r="M3825">
            <v>0</v>
          </cell>
          <cell r="N3825">
            <v>0</v>
          </cell>
          <cell r="O3825">
            <v>0</v>
          </cell>
          <cell r="P3825">
            <v>596</v>
          </cell>
          <cell r="Q3825">
            <v>0</v>
          </cell>
          <cell r="R3825">
            <v>596</v>
          </cell>
          <cell r="S3825">
            <v>0</v>
          </cell>
          <cell r="T3825">
            <v>0</v>
          </cell>
          <cell r="U3825">
            <v>0</v>
          </cell>
          <cell r="V3825">
            <v>0</v>
          </cell>
          <cell r="W3825">
            <v>0</v>
          </cell>
        </row>
        <row r="3826">
          <cell r="A3826" t="str">
            <v>453934</v>
          </cell>
          <cell r="B3826" t="str">
            <v>1251</v>
          </cell>
          <cell r="C3826" t="str">
            <v>12</v>
          </cell>
          <cell r="D3826" t="str">
            <v>22</v>
          </cell>
          <cell r="E3826">
            <v>1</v>
          </cell>
          <cell r="G3826">
            <v>851286</v>
          </cell>
          <cell r="H3826">
            <v>0</v>
          </cell>
          <cell r="I3826">
            <v>0</v>
          </cell>
          <cell r="J3826">
            <v>0</v>
          </cell>
          <cell r="K3826">
            <v>5</v>
          </cell>
          <cell r="L3826">
            <v>0</v>
          </cell>
          <cell r="M3826">
            <v>0</v>
          </cell>
          <cell r="N3826">
            <v>16846</v>
          </cell>
          <cell r="O3826">
            <v>0</v>
          </cell>
          <cell r="P3826">
            <v>2563</v>
          </cell>
          <cell r="Q3826">
            <v>0</v>
          </cell>
          <cell r="R3826">
            <v>19409</v>
          </cell>
          <cell r="S3826">
            <v>0</v>
          </cell>
          <cell r="T3826">
            <v>0</v>
          </cell>
          <cell r="U3826">
            <v>0</v>
          </cell>
          <cell r="V3826">
            <v>0</v>
          </cell>
          <cell r="W3826">
            <v>0</v>
          </cell>
        </row>
        <row r="3827">
          <cell r="A3827" t="str">
            <v>453934</v>
          </cell>
          <cell r="B3827" t="str">
            <v>1251</v>
          </cell>
          <cell r="C3827" t="str">
            <v>12</v>
          </cell>
          <cell r="D3827" t="str">
            <v>22</v>
          </cell>
          <cell r="E3827">
            <v>1</v>
          </cell>
          <cell r="G3827">
            <v>999999</v>
          </cell>
          <cell r="H3827">
            <v>0</v>
          </cell>
          <cell r="I3827">
            <v>0</v>
          </cell>
          <cell r="J3827">
            <v>0</v>
          </cell>
          <cell r="K3827">
            <v>5</v>
          </cell>
          <cell r="L3827">
            <v>0</v>
          </cell>
          <cell r="M3827">
            <v>0</v>
          </cell>
          <cell r="N3827">
            <v>16846</v>
          </cell>
          <cell r="O3827">
            <v>0</v>
          </cell>
          <cell r="P3827">
            <v>3159</v>
          </cell>
          <cell r="Q3827">
            <v>0</v>
          </cell>
          <cell r="R3827">
            <v>20005</v>
          </cell>
          <cell r="S3827">
            <v>0</v>
          </cell>
          <cell r="T3827">
            <v>0</v>
          </cell>
          <cell r="U3827">
            <v>0</v>
          </cell>
          <cell r="V3827">
            <v>0</v>
          </cell>
          <cell r="W3827">
            <v>0</v>
          </cell>
        </row>
        <row r="3828">
          <cell r="A3828" t="str">
            <v>453934</v>
          </cell>
          <cell r="B3828" t="str">
            <v>1251</v>
          </cell>
          <cell r="C3828" t="str">
            <v>12</v>
          </cell>
          <cell r="D3828" t="str">
            <v>22</v>
          </cell>
          <cell r="E3828">
            <v>17</v>
          </cell>
          <cell r="G3828">
            <v>751922</v>
          </cell>
          <cell r="H3828">
            <v>0</v>
          </cell>
          <cell r="I3828">
            <v>0</v>
          </cell>
          <cell r="J3828">
            <v>0</v>
          </cell>
          <cell r="K3828">
            <v>0</v>
          </cell>
          <cell r="L3828">
            <v>0</v>
          </cell>
          <cell r="M3828">
            <v>0</v>
          </cell>
          <cell r="N3828">
            <v>0</v>
          </cell>
          <cell r="O3828">
            <v>0</v>
          </cell>
          <cell r="P3828">
            <v>0</v>
          </cell>
          <cell r="Q3828">
            <v>596</v>
          </cell>
          <cell r="R3828">
            <v>0</v>
          </cell>
          <cell r="S3828">
            <v>0</v>
          </cell>
          <cell r="T3828">
            <v>0</v>
          </cell>
          <cell r="U3828">
            <v>0</v>
          </cell>
          <cell r="V3828">
            <v>0</v>
          </cell>
          <cell r="W3828">
            <v>0</v>
          </cell>
        </row>
        <row r="3829">
          <cell r="A3829" t="str">
            <v>453934</v>
          </cell>
          <cell r="B3829" t="str">
            <v>1251</v>
          </cell>
          <cell r="C3829" t="str">
            <v>12</v>
          </cell>
          <cell r="D3829" t="str">
            <v>22</v>
          </cell>
          <cell r="E3829">
            <v>17</v>
          </cell>
          <cell r="G3829">
            <v>851286</v>
          </cell>
          <cell r="H3829">
            <v>0</v>
          </cell>
          <cell r="I3829">
            <v>0</v>
          </cell>
          <cell r="J3829">
            <v>0</v>
          </cell>
          <cell r="K3829">
            <v>0</v>
          </cell>
          <cell r="L3829">
            <v>0</v>
          </cell>
          <cell r="M3829">
            <v>0</v>
          </cell>
          <cell r="N3829">
            <v>0</v>
          </cell>
          <cell r="O3829">
            <v>0</v>
          </cell>
          <cell r="P3829">
            <v>0</v>
          </cell>
          <cell r="Q3829">
            <v>19414</v>
          </cell>
          <cell r="R3829">
            <v>0</v>
          </cell>
          <cell r="S3829">
            <v>0</v>
          </cell>
          <cell r="T3829">
            <v>0</v>
          </cell>
          <cell r="U3829">
            <v>0</v>
          </cell>
          <cell r="V3829">
            <v>0</v>
          </cell>
          <cell r="W3829">
            <v>0</v>
          </cell>
        </row>
        <row r="3830">
          <cell r="A3830" t="str">
            <v>453934</v>
          </cell>
          <cell r="B3830" t="str">
            <v>1251</v>
          </cell>
          <cell r="C3830" t="str">
            <v>12</v>
          </cell>
          <cell r="D3830" t="str">
            <v>22</v>
          </cell>
          <cell r="E3830">
            <v>17</v>
          </cell>
          <cell r="G3830">
            <v>999999</v>
          </cell>
          <cell r="H3830">
            <v>0</v>
          </cell>
          <cell r="I3830">
            <v>0</v>
          </cell>
          <cell r="J3830">
            <v>0</v>
          </cell>
          <cell r="K3830">
            <v>0</v>
          </cell>
          <cell r="L3830">
            <v>0</v>
          </cell>
          <cell r="M3830">
            <v>0</v>
          </cell>
          <cell r="N3830">
            <v>0</v>
          </cell>
          <cell r="O3830">
            <v>0</v>
          </cell>
          <cell r="P3830">
            <v>0</v>
          </cell>
          <cell r="Q3830">
            <v>20010</v>
          </cell>
          <cell r="R3830">
            <v>0</v>
          </cell>
          <cell r="S3830">
            <v>0</v>
          </cell>
          <cell r="T3830">
            <v>0</v>
          </cell>
          <cell r="U3830">
            <v>0</v>
          </cell>
          <cell r="V3830">
            <v>0</v>
          </cell>
          <cell r="W3830">
            <v>0</v>
          </cell>
        </row>
        <row r="3831">
          <cell r="A3831" t="str">
            <v>453934</v>
          </cell>
          <cell r="B3831" t="str">
            <v>1251</v>
          </cell>
          <cell r="C3831" t="str">
            <v>12</v>
          </cell>
          <cell r="D3831" t="str">
            <v>22</v>
          </cell>
          <cell r="E3831">
            <v>33</v>
          </cell>
          <cell r="G3831">
            <v>751922</v>
          </cell>
          <cell r="H3831">
            <v>0</v>
          </cell>
          <cell r="I3831">
            <v>0</v>
          </cell>
          <cell r="J3831">
            <v>0</v>
          </cell>
          <cell r="K3831">
            <v>0</v>
          </cell>
          <cell r="L3831">
            <v>0</v>
          </cell>
          <cell r="M3831">
            <v>0</v>
          </cell>
          <cell r="N3831">
            <v>0</v>
          </cell>
          <cell r="O3831">
            <v>0</v>
          </cell>
          <cell r="P3831">
            <v>0</v>
          </cell>
          <cell r="Q3831">
            <v>0</v>
          </cell>
          <cell r="R3831">
            <v>0</v>
          </cell>
          <cell r="S3831">
            <v>0</v>
          </cell>
          <cell r="T3831">
            <v>0</v>
          </cell>
          <cell r="U3831">
            <v>0</v>
          </cell>
          <cell r="V3831">
            <v>0</v>
          </cell>
          <cell r="W3831">
            <v>0</v>
          </cell>
        </row>
        <row r="3832">
          <cell r="A3832" t="str">
            <v>453934</v>
          </cell>
          <cell r="B3832" t="str">
            <v>1251</v>
          </cell>
          <cell r="C3832" t="str">
            <v>12</v>
          </cell>
          <cell r="D3832" t="str">
            <v>22</v>
          </cell>
          <cell r="E3832">
            <v>33</v>
          </cell>
          <cell r="G3832">
            <v>851286</v>
          </cell>
          <cell r="H3832">
            <v>0</v>
          </cell>
          <cell r="I3832">
            <v>0</v>
          </cell>
          <cell r="J3832">
            <v>0</v>
          </cell>
          <cell r="K3832">
            <v>0</v>
          </cell>
          <cell r="L3832">
            <v>0</v>
          </cell>
          <cell r="M3832">
            <v>0</v>
          </cell>
          <cell r="N3832">
            <v>0</v>
          </cell>
          <cell r="O3832">
            <v>0</v>
          </cell>
          <cell r="P3832">
            <v>0</v>
          </cell>
          <cell r="Q3832">
            <v>0</v>
          </cell>
          <cell r="R3832">
            <v>0</v>
          </cell>
          <cell r="S3832">
            <v>0</v>
          </cell>
          <cell r="T3832">
            <v>0</v>
          </cell>
          <cell r="U3832">
            <v>0</v>
          </cell>
          <cell r="V3832">
            <v>0</v>
          </cell>
          <cell r="W3832">
            <v>0</v>
          </cell>
        </row>
        <row r="3833">
          <cell r="A3833" t="str">
            <v>453934</v>
          </cell>
          <cell r="B3833" t="str">
            <v>1251</v>
          </cell>
          <cell r="C3833" t="str">
            <v>12</v>
          </cell>
          <cell r="D3833" t="str">
            <v>22</v>
          </cell>
          <cell r="E3833">
            <v>33</v>
          </cell>
          <cell r="G3833">
            <v>999999</v>
          </cell>
          <cell r="H3833">
            <v>0</v>
          </cell>
          <cell r="I3833">
            <v>0</v>
          </cell>
          <cell r="J3833">
            <v>0</v>
          </cell>
          <cell r="K3833">
            <v>0</v>
          </cell>
          <cell r="L3833">
            <v>0</v>
          </cell>
          <cell r="M3833">
            <v>0</v>
          </cell>
          <cell r="N3833">
            <v>0</v>
          </cell>
          <cell r="O3833">
            <v>0</v>
          </cell>
          <cell r="P3833">
            <v>0</v>
          </cell>
          <cell r="Q3833">
            <v>0</v>
          </cell>
          <cell r="R3833">
            <v>0</v>
          </cell>
          <cell r="S3833">
            <v>0</v>
          </cell>
          <cell r="T3833">
            <v>0</v>
          </cell>
          <cell r="U3833">
            <v>0</v>
          </cell>
          <cell r="V3833">
            <v>0</v>
          </cell>
          <cell r="W3833">
            <v>0</v>
          </cell>
        </row>
        <row r="3834">
          <cell r="A3834" t="str">
            <v>453934</v>
          </cell>
          <cell r="B3834" t="str">
            <v>1251</v>
          </cell>
          <cell r="C3834" t="str">
            <v>12</v>
          </cell>
          <cell r="D3834" t="str">
            <v>22</v>
          </cell>
          <cell r="E3834">
            <v>49</v>
          </cell>
          <cell r="G3834">
            <v>751922</v>
          </cell>
          <cell r="H3834">
            <v>3996</v>
          </cell>
          <cell r="I3834">
            <v>0</v>
          </cell>
          <cell r="J3834">
            <v>0</v>
          </cell>
          <cell r="K3834">
            <v>0</v>
          </cell>
          <cell r="L3834">
            <v>0</v>
          </cell>
          <cell r="M3834">
            <v>0</v>
          </cell>
          <cell r="N3834">
            <v>0</v>
          </cell>
          <cell r="O3834">
            <v>4592</v>
          </cell>
          <cell r="P3834">
            <v>0</v>
          </cell>
          <cell r="Q3834">
            <v>4592</v>
          </cell>
          <cell r="R3834">
            <v>0</v>
          </cell>
          <cell r="S3834">
            <v>4592</v>
          </cell>
          <cell r="T3834">
            <v>0</v>
          </cell>
          <cell r="U3834">
            <v>0</v>
          </cell>
          <cell r="V3834">
            <v>0</v>
          </cell>
          <cell r="W3834">
            <v>0</v>
          </cell>
        </row>
        <row r="3835">
          <cell r="A3835" t="str">
            <v>453934</v>
          </cell>
          <cell r="B3835" t="str">
            <v>1251</v>
          </cell>
          <cell r="C3835" t="str">
            <v>12</v>
          </cell>
          <cell r="D3835" t="str">
            <v>22</v>
          </cell>
          <cell r="E3835">
            <v>49</v>
          </cell>
          <cell r="G3835">
            <v>851286</v>
          </cell>
          <cell r="H3835">
            <v>0</v>
          </cell>
          <cell r="I3835">
            <v>0</v>
          </cell>
          <cell r="J3835">
            <v>0</v>
          </cell>
          <cell r="K3835">
            <v>0</v>
          </cell>
          <cell r="L3835">
            <v>0</v>
          </cell>
          <cell r="M3835">
            <v>0</v>
          </cell>
          <cell r="N3835">
            <v>0</v>
          </cell>
          <cell r="O3835">
            <v>19414</v>
          </cell>
          <cell r="P3835">
            <v>2954</v>
          </cell>
          <cell r="Q3835">
            <v>22368</v>
          </cell>
          <cell r="R3835">
            <v>0</v>
          </cell>
          <cell r="S3835">
            <v>22368</v>
          </cell>
          <cell r="T3835">
            <v>0</v>
          </cell>
          <cell r="U3835">
            <v>0</v>
          </cell>
          <cell r="V3835">
            <v>0</v>
          </cell>
          <cell r="W3835">
            <v>0</v>
          </cell>
        </row>
        <row r="3836">
          <cell r="A3836" t="str">
            <v>453934</v>
          </cell>
          <cell r="B3836" t="str">
            <v>1251</v>
          </cell>
          <cell r="C3836" t="str">
            <v>12</v>
          </cell>
          <cell r="D3836" t="str">
            <v>22</v>
          </cell>
          <cell r="E3836">
            <v>49</v>
          </cell>
          <cell r="G3836">
            <v>999999</v>
          </cell>
          <cell r="H3836">
            <v>3996</v>
          </cell>
          <cell r="I3836">
            <v>0</v>
          </cell>
          <cell r="J3836">
            <v>0</v>
          </cell>
          <cell r="K3836">
            <v>0</v>
          </cell>
          <cell r="L3836">
            <v>0</v>
          </cell>
          <cell r="M3836">
            <v>0</v>
          </cell>
          <cell r="N3836">
            <v>0</v>
          </cell>
          <cell r="O3836">
            <v>24006</v>
          </cell>
          <cell r="P3836">
            <v>2954</v>
          </cell>
          <cell r="Q3836">
            <v>26960</v>
          </cell>
          <cell r="R3836">
            <v>0</v>
          </cell>
          <cell r="S3836">
            <v>26960</v>
          </cell>
          <cell r="T3836">
            <v>0</v>
          </cell>
          <cell r="U3836">
            <v>0</v>
          </cell>
          <cell r="V3836">
            <v>0</v>
          </cell>
          <cell r="W3836">
            <v>0</v>
          </cell>
        </row>
        <row r="3837">
          <cell r="A3837" t="str">
            <v>453934</v>
          </cell>
          <cell r="B3837" t="str">
            <v>1251</v>
          </cell>
          <cell r="C3837" t="str">
            <v>12</v>
          </cell>
          <cell r="D3837" t="str">
            <v>23</v>
          </cell>
          <cell r="E3837">
            <v>1</v>
          </cell>
          <cell r="G3837">
            <v>13801</v>
          </cell>
          <cell r="H3837">
            <v>0</v>
          </cell>
          <cell r="I3837">
            <v>0</v>
          </cell>
          <cell r="J3837">
            <v>340</v>
          </cell>
          <cell r="K3837">
            <v>0</v>
          </cell>
          <cell r="L3837">
            <v>340</v>
          </cell>
          <cell r="M3837">
            <v>14141</v>
          </cell>
          <cell r="N3837">
            <v>14141</v>
          </cell>
          <cell r="O3837">
            <v>0</v>
          </cell>
          <cell r="P3837">
            <v>0</v>
          </cell>
          <cell r="Q3837">
            <v>0</v>
          </cell>
          <cell r="R3837">
            <v>0</v>
          </cell>
          <cell r="S3837">
            <v>0</v>
          </cell>
          <cell r="T3837">
            <v>0</v>
          </cell>
          <cell r="U3837">
            <v>0</v>
          </cell>
          <cell r="V3837">
            <v>0</v>
          </cell>
          <cell r="W3837">
            <v>0</v>
          </cell>
        </row>
        <row r="3838">
          <cell r="A3838" t="str">
            <v>453934</v>
          </cell>
          <cell r="B3838" t="str">
            <v>1251</v>
          </cell>
          <cell r="C3838" t="str">
            <v>12</v>
          </cell>
          <cell r="D3838" t="str">
            <v>23</v>
          </cell>
          <cell r="E3838">
            <v>2</v>
          </cell>
          <cell r="G3838">
            <v>4488</v>
          </cell>
          <cell r="H3838">
            <v>0</v>
          </cell>
          <cell r="I3838">
            <v>0</v>
          </cell>
          <cell r="J3838">
            <v>31</v>
          </cell>
          <cell r="K3838">
            <v>0</v>
          </cell>
          <cell r="L3838">
            <v>31</v>
          </cell>
          <cell r="M3838">
            <v>4519</v>
          </cell>
          <cell r="N3838">
            <v>4458</v>
          </cell>
          <cell r="O3838">
            <v>0</v>
          </cell>
          <cell r="P3838">
            <v>0</v>
          </cell>
          <cell r="Q3838">
            <v>0</v>
          </cell>
          <cell r="R3838">
            <v>0</v>
          </cell>
          <cell r="S3838">
            <v>0</v>
          </cell>
          <cell r="T3838">
            <v>0</v>
          </cell>
          <cell r="U3838">
            <v>0</v>
          </cell>
          <cell r="V3838">
            <v>0</v>
          </cell>
          <cell r="W3838">
            <v>0</v>
          </cell>
        </row>
        <row r="3839">
          <cell r="A3839" t="str">
            <v>453934</v>
          </cell>
          <cell r="B3839" t="str">
            <v>1251</v>
          </cell>
          <cell r="C3839" t="str">
            <v>12</v>
          </cell>
          <cell r="D3839" t="str">
            <v>23</v>
          </cell>
          <cell r="E3839">
            <v>3</v>
          </cell>
          <cell r="G3839">
            <v>5372</v>
          </cell>
          <cell r="H3839">
            <v>0</v>
          </cell>
          <cell r="I3839">
            <v>0</v>
          </cell>
          <cell r="J3839">
            <v>2431</v>
          </cell>
          <cell r="K3839">
            <v>0</v>
          </cell>
          <cell r="L3839">
            <v>2431</v>
          </cell>
          <cell r="M3839">
            <v>7803</v>
          </cell>
          <cell r="N3839">
            <v>3321</v>
          </cell>
          <cell r="O3839">
            <v>0</v>
          </cell>
          <cell r="P3839">
            <v>0</v>
          </cell>
          <cell r="Q3839">
            <v>0</v>
          </cell>
          <cell r="R3839">
            <v>0</v>
          </cell>
          <cell r="S3839">
            <v>0</v>
          </cell>
          <cell r="T3839">
            <v>0</v>
          </cell>
          <cell r="U3839">
            <v>0</v>
          </cell>
          <cell r="V3839">
            <v>0</v>
          </cell>
          <cell r="W3839">
            <v>0</v>
          </cell>
        </row>
        <row r="3840">
          <cell r="A3840" t="str">
            <v>453934</v>
          </cell>
          <cell r="B3840" t="str">
            <v>1251</v>
          </cell>
          <cell r="C3840" t="str">
            <v>12</v>
          </cell>
          <cell r="D3840" t="str">
            <v>23</v>
          </cell>
          <cell r="E3840">
            <v>4</v>
          </cell>
          <cell r="G3840">
            <v>0</v>
          </cell>
          <cell r="H3840">
            <v>0</v>
          </cell>
          <cell r="I3840">
            <v>0</v>
          </cell>
          <cell r="J3840">
            <v>0</v>
          </cell>
          <cell r="K3840">
            <v>0</v>
          </cell>
          <cell r="L3840">
            <v>0</v>
          </cell>
          <cell r="M3840">
            <v>0</v>
          </cell>
          <cell r="N3840">
            <v>0</v>
          </cell>
          <cell r="O3840">
            <v>0</v>
          </cell>
          <cell r="P3840">
            <v>0</v>
          </cell>
          <cell r="Q3840">
            <v>0</v>
          </cell>
          <cell r="R3840">
            <v>0</v>
          </cell>
          <cell r="S3840">
            <v>0</v>
          </cell>
          <cell r="T3840">
            <v>0</v>
          </cell>
          <cell r="U3840">
            <v>0</v>
          </cell>
          <cell r="V3840">
            <v>0</v>
          </cell>
          <cell r="W3840">
            <v>0</v>
          </cell>
        </row>
        <row r="3841">
          <cell r="A3841" t="str">
            <v>453934</v>
          </cell>
          <cell r="B3841" t="str">
            <v>1251</v>
          </cell>
          <cell r="C3841" t="str">
            <v>12</v>
          </cell>
          <cell r="D3841" t="str">
            <v>23</v>
          </cell>
          <cell r="E3841">
            <v>5</v>
          </cell>
          <cell r="G3841">
            <v>0</v>
          </cell>
          <cell r="H3841">
            <v>0</v>
          </cell>
          <cell r="I3841">
            <v>0</v>
          </cell>
          <cell r="J3841">
            <v>0</v>
          </cell>
          <cell r="K3841">
            <v>0</v>
          </cell>
          <cell r="L3841">
            <v>0</v>
          </cell>
          <cell r="M3841">
            <v>0</v>
          </cell>
          <cell r="N3841">
            <v>0</v>
          </cell>
          <cell r="O3841">
            <v>0</v>
          </cell>
          <cell r="P3841">
            <v>0</v>
          </cell>
          <cell r="Q3841">
            <v>0</v>
          </cell>
          <cell r="R3841">
            <v>0</v>
          </cell>
          <cell r="S3841">
            <v>0</v>
          </cell>
          <cell r="T3841">
            <v>0</v>
          </cell>
          <cell r="U3841">
            <v>0</v>
          </cell>
          <cell r="V3841">
            <v>0</v>
          </cell>
          <cell r="W3841">
            <v>0</v>
          </cell>
        </row>
        <row r="3842">
          <cell r="A3842" t="str">
            <v>453934</v>
          </cell>
          <cell r="B3842" t="str">
            <v>1251</v>
          </cell>
          <cell r="C3842" t="str">
            <v>12</v>
          </cell>
          <cell r="D3842" t="str">
            <v>23</v>
          </cell>
          <cell r="E3842">
            <v>6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</row>
        <row r="3843">
          <cell r="A3843" t="str">
            <v>453934</v>
          </cell>
          <cell r="B3843" t="str">
            <v>1251</v>
          </cell>
          <cell r="C3843" t="str">
            <v>12</v>
          </cell>
          <cell r="D3843" t="str">
            <v>23</v>
          </cell>
          <cell r="E3843">
            <v>7</v>
          </cell>
          <cell r="G3843">
            <v>0</v>
          </cell>
          <cell r="H3843">
            <v>0</v>
          </cell>
          <cell r="I3843">
            <v>0</v>
          </cell>
          <cell r="J3843">
            <v>0</v>
          </cell>
          <cell r="K3843">
            <v>0</v>
          </cell>
          <cell r="L3843">
            <v>0</v>
          </cell>
          <cell r="M3843">
            <v>0</v>
          </cell>
          <cell r="N3843">
            <v>0</v>
          </cell>
          <cell r="O3843">
            <v>0</v>
          </cell>
          <cell r="P3843">
            <v>0</v>
          </cell>
          <cell r="Q3843">
            <v>0</v>
          </cell>
          <cell r="R3843">
            <v>0</v>
          </cell>
          <cell r="S3843">
            <v>0</v>
          </cell>
          <cell r="T3843">
            <v>0</v>
          </cell>
          <cell r="U3843">
            <v>0</v>
          </cell>
          <cell r="V3843">
            <v>0</v>
          </cell>
          <cell r="W3843">
            <v>0</v>
          </cell>
        </row>
        <row r="3844">
          <cell r="A3844" t="str">
            <v>453934</v>
          </cell>
          <cell r="B3844" t="str">
            <v>1251</v>
          </cell>
          <cell r="C3844" t="str">
            <v>12</v>
          </cell>
          <cell r="D3844" t="str">
            <v>23</v>
          </cell>
          <cell r="E3844">
            <v>8</v>
          </cell>
          <cell r="G3844">
            <v>0</v>
          </cell>
          <cell r="H3844">
            <v>0</v>
          </cell>
          <cell r="I3844">
            <v>0</v>
          </cell>
          <cell r="J3844">
            <v>0</v>
          </cell>
          <cell r="K3844">
            <v>0</v>
          </cell>
          <cell r="L3844">
            <v>0</v>
          </cell>
          <cell r="M3844">
            <v>0</v>
          </cell>
          <cell r="N3844">
            <v>0</v>
          </cell>
          <cell r="O3844">
            <v>0</v>
          </cell>
          <cell r="P3844">
            <v>0</v>
          </cell>
          <cell r="Q3844">
            <v>0</v>
          </cell>
          <cell r="R3844">
            <v>0</v>
          </cell>
          <cell r="S3844">
            <v>0</v>
          </cell>
          <cell r="T3844">
            <v>0</v>
          </cell>
          <cell r="U3844">
            <v>0</v>
          </cell>
          <cell r="V3844">
            <v>0</v>
          </cell>
          <cell r="W3844">
            <v>0</v>
          </cell>
        </row>
        <row r="3845">
          <cell r="A3845" t="str">
            <v>453934</v>
          </cell>
          <cell r="B3845" t="str">
            <v>1251</v>
          </cell>
          <cell r="C3845" t="str">
            <v>12</v>
          </cell>
          <cell r="D3845" t="str">
            <v>23</v>
          </cell>
          <cell r="E3845">
            <v>9</v>
          </cell>
          <cell r="G3845">
            <v>0</v>
          </cell>
          <cell r="H3845">
            <v>0</v>
          </cell>
          <cell r="I3845">
            <v>0</v>
          </cell>
          <cell r="J3845">
            <v>0</v>
          </cell>
          <cell r="K3845">
            <v>0</v>
          </cell>
          <cell r="L3845">
            <v>0</v>
          </cell>
          <cell r="M3845">
            <v>0</v>
          </cell>
          <cell r="N3845">
            <v>0</v>
          </cell>
          <cell r="O3845">
            <v>0</v>
          </cell>
          <cell r="P3845">
            <v>0</v>
          </cell>
          <cell r="Q3845">
            <v>0</v>
          </cell>
          <cell r="R3845">
            <v>0</v>
          </cell>
          <cell r="S3845">
            <v>0</v>
          </cell>
          <cell r="T3845">
            <v>0</v>
          </cell>
          <cell r="U3845">
            <v>0</v>
          </cell>
          <cell r="V3845">
            <v>0</v>
          </cell>
          <cell r="W3845">
            <v>0</v>
          </cell>
        </row>
        <row r="3846">
          <cell r="A3846" t="str">
            <v>453934</v>
          </cell>
          <cell r="B3846" t="str">
            <v>1251</v>
          </cell>
          <cell r="C3846" t="str">
            <v>12</v>
          </cell>
          <cell r="D3846" t="str">
            <v>23</v>
          </cell>
          <cell r="E3846">
            <v>10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L3846">
            <v>0</v>
          </cell>
          <cell r="M3846">
            <v>0</v>
          </cell>
          <cell r="N3846">
            <v>0</v>
          </cell>
          <cell r="O3846">
            <v>0</v>
          </cell>
          <cell r="P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</row>
        <row r="3847">
          <cell r="A3847" t="str">
            <v>453934</v>
          </cell>
          <cell r="B3847" t="str">
            <v>1251</v>
          </cell>
          <cell r="C3847" t="str">
            <v>12</v>
          </cell>
          <cell r="D3847" t="str">
            <v>23</v>
          </cell>
          <cell r="E3847">
            <v>11</v>
          </cell>
          <cell r="G3847">
            <v>0</v>
          </cell>
          <cell r="H3847">
            <v>0</v>
          </cell>
          <cell r="I3847">
            <v>0</v>
          </cell>
          <cell r="J3847">
            <v>0</v>
          </cell>
          <cell r="K3847">
            <v>0</v>
          </cell>
          <cell r="L3847">
            <v>0</v>
          </cell>
          <cell r="M3847">
            <v>0</v>
          </cell>
          <cell r="N3847">
            <v>0</v>
          </cell>
          <cell r="O3847">
            <v>0</v>
          </cell>
          <cell r="P3847">
            <v>0</v>
          </cell>
          <cell r="Q3847">
            <v>0</v>
          </cell>
          <cell r="R3847">
            <v>0</v>
          </cell>
          <cell r="S3847">
            <v>0</v>
          </cell>
          <cell r="T3847">
            <v>0</v>
          </cell>
          <cell r="U3847">
            <v>0</v>
          </cell>
          <cell r="V3847">
            <v>0</v>
          </cell>
          <cell r="W3847">
            <v>0</v>
          </cell>
        </row>
        <row r="3848">
          <cell r="A3848" t="str">
            <v>453934</v>
          </cell>
          <cell r="B3848" t="str">
            <v>1251</v>
          </cell>
          <cell r="C3848" t="str">
            <v>12</v>
          </cell>
          <cell r="D3848" t="str">
            <v>23</v>
          </cell>
          <cell r="E3848">
            <v>12</v>
          </cell>
          <cell r="G3848">
            <v>23661</v>
          </cell>
          <cell r="H3848">
            <v>0</v>
          </cell>
          <cell r="I3848">
            <v>0</v>
          </cell>
          <cell r="J3848">
            <v>2802</v>
          </cell>
          <cell r="K3848">
            <v>0</v>
          </cell>
          <cell r="L3848">
            <v>2802</v>
          </cell>
          <cell r="M3848">
            <v>26463</v>
          </cell>
          <cell r="N3848">
            <v>21920</v>
          </cell>
          <cell r="O3848">
            <v>0</v>
          </cell>
          <cell r="P3848">
            <v>0</v>
          </cell>
          <cell r="Q3848">
            <v>0</v>
          </cell>
          <cell r="R3848">
            <v>0</v>
          </cell>
          <cell r="S3848">
            <v>0</v>
          </cell>
          <cell r="T3848">
            <v>0</v>
          </cell>
          <cell r="U3848">
            <v>0</v>
          </cell>
          <cell r="V3848">
            <v>0</v>
          </cell>
          <cell r="W3848">
            <v>0</v>
          </cell>
        </row>
        <row r="3849">
          <cell r="A3849" t="str">
            <v>453934</v>
          </cell>
          <cell r="B3849" t="str">
            <v>1251</v>
          </cell>
          <cell r="C3849" t="str">
            <v>12</v>
          </cell>
          <cell r="D3849" t="str">
            <v>23</v>
          </cell>
          <cell r="E3849">
            <v>13</v>
          </cell>
          <cell r="G3849">
            <v>0</v>
          </cell>
          <cell r="H3849">
            <v>0</v>
          </cell>
          <cell r="I3849">
            <v>0</v>
          </cell>
          <cell r="J3849">
            <v>497</v>
          </cell>
          <cell r="K3849">
            <v>0</v>
          </cell>
          <cell r="L3849">
            <v>497</v>
          </cell>
          <cell r="M3849">
            <v>497</v>
          </cell>
          <cell r="N3849">
            <v>496</v>
          </cell>
          <cell r="O3849">
            <v>0</v>
          </cell>
          <cell r="P3849">
            <v>0</v>
          </cell>
          <cell r="Q3849">
            <v>0</v>
          </cell>
          <cell r="R3849">
            <v>0</v>
          </cell>
          <cell r="S3849">
            <v>0</v>
          </cell>
          <cell r="T3849">
            <v>0</v>
          </cell>
          <cell r="U3849">
            <v>0</v>
          </cell>
          <cell r="V3849">
            <v>0</v>
          </cell>
          <cell r="W3849">
            <v>0</v>
          </cell>
        </row>
        <row r="3850">
          <cell r="A3850" t="str">
            <v>453934</v>
          </cell>
          <cell r="B3850" t="str">
            <v>1251</v>
          </cell>
          <cell r="C3850" t="str">
            <v>12</v>
          </cell>
          <cell r="D3850" t="str">
            <v>23</v>
          </cell>
          <cell r="E3850">
            <v>14</v>
          </cell>
          <cell r="G3850">
            <v>0</v>
          </cell>
          <cell r="H3850">
            <v>0</v>
          </cell>
          <cell r="I3850">
            <v>0</v>
          </cell>
          <cell r="J3850">
            <v>0</v>
          </cell>
          <cell r="K3850">
            <v>0</v>
          </cell>
          <cell r="L3850">
            <v>0</v>
          </cell>
          <cell r="M3850">
            <v>0</v>
          </cell>
          <cell r="N3850">
            <v>0</v>
          </cell>
          <cell r="O3850">
            <v>0</v>
          </cell>
          <cell r="P3850">
            <v>0</v>
          </cell>
          <cell r="Q3850">
            <v>0</v>
          </cell>
          <cell r="R3850">
            <v>0</v>
          </cell>
          <cell r="S3850">
            <v>0</v>
          </cell>
          <cell r="T3850">
            <v>0</v>
          </cell>
          <cell r="U3850">
            <v>0</v>
          </cell>
          <cell r="V3850">
            <v>0</v>
          </cell>
          <cell r="W3850">
            <v>0</v>
          </cell>
        </row>
        <row r="3851">
          <cell r="A3851" t="str">
            <v>453934</v>
          </cell>
          <cell r="B3851" t="str">
            <v>1251</v>
          </cell>
          <cell r="C3851" t="str">
            <v>12</v>
          </cell>
          <cell r="D3851" t="str">
            <v>23</v>
          </cell>
          <cell r="E3851">
            <v>15</v>
          </cell>
          <cell r="G3851">
            <v>0</v>
          </cell>
          <cell r="H3851">
            <v>0</v>
          </cell>
          <cell r="I3851">
            <v>0</v>
          </cell>
          <cell r="J3851">
            <v>0</v>
          </cell>
          <cell r="K3851">
            <v>0</v>
          </cell>
          <cell r="L3851">
            <v>0</v>
          </cell>
          <cell r="M3851">
            <v>0</v>
          </cell>
          <cell r="N3851">
            <v>0</v>
          </cell>
          <cell r="O3851">
            <v>0</v>
          </cell>
          <cell r="P3851">
            <v>0</v>
          </cell>
          <cell r="Q3851">
            <v>0</v>
          </cell>
          <cell r="R3851">
            <v>0</v>
          </cell>
          <cell r="S3851">
            <v>0</v>
          </cell>
          <cell r="T3851">
            <v>0</v>
          </cell>
          <cell r="U3851">
            <v>0</v>
          </cell>
          <cell r="V3851">
            <v>0</v>
          </cell>
          <cell r="W3851">
            <v>0</v>
          </cell>
        </row>
        <row r="3852">
          <cell r="A3852" t="str">
            <v>453934</v>
          </cell>
          <cell r="B3852" t="str">
            <v>1251</v>
          </cell>
          <cell r="C3852" t="str">
            <v>12</v>
          </cell>
          <cell r="D3852" t="str">
            <v>23</v>
          </cell>
          <cell r="E3852">
            <v>16</v>
          </cell>
          <cell r="G3852">
            <v>0</v>
          </cell>
          <cell r="H3852">
            <v>0</v>
          </cell>
          <cell r="I3852">
            <v>0</v>
          </cell>
          <cell r="J3852">
            <v>0</v>
          </cell>
          <cell r="K3852">
            <v>0</v>
          </cell>
          <cell r="L3852">
            <v>0</v>
          </cell>
          <cell r="M3852">
            <v>0</v>
          </cell>
          <cell r="N3852">
            <v>0</v>
          </cell>
          <cell r="O3852">
            <v>0</v>
          </cell>
          <cell r="P3852">
            <v>0</v>
          </cell>
          <cell r="Q3852">
            <v>0</v>
          </cell>
          <cell r="R3852">
            <v>0</v>
          </cell>
          <cell r="S3852">
            <v>0</v>
          </cell>
          <cell r="T3852">
            <v>0</v>
          </cell>
          <cell r="U3852">
            <v>0</v>
          </cell>
          <cell r="V3852">
            <v>0</v>
          </cell>
          <cell r="W3852">
            <v>0</v>
          </cell>
        </row>
        <row r="3853">
          <cell r="A3853" t="str">
            <v>453934</v>
          </cell>
          <cell r="B3853" t="str">
            <v>1251</v>
          </cell>
          <cell r="C3853" t="str">
            <v>12</v>
          </cell>
          <cell r="D3853" t="str">
            <v>23</v>
          </cell>
          <cell r="E3853">
            <v>17</v>
          </cell>
          <cell r="G3853">
            <v>0</v>
          </cell>
          <cell r="H3853">
            <v>0</v>
          </cell>
          <cell r="I3853">
            <v>0</v>
          </cell>
          <cell r="J3853">
            <v>0</v>
          </cell>
          <cell r="K3853">
            <v>0</v>
          </cell>
          <cell r="L3853">
            <v>0</v>
          </cell>
          <cell r="M3853">
            <v>0</v>
          </cell>
          <cell r="N3853">
            <v>0</v>
          </cell>
          <cell r="O3853">
            <v>0</v>
          </cell>
          <cell r="P3853">
            <v>0</v>
          </cell>
          <cell r="Q3853">
            <v>0</v>
          </cell>
          <cell r="R3853">
            <v>0</v>
          </cell>
          <cell r="S3853">
            <v>0</v>
          </cell>
          <cell r="T3853">
            <v>0</v>
          </cell>
          <cell r="U3853">
            <v>0</v>
          </cell>
          <cell r="V3853">
            <v>0</v>
          </cell>
          <cell r="W3853">
            <v>0</v>
          </cell>
        </row>
        <row r="3854">
          <cell r="A3854" t="str">
            <v>453934</v>
          </cell>
          <cell r="B3854" t="str">
            <v>1251</v>
          </cell>
          <cell r="C3854" t="str">
            <v>12</v>
          </cell>
          <cell r="D3854" t="str">
            <v>23</v>
          </cell>
          <cell r="E3854">
            <v>18</v>
          </cell>
          <cell r="G3854">
            <v>0</v>
          </cell>
          <cell r="H3854">
            <v>0</v>
          </cell>
          <cell r="I3854">
            <v>0</v>
          </cell>
          <cell r="J3854">
            <v>0</v>
          </cell>
          <cell r="K3854">
            <v>0</v>
          </cell>
          <cell r="L3854">
            <v>0</v>
          </cell>
          <cell r="M3854">
            <v>0</v>
          </cell>
          <cell r="N3854">
            <v>0</v>
          </cell>
          <cell r="O3854">
            <v>0</v>
          </cell>
          <cell r="P3854">
            <v>0</v>
          </cell>
          <cell r="Q3854">
            <v>0</v>
          </cell>
          <cell r="R3854">
            <v>0</v>
          </cell>
          <cell r="S3854">
            <v>0</v>
          </cell>
          <cell r="T3854">
            <v>0</v>
          </cell>
          <cell r="U3854">
            <v>0</v>
          </cell>
          <cell r="V3854">
            <v>0</v>
          </cell>
          <cell r="W3854">
            <v>0</v>
          </cell>
        </row>
        <row r="3855">
          <cell r="A3855" t="str">
            <v>453934</v>
          </cell>
          <cell r="B3855" t="str">
            <v>1251</v>
          </cell>
          <cell r="C3855" t="str">
            <v>12</v>
          </cell>
          <cell r="D3855" t="str">
            <v>23</v>
          </cell>
          <cell r="E3855">
            <v>19</v>
          </cell>
          <cell r="G3855">
            <v>0</v>
          </cell>
          <cell r="H3855">
            <v>0</v>
          </cell>
          <cell r="I3855">
            <v>0</v>
          </cell>
          <cell r="J3855">
            <v>0</v>
          </cell>
          <cell r="K3855">
            <v>0</v>
          </cell>
          <cell r="L3855">
            <v>0</v>
          </cell>
          <cell r="M3855">
            <v>0</v>
          </cell>
          <cell r="N3855">
            <v>0</v>
          </cell>
          <cell r="O3855">
            <v>0</v>
          </cell>
          <cell r="P3855">
            <v>0</v>
          </cell>
          <cell r="Q3855">
            <v>0</v>
          </cell>
          <cell r="R3855">
            <v>0</v>
          </cell>
          <cell r="S3855">
            <v>0</v>
          </cell>
          <cell r="T3855">
            <v>0</v>
          </cell>
          <cell r="U3855">
            <v>0</v>
          </cell>
          <cell r="V3855">
            <v>0</v>
          </cell>
          <cell r="W3855">
            <v>0</v>
          </cell>
        </row>
        <row r="3856">
          <cell r="A3856" t="str">
            <v>453934</v>
          </cell>
          <cell r="B3856" t="str">
            <v>1251</v>
          </cell>
          <cell r="C3856" t="str">
            <v>12</v>
          </cell>
          <cell r="D3856" t="str">
            <v>23</v>
          </cell>
          <cell r="E3856">
            <v>20</v>
          </cell>
          <cell r="G3856">
            <v>0</v>
          </cell>
          <cell r="H3856">
            <v>0</v>
          </cell>
          <cell r="I3856">
            <v>0</v>
          </cell>
          <cell r="J3856">
            <v>0</v>
          </cell>
          <cell r="K3856">
            <v>0</v>
          </cell>
          <cell r="L3856">
            <v>0</v>
          </cell>
          <cell r="M3856">
            <v>0</v>
          </cell>
          <cell r="N3856">
            <v>0</v>
          </cell>
          <cell r="O3856">
            <v>0</v>
          </cell>
          <cell r="P3856">
            <v>0</v>
          </cell>
          <cell r="Q3856">
            <v>0</v>
          </cell>
          <cell r="R3856">
            <v>0</v>
          </cell>
          <cell r="S3856">
            <v>0</v>
          </cell>
          <cell r="T3856">
            <v>0</v>
          </cell>
          <cell r="U3856">
            <v>0</v>
          </cell>
          <cell r="V3856">
            <v>0</v>
          </cell>
          <cell r="W3856">
            <v>0</v>
          </cell>
        </row>
        <row r="3857">
          <cell r="A3857" t="str">
            <v>453934</v>
          </cell>
          <cell r="B3857" t="str">
            <v>1251</v>
          </cell>
          <cell r="C3857" t="str">
            <v>12</v>
          </cell>
          <cell r="D3857" t="str">
            <v>23</v>
          </cell>
          <cell r="E3857">
            <v>21</v>
          </cell>
          <cell r="G3857">
            <v>0</v>
          </cell>
          <cell r="H3857">
            <v>0</v>
          </cell>
          <cell r="I3857">
            <v>0</v>
          </cell>
          <cell r="J3857">
            <v>0</v>
          </cell>
          <cell r="K3857">
            <v>0</v>
          </cell>
          <cell r="L3857">
            <v>0</v>
          </cell>
          <cell r="M3857">
            <v>0</v>
          </cell>
          <cell r="N3857">
            <v>0</v>
          </cell>
          <cell r="O3857">
            <v>0</v>
          </cell>
          <cell r="P3857">
            <v>0</v>
          </cell>
          <cell r="Q3857">
            <v>0</v>
          </cell>
          <cell r="R3857">
            <v>0</v>
          </cell>
          <cell r="S3857">
            <v>0</v>
          </cell>
          <cell r="T3857">
            <v>0</v>
          </cell>
          <cell r="U3857">
            <v>0</v>
          </cell>
          <cell r="V3857">
            <v>0</v>
          </cell>
          <cell r="W3857">
            <v>0</v>
          </cell>
        </row>
        <row r="3858">
          <cell r="A3858" t="str">
            <v>453934</v>
          </cell>
          <cell r="B3858" t="str">
            <v>1251</v>
          </cell>
          <cell r="C3858" t="str">
            <v>12</v>
          </cell>
          <cell r="D3858" t="str">
            <v>23</v>
          </cell>
          <cell r="E3858">
            <v>22</v>
          </cell>
          <cell r="G3858">
            <v>0</v>
          </cell>
          <cell r="H3858">
            <v>0</v>
          </cell>
          <cell r="I3858">
            <v>0</v>
          </cell>
          <cell r="J3858">
            <v>497</v>
          </cell>
          <cell r="K3858">
            <v>0</v>
          </cell>
          <cell r="L3858">
            <v>497</v>
          </cell>
          <cell r="M3858">
            <v>497</v>
          </cell>
          <cell r="N3858">
            <v>496</v>
          </cell>
          <cell r="O3858">
            <v>0</v>
          </cell>
          <cell r="P3858">
            <v>0</v>
          </cell>
          <cell r="Q3858">
            <v>0</v>
          </cell>
          <cell r="R3858">
            <v>0</v>
          </cell>
          <cell r="S3858">
            <v>0</v>
          </cell>
          <cell r="T3858">
            <v>0</v>
          </cell>
          <cell r="U3858">
            <v>0</v>
          </cell>
          <cell r="V3858">
            <v>0</v>
          </cell>
          <cell r="W3858">
            <v>0</v>
          </cell>
        </row>
        <row r="3859">
          <cell r="A3859" t="str">
            <v>453934</v>
          </cell>
          <cell r="B3859" t="str">
            <v>1251</v>
          </cell>
          <cell r="C3859" t="str">
            <v>12</v>
          </cell>
          <cell r="D3859" t="str">
            <v>23</v>
          </cell>
          <cell r="E3859">
            <v>23</v>
          </cell>
          <cell r="G3859">
            <v>0</v>
          </cell>
          <cell r="H3859">
            <v>0</v>
          </cell>
          <cell r="I3859">
            <v>0</v>
          </cell>
          <cell r="J3859">
            <v>0</v>
          </cell>
          <cell r="K3859">
            <v>0</v>
          </cell>
          <cell r="L3859">
            <v>0</v>
          </cell>
          <cell r="M3859">
            <v>0</v>
          </cell>
          <cell r="N3859">
            <v>0</v>
          </cell>
          <cell r="O3859">
            <v>0</v>
          </cell>
          <cell r="P3859">
            <v>0</v>
          </cell>
          <cell r="Q3859">
            <v>0</v>
          </cell>
          <cell r="R3859">
            <v>0</v>
          </cell>
          <cell r="S3859">
            <v>0</v>
          </cell>
          <cell r="T3859">
            <v>0</v>
          </cell>
          <cell r="U3859">
            <v>0</v>
          </cell>
          <cell r="V3859">
            <v>0</v>
          </cell>
          <cell r="W3859">
            <v>0</v>
          </cell>
        </row>
        <row r="3860">
          <cell r="A3860" t="str">
            <v>453934</v>
          </cell>
          <cell r="B3860" t="str">
            <v>1251</v>
          </cell>
          <cell r="C3860" t="str">
            <v>12</v>
          </cell>
          <cell r="D3860" t="str">
            <v>23</v>
          </cell>
          <cell r="E3860">
            <v>24</v>
          </cell>
          <cell r="G3860">
            <v>0</v>
          </cell>
          <cell r="H3860">
            <v>0</v>
          </cell>
          <cell r="I3860">
            <v>0</v>
          </cell>
          <cell r="J3860">
            <v>0</v>
          </cell>
          <cell r="K3860">
            <v>0</v>
          </cell>
          <cell r="L3860">
            <v>0</v>
          </cell>
          <cell r="M3860">
            <v>0</v>
          </cell>
          <cell r="N3860">
            <v>0</v>
          </cell>
          <cell r="O3860">
            <v>0</v>
          </cell>
          <cell r="P3860">
            <v>0</v>
          </cell>
          <cell r="Q3860">
            <v>0</v>
          </cell>
          <cell r="R3860">
            <v>0</v>
          </cell>
          <cell r="S3860">
            <v>0</v>
          </cell>
          <cell r="T3860">
            <v>0</v>
          </cell>
          <cell r="U3860">
            <v>0</v>
          </cell>
          <cell r="V3860">
            <v>0</v>
          </cell>
          <cell r="W3860">
            <v>0</v>
          </cell>
        </row>
        <row r="3861">
          <cell r="A3861" t="str">
            <v>453934</v>
          </cell>
          <cell r="B3861" t="str">
            <v>1251</v>
          </cell>
          <cell r="C3861" t="str">
            <v>12</v>
          </cell>
          <cell r="D3861" t="str">
            <v>23</v>
          </cell>
          <cell r="E3861">
            <v>25</v>
          </cell>
          <cell r="G3861">
            <v>0</v>
          </cell>
          <cell r="H3861">
            <v>0</v>
          </cell>
          <cell r="I3861">
            <v>0</v>
          </cell>
          <cell r="J3861">
            <v>0</v>
          </cell>
          <cell r="K3861">
            <v>0</v>
          </cell>
          <cell r="L3861">
            <v>0</v>
          </cell>
          <cell r="M3861">
            <v>0</v>
          </cell>
          <cell r="N3861">
            <v>0</v>
          </cell>
          <cell r="O3861">
            <v>0</v>
          </cell>
          <cell r="P3861">
            <v>0</v>
          </cell>
          <cell r="Q3861">
            <v>0</v>
          </cell>
          <cell r="R3861">
            <v>0</v>
          </cell>
          <cell r="S3861">
            <v>0</v>
          </cell>
          <cell r="T3861">
            <v>0</v>
          </cell>
          <cell r="U3861">
            <v>0</v>
          </cell>
          <cell r="V3861">
            <v>0</v>
          </cell>
          <cell r="W3861">
            <v>0</v>
          </cell>
        </row>
        <row r="3862">
          <cell r="A3862" t="str">
            <v>453934</v>
          </cell>
          <cell r="B3862" t="str">
            <v>1251</v>
          </cell>
          <cell r="C3862" t="str">
            <v>12</v>
          </cell>
          <cell r="D3862" t="str">
            <v>23</v>
          </cell>
          <cell r="E3862">
            <v>26</v>
          </cell>
          <cell r="G3862">
            <v>23661</v>
          </cell>
          <cell r="H3862">
            <v>0</v>
          </cell>
          <cell r="I3862">
            <v>0</v>
          </cell>
          <cell r="J3862">
            <v>3299</v>
          </cell>
          <cell r="K3862">
            <v>0</v>
          </cell>
          <cell r="L3862">
            <v>3299</v>
          </cell>
          <cell r="M3862">
            <v>26960</v>
          </cell>
          <cell r="N3862">
            <v>22416</v>
          </cell>
          <cell r="O3862">
            <v>0</v>
          </cell>
          <cell r="P3862">
            <v>0</v>
          </cell>
          <cell r="Q3862">
            <v>0</v>
          </cell>
          <cell r="R3862">
            <v>0</v>
          </cell>
          <cell r="S3862">
            <v>0</v>
          </cell>
          <cell r="T3862">
            <v>0</v>
          </cell>
          <cell r="U3862">
            <v>0</v>
          </cell>
          <cell r="V3862">
            <v>0</v>
          </cell>
          <cell r="W3862">
            <v>0</v>
          </cell>
        </row>
        <row r="3863">
          <cell r="A3863" t="str">
            <v>453934</v>
          </cell>
          <cell r="B3863" t="str">
            <v>1251</v>
          </cell>
          <cell r="C3863" t="str">
            <v>12</v>
          </cell>
          <cell r="D3863" t="str">
            <v>23</v>
          </cell>
          <cell r="E3863">
            <v>27</v>
          </cell>
          <cell r="G3863">
            <v>0</v>
          </cell>
          <cell r="H3863">
            <v>0</v>
          </cell>
          <cell r="I3863">
            <v>0</v>
          </cell>
          <cell r="J3863">
            <v>0</v>
          </cell>
          <cell r="K3863">
            <v>0</v>
          </cell>
          <cell r="L3863">
            <v>0</v>
          </cell>
          <cell r="M3863">
            <v>0</v>
          </cell>
          <cell r="N3863">
            <v>0</v>
          </cell>
          <cell r="O3863">
            <v>0</v>
          </cell>
          <cell r="P3863">
            <v>0</v>
          </cell>
          <cell r="Q3863">
            <v>0</v>
          </cell>
          <cell r="R3863">
            <v>0</v>
          </cell>
          <cell r="S3863">
            <v>0</v>
          </cell>
          <cell r="T3863">
            <v>0</v>
          </cell>
          <cell r="U3863">
            <v>0</v>
          </cell>
          <cell r="V3863">
            <v>0</v>
          </cell>
          <cell r="W3863">
            <v>0</v>
          </cell>
        </row>
        <row r="3864">
          <cell r="A3864" t="str">
            <v>453934</v>
          </cell>
          <cell r="B3864" t="str">
            <v>1251</v>
          </cell>
          <cell r="C3864" t="str">
            <v>12</v>
          </cell>
          <cell r="D3864" t="str">
            <v>23</v>
          </cell>
          <cell r="E3864">
            <v>28</v>
          </cell>
          <cell r="G3864">
            <v>0</v>
          </cell>
          <cell r="H3864">
            <v>0</v>
          </cell>
          <cell r="I3864">
            <v>0</v>
          </cell>
          <cell r="J3864">
            <v>0</v>
          </cell>
          <cell r="K3864">
            <v>0</v>
          </cell>
          <cell r="L3864">
            <v>0</v>
          </cell>
          <cell r="M3864">
            <v>0</v>
          </cell>
          <cell r="N3864">
            <v>-6</v>
          </cell>
          <cell r="O3864">
            <v>0</v>
          </cell>
          <cell r="P3864">
            <v>0</v>
          </cell>
          <cell r="Q3864">
            <v>0</v>
          </cell>
          <cell r="R3864">
            <v>0</v>
          </cell>
          <cell r="S3864">
            <v>0</v>
          </cell>
          <cell r="T3864">
            <v>0</v>
          </cell>
          <cell r="U3864">
            <v>0</v>
          </cell>
          <cell r="V3864">
            <v>0</v>
          </cell>
          <cell r="W3864">
            <v>0</v>
          </cell>
        </row>
        <row r="3865">
          <cell r="A3865" t="str">
            <v>453934</v>
          </cell>
          <cell r="B3865" t="str">
            <v>1251</v>
          </cell>
          <cell r="C3865" t="str">
            <v>12</v>
          </cell>
          <cell r="D3865" t="str">
            <v>23</v>
          </cell>
          <cell r="E3865">
            <v>29</v>
          </cell>
          <cell r="G3865">
            <v>23661</v>
          </cell>
          <cell r="H3865">
            <v>0</v>
          </cell>
          <cell r="I3865">
            <v>0</v>
          </cell>
          <cell r="J3865">
            <v>3299</v>
          </cell>
          <cell r="K3865">
            <v>0</v>
          </cell>
          <cell r="L3865">
            <v>3299</v>
          </cell>
          <cell r="M3865">
            <v>26960</v>
          </cell>
          <cell r="N3865">
            <v>22410</v>
          </cell>
          <cell r="O3865">
            <v>0</v>
          </cell>
          <cell r="P3865">
            <v>0</v>
          </cell>
          <cell r="Q3865">
            <v>0</v>
          </cell>
          <cell r="R3865">
            <v>0</v>
          </cell>
          <cell r="S3865">
            <v>0</v>
          </cell>
          <cell r="T3865">
            <v>0</v>
          </cell>
          <cell r="U3865">
            <v>0</v>
          </cell>
          <cell r="V3865">
            <v>0</v>
          </cell>
          <cell r="W3865">
            <v>0</v>
          </cell>
        </row>
        <row r="3866">
          <cell r="A3866" t="str">
            <v>453934</v>
          </cell>
          <cell r="B3866" t="str">
            <v>1251</v>
          </cell>
          <cell r="C3866" t="str">
            <v>12</v>
          </cell>
          <cell r="D3866" t="str">
            <v>23</v>
          </cell>
          <cell r="E3866">
            <v>30</v>
          </cell>
          <cell r="G3866">
            <v>16500</v>
          </cell>
          <cell r="H3866">
            <v>0</v>
          </cell>
          <cell r="I3866">
            <v>0</v>
          </cell>
          <cell r="J3866">
            <v>3510</v>
          </cell>
          <cell r="K3866">
            <v>0</v>
          </cell>
          <cell r="L3866">
            <v>3510</v>
          </cell>
          <cell r="M3866">
            <v>20010</v>
          </cell>
          <cell r="N3866">
            <v>20010</v>
          </cell>
          <cell r="O3866">
            <v>0</v>
          </cell>
          <cell r="P3866">
            <v>0</v>
          </cell>
          <cell r="Q3866">
            <v>0</v>
          </cell>
          <cell r="R3866">
            <v>0</v>
          </cell>
          <cell r="S3866">
            <v>0</v>
          </cell>
          <cell r="T3866">
            <v>0</v>
          </cell>
          <cell r="U3866">
            <v>0</v>
          </cell>
          <cell r="V3866">
            <v>0</v>
          </cell>
          <cell r="W3866">
            <v>0</v>
          </cell>
        </row>
        <row r="3867">
          <cell r="A3867" t="str">
            <v>453934</v>
          </cell>
          <cell r="B3867" t="str">
            <v>1251</v>
          </cell>
          <cell r="C3867" t="str">
            <v>12</v>
          </cell>
          <cell r="D3867" t="str">
            <v>23</v>
          </cell>
          <cell r="E3867">
            <v>31</v>
          </cell>
          <cell r="G3867">
            <v>0</v>
          </cell>
          <cell r="H3867">
            <v>0</v>
          </cell>
          <cell r="I3867">
            <v>0</v>
          </cell>
          <cell r="J3867">
            <v>0</v>
          </cell>
          <cell r="K3867">
            <v>0</v>
          </cell>
          <cell r="L3867">
            <v>0</v>
          </cell>
          <cell r="M3867">
            <v>0</v>
          </cell>
          <cell r="N3867">
            <v>0</v>
          </cell>
          <cell r="O3867">
            <v>0</v>
          </cell>
          <cell r="P3867">
            <v>0</v>
          </cell>
          <cell r="Q3867">
            <v>0</v>
          </cell>
          <cell r="R3867">
            <v>0</v>
          </cell>
          <cell r="S3867">
            <v>0</v>
          </cell>
          <cell r="T3867">
            <v>0</v>
          </cell>
          <cell r="U3867">
            <v>0</v>
          </cell>
          <cell r="V3867">
            <v>0</v>
          </cell>
          <cell r="W3867">
            <v>0</v>
          </cell>
        </row>
        <row r="3868">
          <cell r="A3868" t="str">
            <v>453934</v>
          </cell>
          <cell r="B3868" t="str">
            <v>1251</v>
          </cell>
          <cell r="C3868" t="str">
            <v>12</v>
          </cell>
          <cell r="D3868" t="str">
            <v>23</v>
          </cell>
          <cell r="E3868">
            <v>32</v>
          </cell>
          <cell r="G3868">
            <v>0</v>
          </cell>
          <cell r="H3868">
            <v>0</v>
          </cell>
          <cell r="I3868">
            <v>0</v>
          </cell>
          <cell r="J3868">
            <v>0</v>
          </cell>
          <cell r="K3868">
            <v>0</v>
          </cell>
          <cell r="L3868">
            <v>0</v>
          </cell>
          <cell r="M3868">
            <v>0</v>
          </cell>
          <cell r="N3868">
            <v>0</v>
          </cell>
          <cell r="O3868">
            <v>0</v>
          </cell>
          <cell r="P3868">
            <v>0</v>
          </cell>
          <cell r="Q3868">
            <v>0</v>
          </cell>
          <cell r="R3868">
            <v>0</v>
          </cell>
          <cell r="S3868">
            <v>0</v>
          </cell>
          <cell r="T3868">
            <v>0</v>
          </cell>
          <cell r="U3868">
            <v>0</v>
          </cell>
          <cell r="V3868">
            <v>0</v>
          </cell>
          <cell r="W3868">
            <v>0</v>
          </cell>
        </row>
        <row r="3869">
          <cell r="A3869" t="str">
            <v>453934</v>
          </cell>
          <cell r="B3869" t="str">
            <v>1251</v>
          </cell>
          <cell r="C3869" t="str">
            <v>12</v>
          </cell>
          <cell r="D3869" t="str">
            <v>23</v>
          </cell>
          <cell r="E3869">
            <v>33</v>
          </cell>
          <cell r="G3869">
            <v>0</v>
          </cell>
          <cell r="H3869">
            <v>0</v>
          </cell>
          <cell r="I3869">
            <v>0</v>
          </cell>
          <cell r="J3869">
            <v>0</v>
          </cell>
          <cell r="K3869">
            <v>0</v>
          </cell>
          <cell r="L3869">
            <v>0</v>
          </cell>
          <cell r="M3869">
            <v>0</v>
          </cell>
          <cell r="N3869">
            <v>0</v>
          </cell>
          <cell r="O3869">
            <v>0</v>
          </cell>
          <cell r="P3869">
            <v>0</v>
          </cell>
          <cell r="Q3869">
            <v>0</v>
          </cell>
          <cell r="R3869">
            <v>0</v>
          </cell>
          <cell r="S3869">
            <v>0</v>
          </cell>
          <cell r="T3869">
            <v>0</v>
          </cell>
          <cell r="U3869">
            <v>0</v>
          </cell>
          <cell r="V3869">
            <v>0</v>
          </cell>
          <cell r="W3869">
            <v>0</v>
          </cell>
        </row>
        <row r="3870">
          <cell r="A3870" t="str">
            <v>453934</v>
          </cell>
          <cell r="B3870" t="str">
            <v>1251</v>
          </cell>
          <cell r="C3870" t="str">
            <v>12</v>
          </cell>
          <cell r="D3870" t="str">
            <v>23</v>
          </cell>
          <cell r="E3870">
            <v>34</v>
          </cell>
          <cell r="G3870">
            <v>7161</v>
          </cell>
          <cell r="H3870">
            <v>0</v>
          </cell>
          <cell r="I3870">
            <v>0</v>
          </cell>
          <cell r="J3870">
            <v>-3165</v>
          </cell>
          <cell r="K3870">
            <v>0</v>
          </cell>
          <cell r="L3870">
            <v>-3165</v>
          </cell>
          <cell r="M3870">
            <v>3996</v>
          </cell>
          <cell r="N3870">
            <v>3996</v>
          </cell>
          <cell r="O3870">
            <v>0</v>
          </cell>
          <cell r="P3870">
            <v>0</v>
          </cell>
          <cell r="Q3870">
            <v>0</v>
          </cell>
          <cell r="R3870">
            <v>0</v>
          </cell>
          <cell r="S3870">
            <v>0</v>
          </cell>
          <cell r="T3870">
            <v>0</v>
          </cell>
          <cell r="U3870">
            <v>0</v>
          </cell>
          <cell r="V3870">
            <v>0</v>
          </cell>
          <cell r="W3870">
            <v>0</v>
          </cell>
        </row>
        <row r="3871">
          <cell r="A3871" t="str">
            <v>453934</v>
          </cell>
          <cell r="B3871" t="str">
            <v>1251</v>
          </cell>
          <cell r="C3871" t="str">
            <v>12</v>
          </cell>
          <cell r="D3871" t="str">
            <v>23</v>
          </cell>
          <cell r="E3871">
            <v>35</v>
          </cell>
          <cell r="G3871">
            <v>0</v>
          </cell>
          <cell r="H3871">
            <v>0</v>
          </cell>
          <cell r="I3871">
            <v>0</v>
          </cell>
          <cell r="J3871">
            <v>2954</v>
          </cell>
          <cell r="K3871">
            <v>0</v>
          </cell>
          <cell r="L3871">
            <v>2954</v>
          </cell>
          <cell r="M3871">
            <v>2954</v>
          </cell>
          <cell r="N3871">
            <v>2954</v>
          </cell>
          <cell r="O3871">
            <v>0</v>
          </cell>
          <cell r="P3871">
            <v>0</v>
          </cell>
          <cell r="Q3871">
            <v>0</v>
          </cell>
          <cell r="R3871">
            <v>0</v>
          </cell>
          <cell r="S3871">
            <v>0</v>
          </cell>
          <cell r="T3871">
            <v>0</v>
          </cell>
          <cell r="U3871">
            <v>0</v>
          </cell>
          <cell r="V3871">
            <v>0</v>
          </cell>
          <cell r="W3871">
            <v>0</v>
          </cell>
        </row>
        <row r="3872">
          <cell r="A3872" t="str">
            <v>453934</v>
          </cell>
          <cell r="B3872" t="str">
            <v>1251</v>
          </cell>
          <cell r="C3872" t="str">
            <v>12</v>
          </cell>
          <cell r="D3872" t="str">
            <v>23</v>
          </cell>
          <cell r="E3872">
            <v>36</v>
          </cell>
          <cell r="G3872">
            <v>23661</v>
          </cell>
          <cell r="H3872">
            <v>0</v>
          </cell>
          <cell r="I3872">
            <v>0</v>
          </cell>
          <cell r="J3872">
            <v>3299</v>
          </cell>
          <cell r="K3872">
            <v>0</v>
          </cell>
          <cell r="L3872">
            <v>3299</v>
          </cell>
          <cell r="M3872">
            <v>26960</v>
          </cell>
          <cell r="N3872">
            <v>26960</v>
          </cell>
          <cell r="O3872">
            <v>0</v>
          </cell>
          <cell r="P3872">
            <v>0</v>
          </cell>
          <cell r="Q3872">
            <v>0</v>
          </cell>
          <cell r="R3872">
            <v>0</v>
          </cell>
          <cell r="S3872">
            <v>0</v>
          </cell>
          <cell r="T3872">
            <v>0</v>
          </cell>
          <cell r="U3872">
            <v>0</v>
          </cell>
          <cell r="V3872">
            <v>0</v>
          </cell>
          <cell r="W3872">
            <v>0</v>
          </cell>
        </row>
        <row r="3873">
          <cell r="A3873" t="str">
            <v>453934</v>
          </cell>
          <cell r="B3873" t="str">
            <v>1251</v>
          </cell>
          <cell r="C3873" t="str">
            <v>12</v>
          </cell>
          <cell r="D3873" t="str">
            <v>23</v>
          </cell>
          <cell r="E3873">
            <v>37</v>
          </cell>
          <cell r="G3873">
            <v>0</v>
          </cell>
          <cell r="H3873">
            <v>0</v>
          </cell>
          <cell r="I3873">
            <v>0</v>
          </cell>
          <cell r="J3873">
            <v>0</v>
          </cell>
          <cell r="K3873">
            <v>0</v>
          </cell>
          <cell r="L3873">
            <v>0</v>
          </cell>
          <cell r="M3873">
            <v>0</v>
          </cell>
          <cell r="N3873">
            <v>0</v>
          </cell>
          <cell r="O3873">
            <v>0</v>
          </cell>
          <cell r="P3873">
            <v>0</v>
          </cell>
          <cell r="Q3873">
            <v>0</v>
          </cell>
          <cell r="R3873">
            <v>0</v>
          </cell>
          <cell r="S3873">
            <v>0</v>
          </cell>
          <cell r="T3873">
            <v>0</v>
          </cell>
          <cell r="U3873">
            <v>0</v>
          </cell>
          <cell r="V3873">
            <v>0</v>
          </cell>
          <cell r="W3873">
            <v>0</v>
          </cell>
        </row>
        <row r="3874">
          <cell r="A3874" t="str">
            <v>453934</v>
          </cell>
          <cell r="B3874" t="str">
            <v>1251</v>
          </cell>
          <cell r="C3874" t="str">
            <v>12</v>
          </cell>
          <cell r="D3874" t="str">
            <v>23</v>
          </cell>
          <cell r="E3874">
            <v>38</v>
          </cell>
          <cell r="G3874">
            <v>0</v>
          </cell>
          <cell r="H3874">
            <v>0</v>
          </cell>
          <cell r="I3874">
            <v>0</v>
          </cell>
          <cell r="J3874">
            <v>0</v>
          </cell>
          <cell r="K3874">
            <v>0</v>
          </cell>
          <cell r="L3874">
            <v>0</v>
          </cell>
          <cell r="M3874">
            <v>0</v>
          </cell>
          <cell r="N3874">
            <v>0</v>
          </cell>
          <cell r="O3874">
            <v>0</v>
          </cell>
          <cell r="P3874">
            <v>0</v>
          </cell>
          <cell r="Q3874">
            <v>0</v>
          </cell>
          <cell r="R3874">
            <v>0</v>
          </cell>
          <cell r="S3874">
            <v>0</v>
          </cell>
          <cell r="T3874">
            <v>0</v>
          </cell>
          <cell r="U3874">
            <v>0</v>
          </cell>
          <cell r="V3874">
            <v>0</v>
          </cell>
          <cell r="W3874">
            <v>0</v>
          </cell>
        </row>
        <row r="3875">
          <cell r="A3875" t="str">
            <v>453934</v>
          </cell>
          <cell r="B3875" t="str">
            <v>1251</v>
          </cell>
          <cell r="C3875" t="str">
            <v>12</v>
          </cell>
          <cell r="D3875" t="str">
            <v>23</v>
          </cell>
          <cell r="E3875">
            <v>39</v>
          </cell>
          <cell r="G3875">
            <v>23661</v>
          </cell>
          <cell r="H3875">
            <v>0</v>
          </cell>
          <cell r="I3875">
            <v>0</v>
          </cell>
          <cell r="J3875">
            <v>3299</v>
          </cell>
          <cell r="K3875">
            <v>0</v>
          </cell>
          <cell r="L3875">
            <v>3299</v>
          </cell>
          <cell r="M3875">
            <v>26960</v>
          </cell>
          <cell r="N3875">
            <v>26960</v>
          </cell>
          <cell r="O3875">
            <v>0</v>
          </cell>
          <cell r="P3875">
            <v>0</v>
          </cell>
          <cell r="Q3875">
            <v>0</v>
          </cell>
          <cell r="R3875">
            <v>0</v>
          </cell>
          <cell r="S3875">
            <v>0</v>
          </cell>
          <cell r="T3875">
            <v>0</v>
          </cell>
          <cell r="U3875">
            <v>0</v>
          </cell>
          <cell r="V3875">
            <v>0</v>
          </cell>
          <cell r="W3875">
            <v>0</v>
          </cell>
        </row>
        <row r="3876">
          <cell r="A3876" t="str">
            <v>453934</v>
          </cell>
          <cell r="B3876" t="str">
            <v>1251</v>
          </cell>
          <cell r="C3876" t="str">
            <v>12</v>
          </cell>
          <cell r="D3876" t="str">
            <v>24</v>
          </cell>
          <cell r="E3876">
            <v>1</v>
          </cell>
          <cell r="G3876">
            <v>2187</v>
          </cell>
          <cell r="H3876">
            <v>0</v>
          </cell>
          <cell r="I3876">
            <v>79</v>
          </cell>
          <cell r="J3876">
            <v>0</v>
          </cell>
          <cell r="K3876">
            <v>2266</v>
          </cell>
          <cell r="L3876">
            <v>24006</v>
          </cell>
          <cell r="M3876">
            <v>22410</v>
          </cell>
          <cell r="N3876">
            <v>3766</v>
          </cell>
          <cell r="O3876">
            <v>0</v>
          </cell>
          <cell r="P3876">
            <v>96</v>
          </cell>
          <cell r="Q3876">
            <v>0</v>
          </cell>
          <cell r="R3876">
            <v>3862</v>
          </cell>
          <cell r="S3876">
            <v>0</v>
          </cell>
          <cell r="T3876">
            <v>0</v>
          </cell>
          <cell r="U3876">
            <v>0</v>
          </cell>
          <cell r="V3876">
            <v>0</v>
          </cell>
          <cell r="W3876">
            <v>0</v>
          </cell>
        </row>
        <row r="3877">
          <cell r="A3877" t="str">
            <v>453934</v>
          </cell>
          <cell r="B3877" t="str">
            <v>1251</v>
          </cell>
          <cell r="C3877" t="str">
            <v>12</v>
          </cell>
          <cell r="D3877" t="str">
            <v>29</v>
          </cell>
          <cell r="E3877">
            <v>1</v>
          </cell>
          <cell r="G3877">
            <v>2187</v>
          </cell>
          <cell r="H3877">
            <v>3766</v>
          </cell>
          <cell r="I3877">
            <v>79</v>
          </cell>
          <cell r="J3877">
            <v>96</v>
          </cell>
          <cell r="K3877">
            <v>2266</v>
          </cell>
          <cell r="L3877">
            <v>3862</v>
          </cell>
          <cell r="M3877">
            <v>0</v>
          </cell>
          <cell r="N3877">
            <v>0</v>
          </cell>
          <cell r="O3877">
            <v>0</v>
          </cell>
          <cell r="P3877">
            <v>0</v>
          </cell>
          <cell r="Q3877">
            <v>688</v>
          </cell>
          <cell r="R3877">
            <v>680</v>
          </cell>
          <cell r="S3877">
            <v>0</v>
          </cell>
          <cell r="T3877">
            <v>0</v>
          </cell>
          <cell r="U3877">
            <v>0</v>
          </cell>
          <cell r="V3877">
            <v>2</v>
          </cell>
          <cell r="W3877">
            <v>0</v>
          </cell>
        </row>
        <row r="3878">
          <cell r="A3878" t="str">
            <v>453934</v>
          </cell>
          <cell r="B3878" t="str">
            <v>1251</v>
          </cell>
          <cell r="C3878" t="str">
            <v>12</v>
          </cell>
          <cell r="D3878" t="str">
            <v>29</v>
          </cell>
          <cell r="E3878">
            <v>9</v>
          </cell>
          <cell r="G3878">
            <v>0</v>
          </cell>
          <cell r="H3878">
            <v>0</v>
          </cell>
          <cell r="I3878">
            <v>688</v>
          </cell>
          <cell r="J3878">
            <v>682</v>
          </cell>
          <cell r="K3878">
            <v>0</v>
          </cell>
          <cell r="L3878">
            <v>0</v>
          </cell>
          <cell r="M3878">
            <v>0</v>
          </cell>
          <cell r="N3878">
            <v>0</v>
          </cell>
          <cell r="O3878">
            <v>2954</v>
          </cell>
          <cell r="P3878">
            <v>4544</v>
          </cell>
          <cell r="Q3878">
            <v>0</v>
          </cell>
          <cell r="R3878">
            <v>0</v>
          </cell>
          <cell r="S3878">
            <v>0</v>
          </cell>
          <cell r="T3878">
            <v>0</v>
          </cell>
          <cell r="U3878">
            <v>1193</v>
          </cell>
          <cell r="V3878">
            <v>0</v>
          </cell>
          <cell r="W3878">
            <v>0</v>
          </cell>
        </row>
        <row r="3879">
          <cell r="A3879" t="str">
            <v>453934</v>
          </cell>
          <cell r="B3879" t="str">
            <v>1251</v>
          </cell>
          <cell r="C3879" t="str">
            <v>12</v>
          </cell>
          <cell r="D3879" t="str">
            <v>29</v>
          </cell>
          <cell r="E3879">
            <v>17</v>
          </cell>
          <cell r="G3879">
            <v>0</v>
          </cell>
          <cell r="H3879">
            <v>0</v>
          </cell>
          <cell r="I3879">
            <v>0</v>
          </cell>
          <cell r="J3879">
            <v>0</v>
          </cell>
          <cell r="K3879">
            <v>4147</v>
          </cell>
          <cell r="L3879">
            <v>4544</v>
          </cell>
          <cell r="M3879">
            <v>0</v>
          </cell>
          <cell r="N3879">
            <v>0</v>
          </cell>
          <cell r="O3879">
            <v>0</v>
          </cell>
          <cell r="P3879">
            <v>0</v>
          </cell>
          <cell r="Q3879">
            <v>4147</v>
          </cell>
          <cell r="R3879">
            <v>4544</v>
          </cell>
          <cell r="S3879">
            <v>2954</v>
          </cell>
          <cell r="T3879">
            <v>0</v>
          </cell>
          <cell r="U3879">
            <v>1193</v>
          </cell>
          <cell r="V3879">
            <v>4544</v>
          </cell>
          <cell r="W3879">
            <v>0</v>
          </cell>
        </row>
        <row r="3880">
          <cell r="A3880" t="str">
            <v>453934</v>
          </cell>
          <cell r="B3880" t="str">
            <v>1251</v>
          </cell>
          <cell r="C3880" t="str">
            <v>12</v>
          </cell>
          <cell r="D3880" t="str">
            <v>29</v>
          </cell>
          <cell r="E3880">
            <v>25</v>
          </cell>
          <cell r="G3880">
            <v>0</v>
          </cell>
          <cell r="H3880">
            <v>0</v>
          </cell>
          <cell r="I3880">
            <v>8294</v>
          </cell>
          <cell r="J3880">
            <v>9088</v>
          </cell>
          <cell r="K3880">
            <v>0</v>
          </cell>
          <cell r="L3880">
            <v>0</v>
          </cell>
          <cell r="M3880">
            <v>0</v>
          </cell>
          <cell r="N3880">
            <v>0</v>
          </cell>
          <cell r="O3880">
            <v>0</v>
          </cell>
          <cell r="P3880">
            <v>0</v>
          </cell>
          <cell r="Q3880">
            <v>0</v>
          </cell>
          <cell r="R3880">
            <v>0</v>
          </cell>
          <cell r="S3880">
            <v>0</v>
          </cell>
          <cell r="T3880">
            <v>0</v>
          </cell>
          <cell r="U3880">
            <v>0</v>
          </cell>
          <cell r="V3880">
            <v>0</v>
          </cell>
          <cell r="W3880">
            <v>0</v>
          </cell>
        </row>
        <row r="3881">
          <cell r="A3881" t="str">
            <v>453934</v>
          </cell>
          <cell r="B3881" t="str">
            <v>1251</v>
          </cell>
          <cell r="C3881" t="str">
            <v>12</v>
          </cell>
          <cell r="D3881" t="str">
            <v>34</v>
          </cell>
          <cell r="E3881">
            <v>0</v>
          </cell>
          <cell r="G3881">
            <v>86</v>
          </cell>
          <cell r="H3881">
            <v>2830</v>
          </cell>
          <cell r="I3881">
            <v>0</v>
          </cell>
          <cell r="J3881">
            <v>0</v>
          </cell>
          <cell r="K3881">
            <v>325</v>
          </cell>
          <cell r="L3881">
            <v>0</v>
          </cell>
          <cell r="M3881">
            <v>0</v>
          </cell>
          <cell r="N3881">
            <v>188</v>
          </cell>
          <cell r="O3881">
            <v>3155</v>
          </cell>
          <cell r="P3881">
            <v>0</v>
          </cell>
          <cell r="Q3881">
            <v>1</v>
          </cell>
          <cell r="R3881">
            <v>0</v>
          </cell>
          <cell r="S3881">
            <v>0</v>
          </cell>
          <cell r="T3881">
            <v>0</v>
          </cell>
          <cell r="U3881">
            <v>0</v>
          </cell>
          <cell r="V3881">
            <v>0</v>
          </cell>
          <cell r="W3881">
            <v>0</v>
          </cell>
        </row>
        <row r="3882">
          <cell r="A3882" t="str">
            <v>453934</v>
          </cell>
          <cell r="B3882" t="str">
            <v>1251</v>
          </cell>
          <cell r="C3882" t="str">
            <v>12</v>
          </cell>
          <cell r="D3882" t="str">
            <v>34</v>
          </cell>
          <cell r="E3882">
            <v>0</v>
          </cell>
          <cell r="G3882">
            <v>93</v>
          </cell>
          <cell r="H3882">
            <v>3140</v>
          </cell>
          <cell r="I3882">
            <v>0</v>
          </cell>
          <cell r="J3882">
            <v>0</v>
          </cell>
          <cell r="K3882">
            <v>104</v>
          </cell>
          <cell r="L3882">
            <v>0</v>
          </cell>
          <cell r="M3882">
            <v>0</v>
          </cell>
          <cell r="N3882">
            <v>259</v>
          </cell>
          <cell r="O3882">
            <v>3244</v>
          </cell>
          <cell r="P3882">
            <v>0</v>
          </cell>
          <cell r="Q3882">
            <v>3</v>
          </cell>
          <cell r="R3882">
            <v>0</v>
          </cell>
          <cell r="S3882">
            <v>0</v>
          </cell>
          <cell r="T3882">
            <v>0</v>
          </cell>
          <cell r="U3882">
            <v>0</v>
          </cell>
          <cell r="V3882">
            <v>0</v>
          </cell>
          <cell r="W3882">
            <v>0</v>
          </cell>
        </row>
        <row r="3883">
          <cell r="A3883" t="str">
            <v>453934</v>
          </cell>
          <cell r="B3883" t="str">
            <v>1251</v>
          </cell>
          <cell r="C3883" t="str">
            <v>12</v>
          </cell>
          <cell r="D3883" t="str">
            <v>34</v>
          </cell>
          <cell r="E3883">
            <v>0</v>
          </cell>
          <cell r="G3883">
            <v>97</v>
          </cell>
          <cell r="H3883">
            <v>1590</v>
          </cell>
          <cell r="I3883">
            <v>0</v>
          </cell>
          <cell r="J3883">
            <v>0</v>
          </cell>
          <cell r="K3883">
            <v>0</v>
          </cell>
          <cell r="L3883">
            <v>0</v>
          </cell>
          <cell r="M3883">
            <v>0</v>
          </cell>
          <cell r="N3883">
            <v>165</v>
          </cell>
          <cell r="O3883">
            <v>1590</v>
          </cell>
          <cell r="P3883">
            <v>0</v>
          </cell>
          <cell r="Q3883">
            <v>1</v>
          </cell>
          <cell r="R3883">
            <v>0</v>
          </cell>
          <cell r="S3883">
            <v>0</v>
          </cell>
          <cell r="T3883">
            <v>0</v>
          </cell>
          <cell r="U3883">
            <v>0</v>
          </cell>
          <cell r="V3883">
            <v>0</v>
          </cell>
          <cell r="W3883">
            <v>0</v>
          </cell>
        </row>
        <row r="3884">
          <cell r="A3884" t="str">
            <v>453934</v>
          </cell>
          <cell r="B3884" t="str">
            <v>1251</v>
          </cell>
          <cell r="C3884" t="str">
            <v>12</v>
          </cell>
          <cell r="D3884" t="str">
            <v>34</v>
          </cell>
          <cell r="E3884">
            <v>0</v>
          </cell>
          <cell r="G3884">
            <v>102</v>
          </cell>
          <cell r="H3884">
            <v>4158</v>
          </cell>
          <cell r="I3884">
            <v>0</v>
          </cell>
          <cell r="J3884">
            <v>0</v>
          </cell>
          <cell r="K3884">
            <v>0</v>
          </cell>
          <cell r="L3884">
            <v>0</v>
          </cell>
          <cell r="M3884">
            <v>0</v>
          </cell>
          <cell r="N3884">
            <v>366</v>
          </cell>
          <cell r="O3884">
            <v>4158</v>
          </cell>
          <cell r="P3884">
            <v>0</v>
          </cell>
          <cell r="Q3884">
            <v>2</v>
          </cell>
          <cell r="R3884">
            <v>0</v>
          </cell>
          <cell r="S3884">
            <v>0</v>
          </cell>
          <cell r="T3884">
            <v>0</v>
          </cell>
          <cell r="U3884">
            <v>0</v>
          </cell>
          <cell r="V3884">
            <v>0</v>
          </cell>
          <cell r="W3884">
            <v>0</v>
          </cell>
        </row>
        <row r="3885">
          <cell r="A3885" t="str">
            <v>453934</v>
          </cell>
          <cell r="B3885" t="str">
            <v>1251</v>
          </cell>
          <cell r="C3885" t="str">
            <v>12</v>
          </cell>
          <cell r="D3885" t="str">
            <v>34</v>
          </cell>
          <cell r="E3885">
            <v>0</v>
          </cell>
          <cell r="G3885">
            <v>105</v>
          </cell>
          <cell r="H3885">
            <v>11718</v>
          </cell>
          <cell r="I3885">
            <v>0</v>
          </cell>
          <cell r="J3885">
            <v>0</v>
          </cell>
          <cell r="K3885">
            <v>429</v>
          </cell>
          <cell r="L3885">
            <v>0</v>
          </cell>
          <cell r="M3885">
            <v>0</v>
          </cell>
          <cell r="N3885">
            <v>978</v>
          </cell>
          <cell r="O3885">
            <v>12147</v>
          </cell>
          <cell r="P3885">
            <v>0</v>
          </cell>
          <cell r="Q3885">
            <v>7</v>
          </cell>
          <cell r="R3885">
            <v>0</v>
          </cell>
          <cell r="S3885">
            <v>0</v>
          </cell>
          <cell r="T3885">
            <v>0</v>
          </cell>
          <cell r="U3885">
            <v>0</v>
          </cell>
          <cell r="V3885">
            <v>0</v>
          </cell>
          <cell r="W3885">
            <v>0</v>
          </cell>
        </row>
        <row r="3886">
          <cell r="A3886" t="str">
            <v>453934</v>
          </cell>
          <cell r="B3886" t="str">
            <v>1251</v>
          </cell>
          <cell r="C3886" t="str">
            <v>12</v>
          </cell>
          <cell r="D3886" t="str">
            <v>34</v>
          </cell>
          <cell r="E3886">
            <v>0</v>
          </cell>
          <cell r="G3886">
            <v>151</v>
          </cell>
          <cell r="H3886">
            <v>11718</v>
          </cell>
          <cell r="I3886">
            <v>0</v>
          </cell>
          <cell r="J3886">
            <v>0</v>
          </cell>
          <cell r="K3886">
            <v>429</v>
          </cell>
          <cell r="L3886">
            <v>0</v>
          </cell>
          <cell r="M3886">
            <v>0</v>
          </cell>
          <cell r="N3886">
            <v>978</v>
          </cell>
          <cell r="O3886">
            <v>12147</v>
          </cell>
          <cell r="P3886">
            <v>0</v>
          </cell>
          <cell r="Q3886">
            <v>7</v>
          </cell>
          <cell r="R3886">
            <v>0</v>
          </cell>
          <cell r="S3886">
            <v>0</v>
          </cell>
          <cell r="T3886">
            <v>0</v>
          </cell>
          <cell r="U3886">
            <v>0</v>
          </cell>
          <cell r="V3886">
            <v>0</v>
          </cell>
          <cell r="W3886">
            <v>0</v>
          </cell>
        </row>
        <row r="3887">
          <cell r="A3887" t="str">
            <v>453934</v>
          </cell>
          <cell r="B3887" t="str">
            <v>1251</v>
          </cell>
          <cell r="C3887" t="str">
            <v>12</v>
          </cell>
          <cell r="D3887" t="str">
            <v>34</v>
          </cell>
          <cell r="E3887">
            <v>0</v>
          </cell>
          <cell r="G3887">
            <v>156</v>
          </cell>
          <cell r="H3887">
            <v>625</v>
          </cell>
          <cell r="I3887">
            <v>0</v>
          </cell>
          <cell r="J3887">
            <v>0</v>
          </cell>
          <cell r="K3887">
            <v>0</v>
          </cell>
          <cell r="L3887">
            <v>0</v>
          </cell>
          <cell r="M3887">
            <v>0</v>
          </cell>
          <cell r="N3887">
            <v>0</v>
          </cell>
          <cell r="O3887">
            <v>625</v>
          </cell>
          <cell r="P3887">
            <v>0</v>
          </cell>
          <cell r="Q3887">
            <v>0</v>
          </cell>
          <cell r="R3887">
            <v>0</v>
          </cell>
          <cell r="S3887">
            <v>0</v>
          </cell>
          <cell r="T3887">
            <v>0</v>
          </cell>
          <cell r="U3887">
            <v>0</v>
          </cell>
          <cell r="V3887">
            <v>0</v>
          </cell>
          <cell r="W3887">
            <v>0</v>
          </cell>
        </row>
        <row r="3888">
          <cell r="A3888" t="str">
            <v>453934</v>
          </cell>
          <cell r="B3888" t="str">
            <v>1251</v>
          </cell>
          <cell r="C3888" t="str">
            <v>12</v>
          </cell>
          <cell r="D3888" t="str">
            <v>34</v>
          </cell>
          <cell r="E3888">
            <v>0</v>
          </cell>
          <cell r="G3888">
            <v>157</v>
          </cell>
          <cell r="H3888">
            <v>625</v>
          </cell>
          <cell r="I3888">
            <v>0</v>
          </cell>
          <cell r="J3888">
            <v>0</v>
          </cell>
          <cell r="K3888">
            <v>0</v>
          </cell>
          <cell r="L3888">
            <v>0</v>
          </cell>
          <cell r="M3888">
            <v>0</v>
          </cell>
          <cell r="N3888">
            <v>0</v>
          </cell>
          <cell r="O3888">
            <v>625</v>
          </cell>
          <cell r="P3888">
            <v>0</v>
          </cell>
          <cell r="Q3888">
            <v>0</v>
          </cell>
          <cell r="R3888">
            <v>0</v>
          </cell>
          <cell r="S3888">
            <v>0</v>
          </cell>
          <cell r="T3888">
            <v>0</v>
          </cell>
          <cell r="U3888">
            <v>0</v>
          </cell>
          <cell r="V3888">
            <v>0</v>
          </cell>
          <cell r="W3888">
            <v>0</v>
          </cell>
        </row>
        <row r="3889">
          <cell r="A3889" t="str">
            <v>453934</v>
          </cell>
          <cell r="B3889" t="str">
            <v>1251</v>
          </cell>
          <cell r="C3889" t="str">
            <v>12</v>
          </cell>
          <cell r="D3889" t="str">
            <v>34</v>
          </cell>
          <cell r="E3889">
            <v>0</v>
          </cell>
          <cell r="G3889">
            <v>158</v>
          </cell>
          <cell r="H3889">
            <v>12343</v>
          </cell>
          <cell r="I3889">
            <v>0</v>
          </cell>
          <cell r="J3889">
            <v>0</v>
          </cell>
          <cell r="K3889">
            <v>429</v>
          </cell>
          <cell r="L3889">
            <v>0</v>
          </cell>
          <cell r="M3889">
            <v>0</v>
          </cell>
          <cell r="N3889">
            <v>978</v>
          </cell>
          <cell r="O3889">
            <v>12772</v>
          </cell>
          <cell r="P3889">
            <v>0</v>
          </cell>
          <cell r="Q3889">
            <v>7</v>
          </cell>
          <cell r="R3889">
            <v>0</v>
          </cell>
          <cell r="S3889">
            <v>0</v>
          </cell>
          <cell r="T3889">
            <v>0</v>
          </cell>
          <cell r="U3889">
            <v>0</v>
          </cell>
          <cell r="V3889">
            <v>0</v>
          </cell>
          <cell r="W3889">
            <v>0</v>
          </cell>
        </row>
        <row r="3890">
          <cell r="A3890" t="str">
            <v>453934</v>
          </cell>
          <cell r="B3890" t="str">
            <v>1251</v>
          </cell>
          <cell r="C3890" t="str">
            <v>12</v>
          </cell>
          <cell r="D3890" t="str">
            <v>35</v>
          </cell>
          <cell r="E3890">
            <v>1</v>
          </cell>
          <cell r="G3890">
            <v>12147</v>
          </cell>
          <cell r="H3890">
            <v>625</v>
          </cell>
          <cell r="I3890">
            <v>0</v>
          </cell>
          <cell r="J3890">
            <v>0</v>
          </cell>
          <cell r="K3890">
            <v>12772</v>
          </cell>
          <cell r="L3890">
            <v>0</v>
          </cell>
          <cell r="M3890">
            <v>0</v>
          </cell>
          <cell r="N3890">
            <v>0</v>
          </cell>
          <cell r="O3890">
            <v>0</v>
          </cell>
          <cell r="P3890">
            <v>0</v>
          </cell>
          <cell r="Q3890">
            <v>0</v>
          </cell>
          <cell r="R3890">
            <v>0</v>
          </cell>
          <cell r="S3890">
            <v>0</v>
          </cell>
          <cell r="T3890">
            <v>0</v>
          </cell>
          <cell r="U3890">
            <v>0</v>
          </cell>
          <cell r="V3890">
            <v>0</v>
          </cell>
          <cell r="W3890">
            <v>0</v>
          </cell>
        </row>
        <row r="3891">
          <cell r="A3891" t="str">
            <v>453934</v>
          </cell>
          <cell r="B3891" t="str">
            <v>1251</v>
          </cell>
          <cell r="C3891" t="str">
            <v>12</v>
          </cell>
          <cell r="D3891" t="str">
            <v>35</v>
          </cell>
          <cell r="E3891">
            <v>4</v>
          </cell>
          <cell r="G3891">
            <v>119</v>
          </cell>
          <cell r="H3891">
            <v>0</v>
          </cell>
          <cell r="I3891">
            <v>0</v>
          </cell>
          <cell r="J3891">
            <v>0</v>
          </cell>
          <cell r="K3891">
            <v>119</v>
          </cell>
          <cell r="L3891">
            <v>739</v>
          </cell>
          <cell r="M3891">
            <v>2</v>
          </cell>
          <cell r="N3891">
            <v>0</v>
          </cell>
          <cell r="O3891">
            <v>0</v>
          </cell>
          <cell r="P3891">
            <v>741</v>
          </cell>
          <cell r="Q3891">
            <v>40</v>
          </cell>
          <cell r="R3891">
            <v>0</v>
          </cell>
          <cell r="S3891">
            <v>0</v>
          </cell>
          <cell r="T3891">
            <v>0</v>
          </cell>
          <cell r="U3891">
            <v>40</v>
          </cell>
          <cell r="V3891">
            <v>0</v>
          </cell>
          <cell r="W3891">
            <v>0</v>
          </cell>
        </row>
        <row r="3892">
          <cell r="A3892" t="str">
            <v>453934</v>
          </cell>
          <cell r="B3892" t="str">
            <v>1251</v>
          </cell>
          <cell r="C3892" t="str">
            <v>12</v>
          </cell>
          <cell r="D3892" t="str">
            <v>35</v>
          </cell>
          <cell r="E3892">
            <v>7</v>
          </cell>
          <cell r="G3892">
            <v>0</v>
          </cell>
          <cell r="H3892">
            <v>0</v>
          </cell>
          <cell r="I3892">
            <v>0</v>
          </cell>
          <cell r="J3892">
            <v>0</v>
          </cell>
          <cell r="K3892">
            <v>0</v>
          </cell>
          <cell r="L3892">
            <v>898</v>
          </cell>
          <cell r="M3892">
            <v>2</v>
          </cell>
          <cell r="N3892">
            <v>0</v>
          </cell>
          <cell r="O3892">
            <v>0</v>
          </cell>
          <cell r="P3892">
            <v>900</v>
          </cell>
          <cell r="Q3892">
            <v>0</v>
          </cell>
          <cell r="R3892">
            <v>0</v>
          </cell>
          <cell r="S3892">
            <v>469</v>
          </cell>
          <cell r="T3892">
            <v>0</v>
          </cell>
          <cell r="U3892">
            <v>469</v>
          </cell>
          <cell r="V3892">
            <v>0</v>
          </cell>
          <cell r="W3892">
            <v>0</v>
          </cell>
        </row>
        <row r="3893">
          <cell r="A3893" t="str">
            <v>453934</v>
          </cell>
          <cell r="B3893" t="str">
            <v>1251</v>
          </cell>
          <cell r="C3893" t="str">
            <v>12</v>
          </cell>
          <cell r="D3893" t="str">
            <v>35</v>
          </cell>
          <cell r="E3893">
            <v>10</v>
          </cell>
          <cell r="G3893">
            <v>13045</v>
          </cell>
          <cell r="H3893">
            <v>627</v>
          </cell>
          <cell r="I3893">
            <v>469</v>
          </cell>
          <cell r="J3893">
            <v>0</v>
          </cell>
          <cell r="K3893">
            <v>14141</v>
          </cell>
          <cell r="L3893">
            <v>7</v>
          </cell>
          <cell r="M3893">
            <v>0</v>
          </cell>
          <cell r="N3893">
            <v>0</v>
          </cell>
          <cell r="O3893">
            <v>0</v>
          </cell>
          <cell r="P3893">
            <v>7</v>
          </cell>
          <cell r="Q3893">
            <v>7</v>
          </cell>
          <cell r="R3893">
            <v>0</v>
          </cell>
          <cell r="S3893">
            <v>0</v>
          </cell>
          <cell r="T3893">
            <v>0</v>
          </cell>
          <cell r="U3893">
            <v>7</v>
          </cell>
          <cell r="V3893">
            <v>0</v>
          </cell>
          <cell r="W3893">
            <v>0</v>
          </cell>
        </row>
        <row r="3894">
          <cell r="A3894" t="str">
            <v>453934</v>
          </cell>
          <cell r="B3894" t="str">
            <v>1251</v>
          </cell>
          <cell r="C3894" t="str">
            <v>12</v>
          </cell>
          <cell r="D3894" t="str">
            <v>35</v>
          </cell>
          <cell r="E3894">
            <v>13</v>
          </cell>
          <cell r="G3894">
            <v>7</v>
          </cell>
          <cell r="H3894">
            <v>0</v>
          </cell>
          <cell r="I3894">
            <v>0</v>
          </cell>
          <cell r="J3894">
            <v>0</v>
          </cell>
          <cell r="K3894">
            <v>7</v>
          </cell>
          <cell r="L3894">
            <v>7</v>
          </cell>
          <cell r="M3894">
            <v>0</v>
          </cell>
          <cell r="N3894">
            <v>0</v>
          </cell>
          <cell r="O3894">
            <v>0</v>
          </cell>
          <cell r="P3894">
            <v>7</v>
          </cell>
          <cell r="Q3894">
            <v>7</v>
          </cell>
          <cell r="R3894">
            <v>0</v>
          </cell>
          <cell r="S3894">
            <v>0</v>
          </cell>
          <cell r="T3894">
            <v>0</v>
          </cell>
          <cell r="U3894">
            <v>7</v>
          </cell>
          <cell r="V3894">
            <v>0</v>
          </cell>
          <cell r="W3894">
            <v>0</v>
          </cell>
        </row>
        <row r="3895">
          <cell r="A3895" t="str">
            <v>453934</v>
          </cell>
          <cell r="B3895" t="str">
            <v>1251</v>
          </cell>
          <cell r="C3895" t="str">
            <v>12</v>
          </cell>
          <cell r="D3895" t="str">
            <v>35</v>
          </cell>
          <cell r="E3895">
            <v>16</v>
          </cell>
          <cell r="G3895">
            <v>0</v>
          </cell>
          <cell r="H3895">
            <v>0</v>
          </cell>
          <cell r="I3895">
            <v>0</v>
          </cell>
          <cell r="J3895">
            <v>0</v>
          </cell>
          <cell r="K3895">
            <v>0</v>
          </cell>
          <cell r="L3895">
            <v>0</v>
          </cell>
          <cell r="M3895">
            <v>0</v>
          </cell>
          <cell r="N3895">
            <v>0</v>
          </cell>
          <cell r="O3895">
            <v>0</v>
          </cell>
          <cell r="P3895">
            <v>0</v>
          </cell>
          <cell r="Q3895">
            <v>7</v>
          </cell>
          <cell r="R3895">
            <v>0</v>
          </cell>
          <cell r="S3895">
            <v>0</v>
          </cell>
          <cell r="T3895">
            <v>0</v>
          </cell>
          <cell r="U3895">
            <v>7</v>
          </cell>
          <cell r="V3895">
            <v>0</v>
          </cell>
          <cell r="W3895">
            <v>0</v>
          </cell>
        </row>
        <row r="3896">
          <cell r="A3896" t="str">
            <v>453934</v>
          </cell>
          <cell r="B3896" t="str">
            <v>1251</v>
          </cell>
          <cell r="C3896" t="str">
            <v>12</v>
          </cell>
          <cell r="D3896" t="str">
            <v>35</v>
          </cell>
          <cell r="E3896">
            <v>19</v>
          </cell>
          <cell r="G3896">
            <v>0</v>
          </cell>
          <cell r="H3896">
            <v>0</v>
          </cell>
          <cell r="I3896">
            <v>0</v>
          </cell>
          <cell r="J3896">
            <v>0</v>
          </cell>
          <cell r="K3896">
            <v>0</v>
          </cell>
          <cell r="L3896">
            <v>0</v>
          </cell>
          <cell r="M3896">
            <v>0</v>
          </cell>
          <cell r="N3896">
            <v>0</v>
          </cell>
          <cell r="O3896">
            <v>0</v>
          </cell>
          <cell r="P3896">
            <v>0</v>
          </cell>
          <cell r="Q3896">
            <v>0</v>
          </cell>
          <cell r="R3896">
            <v>0</v>
          </cell>
          <cell r="S3896">
            <v>0</v>
          </cell>
          <cell r="T3896">
            <v>0</v>
          </cell>
          <cell r="U3896">
            <v>0</v>
          </cell>
          <cell r="V3896">
            <v>0</v>
          </cell>
          <cell r="W3896">
            <v>0</v>
          </cell>
        </row>
        <row r="3897">
          <cell r="A3897" t="str">
            <v>453934</v>
          </cell>
          <cell r="B3897" t="str">
            <v>1251</v>
          </cell>
          <cell r="C3897" t="str">
            <v>12</v>
          </cell>
          <cell r="D3897" t="str">
            <v>37</v>
          </cell>
          <cell r="E3897">
            <v>0</v>
          </cell>
          <cell r="G3897">
            <v>85128601</v>
          </cell>
          <cell r="H3897">
            <v>23</v>
          </cell>
          <cell r="I3897">
            <v>0</v>
          </cell>
          <cell r="J3897">
            <v>23</v>
          </cell>
          <cell r="K3897">
            <v>0</v>
          </cell>
          <cell r="L3897">
            <v>0</v>
          </cell>
          <cell r="M3897">
            <v>0</v>
          </cell>
          <cell r="N3897">
            <v>0</v>
          </cell>
          <cell r="O3897">
            <v>0</v>
          </cell>
          <cell r="P3897">
            <v>0</v>
          </cell>
          <cell r="Q3897">
            <v>0</v>
          </cell>
          <cell r="R3897">
            <v>0</v>
          </cell>
          <cell r="S3897">
            <v>0</v>
          </cell>
          <cell r="T3897">
            <v>0</v>
          </cell>
          <cell r="U3897">
            <v>0</v>
          </cell>
          <cell r="V3897">
            <v>0</v>
          </cell>
          <cell r="W3897">
            <v>0</v>
          </cell>
        </row>
        <row r="3898">
          <cell r="A3898" t="str">
            <v>453934</v>
          </cell>
          <cell r="B3898" t="str">
            <v>1251</v>
          </cell>
          <cell r="C3898" t="str">
            <v>12</v>
          </cell>
          <cell r="D3898" t="str">
            <v>37</v>
          </cell>
          <cell r="E3898">
            <v>0</v>
          </cell>
          <cell r="G3898">
            <v>99999901</v>
          </cell>
          <cell r="H3898">
            <v>23</v>
          </cell>
          <cell r="I3898">
            <v>0</v>
          </cell>
          <cell r="J3898">
            <v>23</v>
          </cell>
          <cell r="K3898">
            <v>0</v>
          </cell>
          <cell r="L3898">
            <v>0</v>
          </cell>
          <cell r="M3898">
            <v>0</v>
          </cell>
          <cell r="N3898">
            <v>0</v>
          </cell>
          <cell r="O3898">
            <v>0</v>
          </cell>
          <cell r="P3898">
            <v>0</v>
          </cell>
          <cell r="Q3898">
            <v>0</v>
          </cell>
          <cell r="R3898">
            <v>0</v>
          </cell>
          <cell r="S3898">
            <v>0</v>
          </cell>
          <cell r="T3898">
            <v>0</v>
          </cell>
          <cell r="U3898">
            <v>0</v>
          </cell>
          <cell r="V3898">
            <v>0</v>
          </cell>
          <cell r="W3898">
            <v>0</v>
          </cell>
        </row>
        <row r="3899">
          <cell r="A3899" t="str">
            <v>453934</v>
          </cell>
          <cell r="B3899" t="str">
            <v>1251</v>
          </cell>
          <cell r="C3899" t="str">
            <v>12</v>
          </cell>
          <cell r="D3899" t="str">
            <v>38</v>
          </cell>
          <cell r="E3899">
            <v>1</v>
          </cell>
          <cell r="G3899">
            <v>0</v>
          </cell>
          <cell r="H3899">
            <v>0</v>
          </cell>
          <cell r="I3899">
            <v>4444</v>
          </cell>
          <cell r="J3899">
            <v>0</v>
          </cell>
          <cell r="K3899">
            <v>0</v>
          </cell>
          <cell r="L3899">
            <v>0</v>
          </cell>
          <cell r="M3899">
            <v>0</v>
          </cell>
          <cell r="N3899">
            <v>4444</v>
          </cell>
          <cell r="O3899">
            <v>0</v>
          </cell>
          <cell r="P3899">
            <v>0</v>
          </cell>
          <cell r="Q3899">
            <v>0</v>
          </cell>
          <cell r="R3899">
            <v>0</v>
          </cell>
          <cell r="S3899">
            <v>0</v>
          </cell>
          <cell r="T3899">
            <v>0</v>
          </cell>
          <cell r="U3899">
            <v>0</v>
          </cell>
          <cell r="V3899">
            <v>0</v>
          </cell>
          <cell r="W3899">
            <v>0</v>
          </cell>
        </row>
        <row r="3900">
          <cell r="A3900" t="str">
            <v>453934</v>
          </cell>
          <cell r="B3900" t="str">
            <v>1251</v>
          </cell>
          <cell r="C3900" t="str">
            <v>12</v>
          </cell>
          <cell r="D3900" t="str">
            <v>38</v>
          </cell>
          <cell r="E3900">
            <v>2</v>
          </cell>
          <cell r="G3900">
            <v>0</v>
          </cell>
          <cell r="H3900">
            <v>0</v>
          </cell>
          <cell r="I3900">
            <v>413</v>
          </cell>
          <cell r="J3900">
            <v>0</v>
          </cell>
          <cell r="K3900">
            <v>0</v>
          </cell>
          <cell r="L3900">
            <v>0</v>
          </cell>
          <cell r="M3900">
            <v>0</v>
          </cell>
          <cell r="N3900">
            <v>413</v>
          </cell>
          <cell r="O3900">
            <v>0</v>
          </cell>
          <cell r="P3900">
            <v>0</v>
          </cell>
          <cell r="Q3900">
            <v>0</v>
          </cell>
          <cell r="R3900">
            <v>0</v>
          </cell>
          <cell r="S3900">
            <v>0</v>
          </cell>
          <cell r="T3900">
            <v>0</v>
          </cell>
          <cell r="U3900">
            <v>0</v>
          </cell>
          <cell r="V3900">
            <v>0</v>
          </cell>
          <cell r="W3900">
            <v>0</v>
          </cell>
        </row>
        <row r="3901">
          <cell r="A3901" t="str">
            <v>453934</v>
          </cell>
          <cell r="B3901" t="str">
            <v>1251</v>
          </cell>
          <cell r="C3901" t="str">
            <v>12</v>
          </cell>
          <cell r="D3901" t="str">
            <v>38</v>
          </cell>
          <cell r="E3901">
            <v>3</v>
          </cell>
          <cell r="G3901">
            <v>0</v>
          </cell>
          <cell r="H3901">
            <v>0</v>
          </cell>
          <cell r="I3901">
            <v>0</v>
          </cell>
          <cell r="J3901">
            <v>0</v>
          </cell>
          <cell r="K3901">
            <v>0</v>
          </cell>
          <cell r="L3901">
            <v>0</v>
          </cell>
          <cell r="M3901">
            <v>0</v>
          </cell>
          <cell r="N3901">
            <v>0</v>
          </cell>
          <cell r="O3901">
            <v>0</v>
          </cell>
          <cell r="P3901">
            <v>0</v>
          </cell>
          <cell r="Q3901">
            <v>0</v>
          </cell>
          <cell r="R3901">
            <v>0</v>
          </cell>
          <cell r="S3901">
            <v>0</v>
          </cell>
          <cell r="T3901">
            <v>0</v>
          </cell>
          <cell r="U3901">
            <v>0</v>
          </cell>
          <cell r="V3901">
            <v>0</v>
          </cell>
          <cell r="W3901">
            <v>0</v>
          </cell>
        </row>
        <row r="3902">
          <cell r="A3902" t="str">
            <v>453934</v>
          </cell>
          <cell r="B3902" t="str">
            <v>1251</v>
          </cell>
          <cell r="C3902" t="str">
            <v>12</v>
          </cell>
          <cell r="D3902" t="str">
            <v>38</v>
          </cell>
          <cell r="E3902">
            <v>4</v>
          </cell>
          <cell r="G3902">
            <v>0</v>
          </cell>
          <cell r="H3902">
            <v>0</v>
          </cell>
          <cell r="I3902">
            <v>83</v>
          </cell>
          <cell r="J3902">
            <v>0</v>
          </cell>
          <cell r="K3902">
            <v>0</v>
          </cell>
          <cell r="L3902">
            <v>0</v>
          </cell>
          <cell r="M3902">
            <v>0</v>
          </cell>
          <cell r="N3902">
            <v>83</v>
          </cell>
          <cell r="O3902">
            <v>0</v>
          </cell>
          <cell r="P3902">
            <v>0</v>
          </cell>
          <cell r="Q3902">
            <v>0</v>
          </cell>
          <cell r="R3902">
            <v>0</v>
          </cell>
          <cell r="S3902">
            <v>0</v>
          </cell>
          <cell r="T3902">
            <v>0</v>
          </cell>
          <cell r="U3902">
            <v>0</v>
          </cell>
          <cell r="V3902">
            <v>0</v>
          </cell>
          <cell r="W3902">
            <v>0</v>
          </cell>
        </row>
        <row r="3903">
          <cell r="A3903" t="str">
            <v>453934</v>
          </cell>
          <cell r="B3903" t="str">
            <v>1251</v>
          </cell>
          <cell r="C3903" t="str">
            <v>12</v>
          </cell>
          <cell r="D3903" t="str">
            <v>38</v>
          </cell>
          <cell r="E3903">
            <v>5</v>
          </cell>
          <cell r="G3903">
            <v>0</v>
          </cell>
          <cell r="H3903">
            <v>0</v>
          </cell>
          <cell r="I3903">
            <v>496</v>
          </cell>
          <cell r="J3903">
            <v>0</v>
          </cell>
          <cell r="K3903">
            <v>0</v>
          </cell>
          <cell r="L3903">
            <v>0</v>
          </cell>
          <cell r="M3903">
            <v>0</v>
          </cell>
          <cell r="N3903">
            <v>496</v>
          </cell>
          <cell r="O3903">
            <v>0</v>
          </cell>
          <cell r="P3903">
            <v>0</v>
          </cell>
          <cell r="Q3903">
            <v>0</v>
          </cell>
          <cell r="R3903">
            <v>0</v>
          </cell>
          <cell r="S3903">
            <v>0</v>
          </cell>
          <cell r="T3903">
            <v>0</v>
          </cell>
          <cell r="U3903">
            <v>0</v>
          </cell>
          <cell r="V3903">
            <v>0</v>
          </cell>
          <cell r="W3903">
            <v>0</v>
          </cell>
        </row>
        <row r="3904">
          <cell r="A3904" t="str">
            <v>453934</v>
          </cell>
          <cell r="B3904" t="str">
            <v>1251</v>
          </cell>
          <cell r="C3904" t="str">
            <v>12</v>
          </cell>
          <cell r="D3904" t="str">
            <v>38</v>
          </cell>
          <cell r="E3904">
            <v>6</v>
          </cell>
          <cell r="G3904">
            <v>0</v>
          </cell>
          <cell r="H3904">
            <v>0</v>
          </cell>
          <cell r="I3904">
            <v>0</v>
          </cell>
          <cell r="J3904">
            <v>0</v>
          </cell>
          <cell r="K3904">
            <v>0</v>
          </cell>
          <cell r="L3904">
            <v>0</v>
          </cell>
          <cell r="M3904">
            <v>0</v>
          </cell>
          <cell r="N3904">
            <v>0</v>
          </cell>
          <cell r="O3904">
            <v>0</v>
          </cell>
          <cell r="P3904">
            <v>0</v>
          </cell>
          <cell r="Q3904">
            <v>0</v>
          </cell>
          <cell r="R3904">
            <v>0</v>
          </cell>
          <cell r="S3904">
            <v>0</v>
          </cell>
          <cell r="T3904">
            <v>0</v>
          </cell>
          <cell r="U3904">
            <v>0</v>
          </cell>
          <cell r="V3904">
            <v>0</v>
          </cell>
          <cell r="W3904">
            <v>0</v>
          </cell>
        </row>
        <row r="3905">
          <cell r="A3905" t="str">
            <v>453934</v>
          </cell>
          <cell r="B3905" t="str">
            <v>1251</v>
          </cell>
          <cell r="C3905" t="str">
            <v>12</v>
          </cell>
          <cell r="D3905" t="str">
            <v>38</v>
          </cell>
          <cell r="E3905">
            <v>7</v>
          </cell>
          <cell r="G3905">
            <v>0</v>
          </cell>
          <cell r="H3905">
            <v>0</v>
          </cell>
          <cell r="I3905">
            <v>0</v>
          </cell>
          <cell r="J3905">
            <v>0</v>
          </cell>
          <cell r="K3905">
            <v>0</v>
          </cell>
          <cell r="L3905">
            <v>0</v>
          </cell>
          <cell r="M3905">
            <v>0</v>
          </cell>
          <cell r="N3905">
            <v>0</v>
          </cell>
          <cell r="O3905">
            <v>0</v>
          </cell>
          <cell r="P3905">
            <v>0</v>
          </cell>
          <cell r="Q3905">
            <v>0</v>
          </cell>
          <cell r="R3905">
            <v>0</v>
          </cell>
          <cell r="S3905">
            <v>0</v>
          </cell>
          <cell r="T3905">
            <v>0</v>
          </cell>
          <cell r="U3905">
            <v>0</v>
          </cell>
          <cell r="V3905">
            <v>0</v>
          </cell>
          <cell r="W3905">
            <v>0</v>
          </cell>
        </row>
        <row r="3906">
          <cell r="A3906" t="str">
            <v>453934</v>
          </cell>
          <cell r="B3906" t="str">
            <v>1251</v>
          </cell>
          <cell r="C3906" t="str">
            <v>12</v>
          </cell>
          <cell r="D3906" t="str">
            <v>38</v>
          </cell>
          <cell r="E3906">
            <v>8</v>
          </cell>
          <cell r="G3906">
            <v>0</v>
          </cell>
          <cell r="H3906">
            <v>0</v>
          </cell>
          <cell r="I3906">
            <v>0</v>
          </cell>
          <cell r="J3906">
            <v>0</v>
          </cell>
          <cell r="K3906">
            <v>0</v>
          </cell>
          <cell r="L3906">
            <v>0</v>
          </cell>
          <cell r="M3906">
            <v>0</v>
          </cell>
          <cell r="N3906">
            <v>0</v>
          </cell>
          <cell r="O3906">
            <v>0</v>
          </cell>
          <cell r="P3906">
            <v>0</v>
          </cell>
          <cell r="Q3906">
            <v>0</v>
          </cell>
          <cell r="R3906">
            <v>0</v>
          </cell>
          <cell r="S3906">
            <v>0</v>
          </cell>
          <cell r="T3906">
            <v>0</v>
          </cell>
          <cell r="U3906">
            <v>0</v>
          </cell>
          <cell r="V3906">
            <v>0</v>
          </cell>
          <cell r="W3906">
            <v>0</v>
          </cell>
        </row>
        <row r="3907">
          <cell r="A3907" t="str">
            <v>453934</v>
          </cell>
          <cell r="B3907" t="str">
            <v>1251</v>
          </cell>
          <cell r="C3907" t="str">
            <v>12</v>
          </cell>
          <cell r="D3907" t="str">
            <v>38</v>
          </cell>
          <cell r="E3907">
            <v>9</v>
          </cell>
          <cell r="G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</row>
        <row r="3908">
          <cell r="A3908" t="str">
            <v>453934</v>
          </cell>
          <cell r="B3908" t="str">
            <v>1251</v>
          </cell>
          <cell r="C3908" t="str">
            <v>12</v>
          </cell>
          <cell r="D3908" t="str">
            <v>38</v>
          </cell>
          <cell r="E3908">
            <v>10</v>
          </cell>
          <cell r="G3908">
            <v>0</v>
          </cell>
          <cell r="H3908">
            <v>0</v>
          </cell>
          <cell r="I3908">
            <v>0</v>
          </cell>
          <cell r="J3908">
            <v>0</v>
          </cell>
          <cell r="K3908">
            <v>0</v>
          </cell>
          <cell r="L3908">
            <v>0</v>
          </cell>
          <cell r="M3908">
            <v>0</v>
          </cell>
          <cell r="N3908">
            <v>0</v>
          </cell>
          <cell r="O3908">
            <v>0</v>
          </cell>
          <cell r="P3908">
            <v>0</v>
          </cell>
          <cell r="Q3908">
            <v>0</v>
          </cell>
          <cell r="R3908">
            <v>0</v>
          </cell>
          <cell r="S3908">
            <v>0</v>
          </cell>
          <cell r="T3908">
            <v>0</v>
          </cell>
          <cell r="U3908">
            <v>0</v>
          </cell>
          <cell r="V3908">
            <v>0</v>
          </cell>
          <cell r="W3908">
            <v>0</v>
          </cell>
        </row>
        <row r="3909">
          <cell r="A3909" t="str">
            <v>453934</v>
          </cell>
          <cell r="B3909" t="str">
            <v>1251</v>
          </cell>
          <cell r="C3909" t="str">
            <v>12</v>
          </cell>
          <cell r="D3909" t="str">
            <v>38</v>
          </cell>
          <cell r="E3909">
            <v>11</v>
          </cell>
          <cell r="G3909">
            <v>0</v>
          </cell>
          <cell r="H3909">
            <v>0</v>
          </cell>
          <cell r="I3909">
            <v>496</v>
          </cell>
          <cell r="J3909">
            <v>0</v>
          </cell>
          <cell r="K3909">
            <v>0</v>
          </cell>
          <cell r="L3909">
            <v>0</v>
          </cell>
          <cell r="M3909">
            <v>0</v>
          </cell>
          <cell r="N3909">
            <v>496</v>
          </cell>
          <cell r="O3909">
            <v>0</v>
          </cell>
          <cell r="P3909">
            <v>0</v>
          </cell>
          <cell r="Q3909">
            <v>0</v>
          </cell>
          <cell r="R3909">
            <v>0</v>
          </cell>
          <cell r="S3909">
            <v>0</v>
          </cell>
          <cell r="T3909">
            <v>0</v>
          </cell>
          <cell r="U3909">
            <v>0</v>
          </cell>
          <cell r="V3909">
            <v>0</v>
          </cell>
          <cell r="W3909">
            <v>0</v>
          </cell>
        </row>
        <row r="3910">
          <cell r="A3910" t="str">
            <v>453934</v>
          </cell>
          <cell r="B3910" t="str">
            <v>1251</v>
          </cell>
          <cell r="C3910" t="str">
            <v>12</v>
          </cell>
          <cell r="D3910" t="str">
            <v>38</v>
          </cell>
          <cell r="E3910">
            <v>12</v>
          </cell>
          <cell r="G3910">
            <v>0</v>
          </cell>
          <cell r="H3910">
            <v>0</v>
          </cell>
          <cell r="I3910">
            <v>0</v>
          </cell>
          <cell r="J3910">
            <v>0</v>
          </cell>
          <cell r="K3910">
            <v>0</v>
          </cell>
          <cell r="L3910">
            <v>0</v>
          </cell>
          <cell r="M3910">
            <v>0</v>
          </cell>
          <cell r="N3910">
            <v>0</v>
          </cell>
          <cell r="O3910">
            <v>0</v>
          </cell>
          <cell r="P3910">
            <v>0</v>
          </cell>
          <cell r="Q3910">
            <v>0</v>
          </cell>
          <cell r="R3910">
            <v>0</v>
          </cell>
          <cell r="S3910">
            <v>0</v>
          </cell>
          <cell r="T3910">
            <v>0</v>
          </cell>
          <cell r="U3910">
            <v>0</v>
          </cell>
          <cell r="V3910">
            <v>0</v>
          </cell>
          <cell r="W3910">
            <v>0</v>
          </cell>
        </row>
        <row r="3911">
          <cell r="A3911" t="str">
            <v>453934</v>
          </cell>
          <cell r="B3911" t="str">
            <v>1251</v>
          </cell>
          <cell r="C3911" t="str">
            <v>12</v>
          </cell>
          <cell r="D3911" t="str">
            <v>38</v>
          </cell>
          <cell r="E3911">
            <v>13</v>
          </cell>
          <cell r="G3911">
            <v>0</v>
          </cell>
          <cell r="H3911">
            <v>0</v>
          </cell>
          <cell r="I3911">
            <v>0</v>
          </cell>
          <cell r="J3911">
            <v>0</v>
          </cell>
          <cell r="K3911">
            <v>0</v>
          </cell>
          <cell r="L3911">
            <v>0</v>
          </cell>
          <cell r="M3911">
            <v>0</v>
          </cell>
          <cell r="N3911">
            <v>0</v>
          </cell>
          <cell r="O3911">
            <v>0</v>
          </cell>
          <cell r="P3911">
            <v>0</v>
          </cell>
          <cell r="Q3911">
            <v>0</v>
          </cell>
          <cell r="R3911">
            <v>0</v>
          </cell>
          <cell r="S3911">
            <v>0</v>
          </cell>
          <cell r="T3911">
            <v>0</v>
          </cell>
          <cell r="U3911">
            <v>0</v>
          </cell>
          <cell r="V3911">
            <v>0</v>
          </cell>
          <cell r="W3911">
            <v>0</v>
          </cell>
        </row>
        <row r="3912">
          <cell r="A3912" t="str">
            <v>453934</v>
          </cell>
          <cell r="B3912" t="str">
            <v>1251</v>
          </cell>
          <cell r="C3912" t="str">
            <v>12</v>
          </cell>
          <cell r="D3912" t="str">
            <v>38</v>
          </cell>
          <cell r="E3912">
            <v>14</v>
          </cell>
          <cell r="G3912">
            <v>0</v>
          </cell>
          <cell r="H3912">
            <v>0</v>
          </cell>
          <cell r="I3912">
            <v>0</v>
          </cell>
          <cell r="J3912">
            <v>0</v>
          </cell>
          <cell r="K3912">
            <v>0</v>
          </cell>
          <cell r="L3912">
            <v>0</v>
          </cell>
          <cell r="M3912">
            <v>0</v>
          </cell>
          <cell r="N3912">
            <v>0</v>
          </cell>
          <cell r="O3912">
            <v>0</v>
          </cell>
          <cell r="P3912">
            <v>0</v>
          </cell>
          <cell r="Q3912">
            <v>0</v>
          </cell>
          <cell r="R3912">
            <v>0</v>
          </cell>
          <cell r="S3912">
            <v>0</v>
          </cell>
          <cell r="T3912">
            <v>0</v>
          </cell>
          <cell r="U3912">
            <v>0</v>
          </cell>
          <cell r="V3912">
            <v>0</v>
          </cell>
          <cell r="W3912">
            <v>0</v>
          </cell>
        </row>
        <row r="3913">
          <cell r="A3913" t="str">
            <v>453934</v>
          </cell>
          <cell r="B3913" t="str">
            <v>1251</v>
          </cell>
          <cell r="C3913" t="str">
            <v>12</v>
          </cell>
          <cell r="D3913" t="str">
            <v>38</v>
          </cell>
          <cell r="E3913">
            <v>15</v>
          </cell>
          <cell r="G3913">
            <v>0</v>
          </cell>
          <cell r="H3913">
            <v>0</v>
          </cell>
          <cell r="I3913">
            <v>0</v>
          </cell>
          <cell r="J3913">
            <v>0</v>
          </cell>
          <cell r="K3913">
            <v>0</v>
          </cell>
          <cell r="L3913">
            <v>0</v>
          </cell>
          <cell r="M3913">
            <v>0</v>
          </cell>
          <cell r="N3913">
            <v>0</v>
          </cell>
          <cell r="O3913">
            <v>0</v>
          </cell>
          <cell r="P3913">
            <v>0</v>
          </cell>
          <cell r="Q3913">
            <v>0</v>
          </cell>
          <cell r="R3913">
            <v>0</v>
          </cell>
          <cell r="S3913">
            <v>0</v>
          </cell>
          <cell r="T3913">
            <v>0</v>
          </cell>
          <cell r="U3913">
            <v>0</v>
          </cell>
          <cell r="V3913">
            <v>0</v>
          </cell>
          <cell r="W3913">
            <v>0</v>
          </cell>
        </row>
        <row r="3914">
          <cell r="A3914" t="str">
            <v>453934</v>
          </cell>
          <cell r="B3914" t="str">
            <v>1251</v>
          </cell>
          <cell r="C3914" t="str">
            <v>12</v>
          </cell>
          <cell r="D3914" t="str">
            <v>38</v>
          </cell>
          <cell r="E3914">
            <v>16</v>
          </cell>
          <cell r="G3914">
            <v>0</v>
          </cell>
          <cell r="H3914">
            <v>0</v>
          </cell>
          <cell r="I3914">
            <v>0</v>
          </cell>
          <cell r="J3914">
            <v>0</v>
          </cell>
          <cell r="K3914">
            <v>0</v>
          </cell>
          <cell r="L3914">
            <v>0</v>
          </cell>
          <cell r="M3914">
            <v>0</v>
          </cell>
          <cell r="N3914">
            <v>0</v>
          </cell>
          <cell r="O3914">
            <v>0</v>
          </cell>
          <cell r="P3914">
            <v>0</v>
          </cell>
          <cell r="Q3914">
            <v>0</v>
          </cell>
          <cell r="R3914">
            <v>0</v>
          </cell>
          <cell r="S3914">
            <v>0</v>
          </cell>
          <cell r="T3914">
            <v>0</v>
          </cell>
          <cell r="U3914">
            <v>0</v>
          </cell>
          <cell r="V3914">
            <v>0</v>
          </cell>
          <cell r="W3914">
            <v>0</v>
          </cell>
        </row>
        <row r="3915">
          <cell r="A3915" t="str">
            <v>453934</v>
          </cell>
          <cell r="B3915" t="str">
            <v>1251</v>
          </cell>
          <cell r="C3915" t="str">
            <v>12</v>
          </cell>
          <cell r="D3915" t="str">
            <v>38</v>
          </cell>
          <cell r="E3915">
            <v>17</v>
          </cell>
          <cell r="G3915">
            <v>0</v>
          </cell>
          <cell r="H3915">
            <v>0</v>
          </cell>
          <cell r="I3915">
            <v>0</v>
          </cell>
          <cell r="J3915">
            <v>0</v>
          </cell>
          <cell r="K3915">
            <v>0</v>
          </cell>
          <cell r="L3915">
            <v>0</v>
          </cell>
          <cell r="M3915">
            <v>0</v>
          </cell>
          <cell r="N3915">
            <v>0</v>
          </cell>
          <cell r="O3915">
            <v>0</v>
          </cell>
          <cell r="P3915">
            <v>0</v>
          </cell>
          <cell r="Q3915">
            <v>0</v>
          </cell>
          <cell r="R3915">
            <v>0</v>
          </cell>
          <cell r="S3915">
            <v>0</v>
          </cell>
          <cell r="T3915">
            <v>0</v>
          </cell>
          <cell r="U3915">
            <v>0</v>
          </cell>
          <cell r="V3915">
            <v>0</v>
          </cell>
          <cell r="W3915">
            <v>0</v>
          </cell>
        </row>
        <row r="3916">
          <cell r="A3916" t="str">
            <v>453934</v>
          </cell>
          <cell r="B3916" t="str">
            <v>1251</v>
          </cell>
          <cell r="C3916" t="str">
            <v>12</v>
          </cell>
          <cell r="D3916" t="str">
            <v>38</v>
          </cell>
          <cell r="E3916">
            <v>18</v>
          </cell>
          <cell r="G3916">
            <v>0</v>
          </cell>
          <cell r="H3916">
            <v>0</v>
          </cell>
          <cell r="I3916">
            <v>0</v>
          </cell>
          <cell r="J3916">
            <v>0</v>
          </cell>
          <cell r="K3916">
            <v>0</v>
          </cell>
          <cell r="L3916">
            <v>0</v>
          </cell>
          <cell r="M3916">
            <v>0</v>
          </cell>
          <cell r="N3916">
            <v>0</v>
          </cell>
          <cell r="O3916">
            <v>0</v>
          </cell>
          <cell r="P3916">
            <v>0</v>
          </cell>
          <cell r="Q3916">
            <v>0</v>
          </cell>
          <cell r="R3916">
            <v>0</v>
          </cell>
          <cell r="S3916">
            <v>0</v>
          </cell>
          <cell r="T3916">
            <v>0</v>
          </cell>
          <cell r="U3916">
            <v>0</v>
          </cell>
          <cell r="V3916">
            <v>0</v>
          </cell>
          <cell r="W3916">
            <v>0</v>
          </cell>
        </row>
        <row r="3917">
          <cell r="A3917" t="str">
            <v>453934</v>
          </cell>
          <cell r="B3917" t="str">
            <v>1251</v>
          </cell>
          <cell r="C3917" t="str">
            <v>12</v>
          </cell>
          <cell r="D3917" t="str">
            <v>38</v>
          </cell>
          <cell r="E3917">
            <v>19</v>
          </cell>
          <cell r="G3917">
            <v>0</v>
          </cell>
          <cell r="H3917">
            <v>0</v>
          </cell>
          <cell r="I3917">
            <v>4940</v>
          </cell>
          <cell r="J3917">
            <v>0</v>
          </cell>
          <cell r="K3917">
            <v>0</v>
          </cell>
          <cell r="L3917">
            <v>0</v>
          </cell>
          <cell r="M3917">
            <v>0</v>
          </cell>
          <cell r="N3917">
            <v>4940</v>
          </cell>
          <cell r="O3917">
            <v>0</v>
          </cell>
          <cell r="P3917">
            <v>0</v>
          </cell>
          <cell r="Q3917">
            <v>0</v>
          </cell>
          <cell r="R3917">
            <v>0</v>
          </cell>
          <cell r="S3917">
            <v>0</v>
          </cell>
          <cell r="T3917">
            <v>0</v>
          </cell>
          <cell r="U3917">
            <v>0</v>
          </cell>
          <cell r="V3917">
            <v>0</v>
          </cell>
          <cell r="W3917">
            <v>0</v>
          </cell>
        </row>
        <row r="3918">
          <cell r="A3918" t="str">
            <v>453934</v>
          </cell>
          <cell r="B3918" t="str">
            <v>1251</v>
          </cell>
          <cell r="C3918" t="str">
            <v>12</v>
          </cell>
          <cell r="D3918" t="str">
            <v>38</v>
          </cell>
          <cell r="E3918">
            <v>20</v>
          </cell>
          <cell r="G3918">
            <v>0</v>
          </cell>
          <cell r="H3918">
            <v>0</v>
          </cell>
          <cell r="I3918">
            <v>3097</v>
          </cell>
          <cell r="J3918">
            <v>0</v>
          </cell>
          <cell r="K3918">
            <v>0</v>
          </cell>
          <cell r="L3918">
            <v>0</v>
          </cell>
          <cell r="M3918">
            <v>0</v>
          </cell>
          <cell r="N3918">
            <v>3097</v>
          </cell>
          <cell r="O3918">
            <v>0</v>
          </cell>
          <cell r="P3918">
            <v>0</v>
          </cell>
          <cell r="Q3918">
            <v>0</v>
          </cell>
          <cell r="R3918">
            <v>0</v>
          </cell>
          <cell r="S3918">
            <v>0</v>
          </cell>
          <cell r="T3918">
            <v>0</v>
          </cell>
          <cell r="U3918">
            <v>0</v>
          </cell>
          <cell r="V3918">
            <v>0</v>
          </cell>
          <cell r="W3918">
            <v>0</v>
          </cell>
        </row>
        <row r="3919">
          <cell r="A3919" t="str">
            <v>453934</v>
          </cell>
          <cell r="B3919" t="str">
            <v>1251</v>
          </cell>
          <cell r="C3919" t="str">
            <v>12</v>
          </cell>
          <cell r="D3919" t="str">
            <v>38</v>
          </cell>
          <cell r="E3919">
            <v>21</v>
          </cell>
          <cell r="G3919">
            <v>0</v>
          </cell>
          <cell r="H3919">
            <v>0</v>
          </cell>
          <cell r="I3919">
            <v>456</v>
          </cell>
          <cell r="J3919">
            <v>0</v>
          </cell>
          <cell r="K3919">
            <v>0</v>
          </cell>
          <cell r="L3919">
            <v>0</v>
          </cell>
          <cell r="M3919">
            <v>0</v>
          </cell>
          <cell r="N3919">
            <v>456</v>
          </cell>
          <cell r="O3919">
            <v>0</v>
          </cell>
          <cell r="P3919">
            <v>0</v>
          </cell>
          <cell r="Q3919">
            <v>0</v>
          </cell>
          <cell r="R3919">
            <v>0</v>
          </cell>
          <cell r="S3919">
            <v>0</v>
          </cell>
          <cell r="T3919">
            <v>0</v>
          </cell>
          <cell r="U3919">
            <v>0</v>
          </cell>
          <cell r="V3919">
            <v>0</v>
          </cell>
          <cell r="W3919">
            <v>0</v>
          </cell>
        </row>
        <row r="3920">
          <cell r="A3920" t="str">
            <v>453934</v>
          </cell>
          <cell r="B3920" t="str">
            <v>1251</v>
          </cell>
          <cell r="C3920" t="str">
            <v>12</v>
          </cell>
          <cell r="D3920" t="str">
            <v>38</v>
          </cell>
          <cell r="E3920">
            <v>22</v>
          </cell>
          <cell r="G3920">
            <v>0</v>
          </cell>
          <cell r="H3920">
            <v>0</v>
          </cell>
          <cell r="I3920">
            <v>0</v>
          </cell>
          <cell r="J3920">
            <v>0</v>
          </cell>
          <cell r="K3920">
            <v>0</v>
          </cell>
          <cell r="L3920">
            <v>0</v>
          </cell>
          <cell r="M3920">
            <v>0</v>
          </cell>
          <cell r="N3920">
            <v>0</v>
          </cell>
          <cell r="O3920">
            <v>0</v>
          </cell>
          <cell r="P3920">
            <v>0</v>
          </cell>
          <cell r="Q3920">
            <v>0</v>
          </cell>
          <cell r="R3920">
            <v>0</v>
          </cell>
          <cell r="S3920">
            <v>0</v>
          </cell>
          <cell r="T3920">
            <v>0</v>
          </cell>
          <cell r="U3920">
            <v>0</v>
          </cell>
          <cell r="V3920">
            <v>0</v>
          </cell>
          <cell r="W3920">
            <v>0</v>
          </cell>
        </row>
        <row r="3921">
          <cell r="A3921" t="str">
            <v>453934</v>
          </cell>
          <cell r="B3921" t="str">
            <v>1251</v>
          </cell>
          <cell r="C3921" t="str">
            <v>12</v>
          </cell>
          <cell r="D3921" t="str">
            <v>38</v>
          </cell>
          <cell r="E3921">
            <v>23</v>
          </cell>
          <cell r="G3921">
            <v>0</v>
          </cell>
          <cell r="H3921">
            <v>0</v>
          </cell>
          <cell r="I3921">
            <v>3553</v>
          </cell>
          <cell r="J3921">
            <v>0</v>
          </cell>
          <cell r="K3921">
            <v>0</v>
          </cell>
          <cell r="L3921">
            <v>0</v>
          </cell>
          <cell r="M3921">
            <v>0</v>
          </cell>
          <cell r="N3921">
            <v>3553</v>
          </cell>
          <cell r="O3921">
            <v>0</v>
          </cell>
          <cell r="P3921">
            <v>0</v>
          </cell>
          <cell r="Q3921">
            <v>0</v>
          </cell>
          <cell r="R3921">
            <v>0</v>
          </cell>
          <cell r="S3921">
            <v>0</v>
          </cell>
          <cell r="T3921">
            <v>0</v>
          </cell>
          <cell r="U3921">
            <v>0</v>
          </cell>
          <cell r="V3921">
            <v>0</v>
          </cell>
          <cell r="W3921">
            <v>0</v>
          </cell>
        </row>
        <row r="3922">
          <cell r="A3922" t="str">
            <v>453934</v>
          </cell>
          <cell r="B3922" t="str">
            <v>1251</v>
          </cell>
          <cell r="C3922" t="str">
            <v>12</v>
          </cell>
          <cell r="D3922" t="str">
            <v>38</v>
          </cell>
          <cell r="E3922">
            <v>24</v>
          </cell>
          <cell r="G3922">
            <v>0</v>
          </cell>
          <cell r="H3922">
            <v>0</v>
          </cell>
          <cell r="I3922">
            <v>0</v>
          </cell>
          <cell r="J3922">
            <v>0</v>
          </cell>
          <cell r="K3922">
            <v>0</v>
          </cell>
          <cell r="L3922">
            <v>0</v>
          </cell>
          <cell r="M3922">
            <v>0</v>
          </cell>
          <cell r="N3922">
            <v>0</v>
          </cell>
          <cell r="O3922">
            <v>0</v>
          </cell>
          <cell r="P3922">
            <v>0</v>
          </cell>
          <cell r="Q3922">
            <v>0</v>
          </cell>
          <cell r="R3922">
            <v>0</v>
          </cell>
          <cell r="S3922">
            <v>0</v>
          </cell>
          <cell r="T3922">
            <v>0</v>
          </cell>
          <cell r="U3922">
            <v>0</v>
          </cell>
          <cell r="V3922">
            <v>0</v>
          </cell>
          <cell r="W3922">
            <v>0</v>
          </cell>
        </row>
        <row r="3923">
          <cell r="A3923" t="str">
            <v>453934</v>
          </cell>
          <cell r="B3923" t="str">
            <v>1251</v>
          </cell>
          <cell r="C3923" t="str">
            <v>12</v>
          </cell>
          <cell r="D3923" t="str">
            <v>38</v>
          </cell>
          <cell r="E3923">
            <v>25</v>
          </cell>
          <cell r="G3923">
            <v>0</v>
          </cell>
          <cell r="H3923">
            <v>0</v>
          </cell>
          <cell r="I3923">
            <v>0</v>
          </cell>
          <cell r="J3923">
            <v>0</v>
          </cell>
          <cell r="K3923">
            <v>0</v>
          </cell>
          <cell r="L3923">
            <v>0</v>
          </cell>
          <cell r="M3923">
            <v>0</v>
          </cell>
          <cell r="N3923">
            <v>0</v>
          </cell>
          <cell r="O3923">
            <v>0</v>
          </cell>
          <cell r="P3923">
            <v>0</v>
          </cell>
          <cell r="Q3923">
            <v>0</v>
          </cell>
          <cell r="R3923">
            <v>0</v>
          </cell>
          <cell r="S3923">
            <v>0</v>
          </cell>
          <cell r="T3923">
            <v>0</v>
          </cell>
          <cell r="U3923">
            <v>0</v>
          </cell>
          <cell r="V3923">
            <v>0</v>
          </cell>
          <cell r="W3923">
            <v>0</v>
          </cell>
        </row>
        <row r="3924">
          <cell r="A3924" t="str">
            <v>453934</v>
          </cell>
          <cell r="B3924" t="str">
            <v>1251</v>
          </cell>
          <cell r="C3924" t="str">
            <v>12</v>
          </cell>
          <cell r="D3924" t="str">
            <v>38</v>
          </cell>
          <cell r="E3924">
            <v>26</v>
          </cell>
          <cell r="G3924">
            <v>0</v>
          </cell>
          <cell r="H3924">
            <v>0</v>
          </cell>
          <cell r="I3924">
            <v>0</v>
          </cell>
          <cell r="J3924">
            <v>0</v>
          </cell>
          <cell r="K3924">
            <v>0</v>
          </cell>
          <cell r="L3924">
            <v>0</v>
          </cell>
          <cell r="M3924">
            <v>0</v>
          </cell>
          <cell r="N3924">
            <v>0</v>
          </cell>
          <cell r="O3924">
            <v>0</v>
          </cell>
          <cell r="P3924">
            <v>0</v>
          </cell>
          <cell r="Q3924">
            <v>0</v>
          </cell>
          <cell r="R3924">
            <v>0</v>
          </cell>
          <cell r="S3924">
            <v>0</v>
          </cell>
          <cell r="T3924">
            <v>0</v>
          </cell>
          <cell r="U3924">
            <v>0</v>
          </cell>
          <cell r="V3924">
            <v>0</v>
          </cell>
          <cell r="W3924">
            <v>0</v>
          </cell>
        </row>
        <row r="3925">
          <cell r="A3925" t="str">
            <v>453934</v>
          </cell>
          <cell r="B3925" t="str">
            <v>1251</v>
          </cell>
          <cell r="C3925" t="str">
            <v>12</v>
          </cell>
          <cell r="D3925" t="str">
            <v>38</v>
          </cell>
          <cell r="E3925">
            <v>27</v>
          </cell>
          <cell r="G3925">
            <v>0</v>
          </cell>
          <cell r="H3925">
            <v>0</v>
          </cell>
          <cell r="I3925">
            <v>0</v>
          </cell>
          <cell r="J3925">
            <v>0</v>
          </cell>
          <cell r="K3925">
            <v>0</v>
          </cell>
          <cell r="L3925">
            <v>0</v>
          </cell>
          <cell r="M3925">
            <v>0</v>
          </cell>
          <cell r="N3925">
            <v>0</v>
          </cell>
          <cell r="O3925">
            <v>0</v>
          </cell>
          <cell r="P3925">
            <v>0</v>
          </cell>
          <cell r="Q3925">
            <v>0</v>
          </cell>
          <cell r="R3925">
            <v>0</v>
          </cell>
          <cell r="S3925">
            <v>0</v>
          </cell>
          <cell r="T3925">
            <v>0</v>
          </cell>
          <cell r="U3925">
            <v>0</v>
          </cell>
          <cell r="V3925">
            <v>0</v>
          </cell>
          <cell r="W3925">
            <v>0</v>
          </cell>
        </row>
        <row r="3926">
          <cell r="A3926" t="str">
            <v>453934</v>
          </cell>
          <cell r="B3926" t="str">
            <v>1251</v>
          </cell>
          <cell r="C3926" t="str">
            <v>12</v>
          </cell>
          <cell r="D3926" t="str">
            <v>38</v>
          </cell>
          <cell r="E3926">
            <v>28</v>
          </cell>
          <cell r="G3926">
            <v>0</v>
          </cell>
          <cell r="H3926">
            <v>0</v>
          </cell>
          <cell r="I3926">
            <v>0</v>
          </cell>
          <cell r="J3926">
            <v>0</v>
          </cell>
          <cell r="K3926">
            <v>0</v>
          </cell>
          <cell r="L3926">
            <v>0</v>
          </cell>
          <cell r="M3926">
            <v>0</v>
          </cell>
          <cell r="N3926">
            <v>0</v>
          </cell>
          <cell r="O3926">
            <v>0</v>
          </cell>
          <cell r="P3926">
            <v>0</v>
          </cell>
          <cell r="Q3926">
            <v>0</v>
          </cell>
          <cell r="R3926">
            <v>0</v>
          </cell>
          <cell r="S3926">
            <v>0</v>
          </cell>
          <cell r="T3926">
            <v>0</v>
          </cell>
          <cell r="U3926">
            <v>0</v>
          </cell>
          <cell r="V3926">
            <v>0</v>
          </cell>
          <cell r="W3926">
            <v>0</v>
          </cell>
        </row>
        <row r="3927">
          <cell r="A3927" t="str">
            <v>453934</v>
          </cell>
          <cell r="B3927" t="str">
            <v>1251</v>
          </cell>
          <cell r="C3927" t="str">
            <v>12</v>
          </cell>
          <cell r="D3927" t="str">
            <v>38</v>
          </cell>
          <cell r="E3927">
            <v>29</v>
          </cell>
          <cell r="G3927">
            <v>0</v>
          </cell>
          <cell r="H3927">
            <v>0</v>
          </cell>
          <cell r="I3927">
            <v>3553</v>
          </cell>
          <cell r="J3927">
            <v>0</v>
          </cell>
          <cell r="K3927">
            <v>0</v>
          </cell>
          <cell r="L3927">
            <v>0</v>
          </cell>
          <cell r="M3927">
            <v>0</v>
          </cell>
          <cell r="N3927">
            <v>3553</v>
          </cell>
          <cell r="O3927">
            <v>0</v>
          </cell>
          <cell r="P3927">
            <v>0</v>
          </cell>
          <cell r="Q3927">
            <v>0</v>
          </cell>
          <cell r="R3927">
            <v>0</v>
          </cell>
          <cell r="S3927">
            <v>0</v>
          </cell>
          <cell r="T3927">
            <v>0</v>
          </cell>
          <cell r="U3927">
            <v>0</v>
          </cell>
          <cell r="V3927">
            <v>0</v>
          </cell>
          <cell r="W3927">
            <v>0</v>
          </cell>
        </row>
        <row r="3928">
          <cell r="A3928" t="str">
            <v>453934</v>
          </cell>
          <cell r="B3928" t="str">
            <v>1251</v>
          </cell>
          <cell r="C3928" t="str">
            <v>12</v>
          </cell>
          <cell r="D3928" t="str">
            <v>38</v>
          </cell>
          <cell r="E3928">
            <v>30</v>
          </cell>
          <cell r="G3928">
            <v>0</v>
          </cell>
          <cell r="H3928">
            <v>0</v>
          </cell>
          <cell r="I3928">
            <v>1387</v>
          </cell>
          <cell r="J3928">
            <v>0</v>
          </cell>
          <cell r="K3928">
            <v>0</v>
          </cell>
          <cell r="L3928">
            <v>0</v>
          </cell>
          <cell r="M3928">
            <v>0</v>
          </cell>
          <cell r="N3928">
            <v>1387</v>
          </cell>
          <cell r="O3928">
            <v>0</v>
          </cell>
          <cell r="P3928">
            <v>0</v>
          </cell>
          <cell r="Q3928">
            <v>0</v>
          </cell>
          <cell r="R3928">
            <v>0</v>
          </cell>
          <cell r="S3928">
            <v>0</v>
          </cell>
          <cell r="T3928">
            <v>0</v>
          </cell>
          <cell r="U3928">
            <v>0</v>
          </cell>
          <cell r="V3928">
            <v>0</v>
          </cell>
          <cell r="W3928">
            <v>0</v>
          </cell>
        </row>
        <row r="3929">
          <cell r="A3929" t="str">
            <v>453934</v>
          </cell>
          <cell r="B3929" t="str">
            <v>1251</v>
          </cell>
          <cell r="C3929" t="str">
            <v>12</v>
          </cell>
          <cell r="D3929" t="str">
            <v>38</v>
          </cell>
          <cell r="E3929">
            <v>31</v>
          </cell>
          <cell r="G3929">
            <v>0</v>
          </cell>
          <cell r="H3929">
            <v>0</v>
          </cell>
          <cell r="I3929">
            <v>2107</v>
          </cell>
          <cell r="J3929">
            <v>0</v>
          </cell>
          <cell r="K3929">
            <v>0</v>
          </cell>
          <cell r="L3929">
            <v>0</v>
          </cell>
          <cell r="M3929">
            <v>0</v>
          </cell>
          <cell r="N3929">
            <v>2107</v>
          </cell>
          <cell r="O3929">
            <v>0</v>
          </cell>
          <cell r="P3929">
            <v>0</v>
          </cell>
          <cell r="Q3929">
            <v>0</v>
          </cell>
          <cell r="R3929">
            <v>0</v>
          </cell>
          <cell r="S3929">
            <v>0</v>
          </cell>
          <cell r="T3929">
            <v>0</v>
          </cell>
          <cell r="U3929">
            <v>0</v>
          </cell>
          <cell r="V3929">
            <v>0</v>
          </cell>
          <cell r="W3929">
            <v>0</v>
          </cell>
        </row>
        <row r="3930">
          <cell r="A3930" t="str">
            <v>453934</v>
          </cell>
          <cell r="B3930" t="str">
            <v>1251</v>
          </cell>
          <cell r="C3930" t="str">
            <v>12</v>
          </cell>
          <cell r="D3930" t="str">
            <v>53</v>
          </cell>
          <cell r="E3930">
            <v>1</v>
          </cell>
          <cell r="G3930">
            <v>119</v>
          </cell>
          <cell r="H3930">
            <v>3</v>
          </cell>
          <cell r="I3930">
            <v>0</v>
          </cell>
          <cell r="J3930">
            <v>0</v>
          </cell>
          <cell r="K3930">
            <v>0</v>
          </cell>
          <cell r="L3930">
            <v>0</v>
          </cell>
          <cell r="M3930">
            <v>0</v>
          </cell>
          <cell r="N3930">
            <v>0</v>
          </cell>
          <cell r="O3930">
            <v>0</v>
          </cell>
          <cell r="P3930">
            <v>0</v>
          </cell>
          <cell r="Q3930">
            <v>0</v>
          </cell>
          <cell r="R3930">
            <v>0</v>
          </cell>
          <cell r="S3930">
            <v>0</v>
          </cell>
          <cell r="T3930">
            <v>50</v>
          </cell>
          <cell r="U3930">
            <v>0</v>
          </cell>
          <cell r="V3930">
            <v>0</v>
          </cell>
          <cell r="W3930">
            <v>0</v>
          </cell>
        </row>
        <row r="3931">
          <cell r="A3931" t="str">
            <v>453934</v>
          </cell>
          <cell r="B3931" t="str">
            <v>1251</v>
          </cell>
          <cell r="C3931" t="str">
            <v>12</v>
          </cell>
          <cell r="D3931" t="str">
            <v>53</v>
          </cell>
          <cell r="E3931">
            <v>15</v>
          </cell>
          <cell r="G3931">
            <v>0</v>
          </cell>
          <cell r="H3931">
            <v>0</v>
          </cell>
          <cell r="I3931">
            <v>934</v>
          </cell>
          <cell r="J3931">
            <v>913</v>
          </cell>
          <cell r="K3931">
            <v>991</v>
          </cell>
          <cell r="L3931">
            <v>936</v>
          </cell>
          <cell r="M3931">
            <v>271</v>
          </cell>
          <cell r="N3931">
            <v>265</v>
          </cell>
          <cell r="O3931">
            <v>288</v>
          </cell>
          <cell r="P3931">
            <v>271</v>
          </cell>
          <cell r="Q3931">
            <v>28</v>
          </cell>
          <cell r="R3931">
            <v>27</v>
          </cell>
          <cell r="S3931">
            <v>30</v>
          </cell>
          <cell r="T3931">
            <v>28</v>
          </cell>
          <cell r="U3931">
            <v>0</v>
          </cell>
          <cell r="V3931">
            <v>0</v>
          </cell>
          <cell r="W3931">
            <v>0</v>
          </cell>
        </row>
        <row r="3932">
          <cell r="A3932" t="str">
            <v>453934</v>
          </cell>
          <cell r="B3932" t="str">
            <v>1251</v>
          </cell>
          <cell r="C3932" t="str">
            <v>12</v>
          </cell>
          <cell r="D3932" t="str">
            <v>53</v>
          </cell>
          <cell r="E3932">
            <v>29</v>
          </cell>
          <cell r="G3932">
            <v>13</v>
          </cell>
          <cell r="H3932">
            <v>14</v>
          </cell>
          <cell r="I3932">
            <v>0</v>
          </cell>
          <cell r="J3932">
            <v>0</v>
          </cell>
          <cell r="K3932">
            <v>0</v>
          </cell>
          <cell r="L3932">
            <v>0</v>
          </cell>
          <cell r="M3932">
            <v>0</v>
          </cell>
          <cell r="N3932">
            <v>0</v>
          </cell>
          <cell r="O3932">
            <v>0</v>
          </cell>
          <cell r="P3932">
            <v>0</v>
          </cell>
          <cell r="Q3932">
            <v>0</v>
          </cell>
          <cell r="R3932">
            <v>1638</v>
          </cell>
          <cell r="S3932">
            <v>119</v>
          </cell>
          <cell r="T3932">
            <v>489</v>
          </cell>
          <cell r="U3932">
            <v>0</v>
          </cell>
          <cell r="V3932">
            <v>0</v>
          </cell>
          <cell r="W3932">
            <v>0</v>
          </cell>
        </row>
        <row r="3933">
          <cell r="A3933" t="str">
            <v>453934</v>
          </cell>
          <cell r="B3933" t="str">
            <v>1251</v>
          </cell>
          <cell r="C3933" t="str">
            <v>12</v>
          </cell>
          <cell r="D3933" t="str">
            <v>53</v>
          </cell>
          <cell r="E3933">
            <v>43</v>
          </cell>
          <cell r="G3933">
            <v>1030</v>
          </cell>
          <cell r="H3933">
            <v>0</v>
          </cell>
          <cell r="I3933">
            <v>0</v>
          </cell>
          <cell r="J3933">
            <v>0</v>
          </cell>
          <cell r="K3933">
            <v>0</v>
          </cell>
          <cell r="L3933">
            <v>0</v>
          </cell>
          <cell r="M3933">
            <v>0</v>
          </cell>
          <cell r="N3933">
            <v>0</v>
          </cell>
          <cell r="O3933">
            <v>0</v>
          </cell>
          <cell r="P3933">
            <v>0</v>
          </cell>
          <cell r="Q3933">
            <v>0</v>
          </cell>
          <cell r="R3933">
            <v>0</v>
          </cell>
          <cell r="S3933">
            <v>0</v>
          </cell>
          <cell r="T3933">
            <v>0</v>
          </cell>
          <cell r="U3933">
            <v>0</v>
          </cell>
          <cell r="V3933">
            <v>0</v>
          </cell>
          <cell r="W3933">
            <v>0</v>
          </cell>
        </row>
        <row r="3934">
          <cell r="A3934" t="str">
            <v>453934</v>
          </cell>
          <cell r="B3934" t="str">
            <v>1251</v>
          </cell>
          <cell r="C3934" t="str">
            <v>12</v>
          </cell>
          <cell r="D3934" t="str">
            <v>53</v>
          </cell>
          <cell r="E3934">
            <v>57</v>
          </cell>
          <cell r="G3934">
            <v>0</v>
          </cell>
          <cell r="H3934">
            <v>0</v>
          </cell>
          <cell r="I3934">
            <v>0</v>
          </cell>
          <cell r="J3934">
            <v>0</v>
          </cell>
          <cell r="K3934">
            <v>0</v>
          </cell>
          <cell r="L3934">
            <v>0</v>
          </cell>
          <cell r="M3934">
            <v>0</v>
          </cell>
          <cell r="N3934">
            <v>0</v>
          </cell>
          <cell r="O3934">
            <v>0</v>
          </cell>
          <cell r="P3934">
            <v>0</v>
          </cell>
          <cell r="Q3934">
            <v>0</v>
          </cell>
          <cell r="R3934">
            <v>0</v>
          </cell>
          <cell r="S3934">
            <v>0</v>
          </cell>
          <cell r="T3934">
            <v>0</v>
          </cell>
          <cell r="U3934">
            <v>0</v>
          </cell>
          <cell r="V3934">
            <v>0</v>
          </cell>
          <cell r="W3934">
            <v>0</v>
          </cell>
        </row>
        <row r="3935">
          <cell r="A3935" t="str">
            <v>453934</v>
          </cell>
          <cell r="B3935" t="str">
            <v>1251</v>
          </cell>
          <cell r="C3935" t="str">
            <v>12</v>
          </cell>
          <cell r="D3935" t="str">
            <v>53</v>
          </cell>
          <cell r="E3935">
            <v>71</v>
          </cell>
          <cell r="G3935">
            <v>0</v>
          </cell>
          <cell r="H3935">
            <v>0</v>
          </cell>
          <cell r="I3935">
            <v>0</v>
          </cell>
          <cell r="J3935">
            <v>0</v>
          </cell>
          <cell r="K3935">
            <v>0</v>
          </cell>
          <cell r="L3935">
            <v>0</v>
          </cell>
          <cell r="M3935">
            <v>0</v>
          </cell>
          <cell r="N3935">
            <v>0</v>
          </cell>
          <cell r="O3935">
            <v>0</v>
          </cell>
          <cell r="P3935">
            <v>0</v>
          </cell>
          <cell r="Q3935">
            <v>0</v>
          </cell>
          <cell r="R3935">
            <v>0</v>
          </cell>
          <cell r="S3935">
            <v>0</v>
          </cell>
          <cell r="T3935">
            <v>0</v>
          </cell>
          <cell r="U3935">
            <v>0</v>
          </cell>
          <cell r="V3935">
            <v>0</v>
          </cell>
          <cell r="W3935">
            <v>0</v>
          </cell>
        </row>
        <row r="3936">
          <cell r="A3936" t="str">
            <v>453934</v>
          </cell>
          <cell r="B3936" t="str">
            <v>1251</v>
          </cell>
          <cell r="C3936" t="str">
            <v>12</v>
          </cell>
          <cell r="D3936" t="str">
            <v>56</v>
          </cell>
          <cell r="E3936">
            <v>1</v>
          </cell>
          <cell r="G3936">
            <v>0</v>
          </cell>
          <cell r="H3936">
            <v>0</v>
          </cell>
          <cell r="I3936">
            <v>0</v>
          </cell>
          <cell r="J3936">
            <v>0</v>
          </cell>
          <cell r="K3936">
            <v>0</v>
          </cell>
          <cell r="L3936">
            <v>0</v>
          </cell>
          <cell r="M3936">
            <v>0</v>
          </cell>
          <cell r="N3936">
            <v>0</v>
          </cell>
          <cell r="O3936">
            <v>0</v>
          </cell>
          <cell r="P3936">
            <v>4444</v>
          </cell>
          <cell r="Q3936">
            <v>0</v>
          </cell>
          <cell r="R3936">
            <v>0</v>
          </cell>
          <cell r="S3936">
            <v>0</v>
          </cell>
          <cell r="T3936">
            <v>0</v>
          </cell>
          <cell r="U3936">
            <v>0</v>
          </cell>
          <cell r="V3936">
            <v>0</v>
          </cell>
          <cell r="W3936">
            <v>0</v>
          </cell>
        </row>
        <row r="3937">
          <cell r="A3937" t="str">
            <v>453934</v>
          </cell>
          <cell r="B3937" t="str">
            <v>1251</v>
          </cell>
          <cell r="C3937" t="str">
            <v>12</v>
          </cell>
          <cell r="D3937" t="str">
            <v>56</v>
          </cell>
          <cell r="E3937">
            <v>6</v>
          </cell>
          <cell r="G3937">
            <v>0</v>
          </cell>
          <cell r="H3937">
            <v>0</v>
          </cell>
          <cell r="I3937">
            <v>0</v>
          </cell>
          <cell r="J3937">
            <v>0</v>
          </cell>
          <cell r="K3937">
            <v>0</v>
          </cell>
          <cell r="L3937">
            <v>0</v>
          </cell>
          <cell r="M3937">
            <v>0</v>
          </cell>
          <cell r="N3937">
            <v>0</v>
          </cell>
          <cell r="O3937">
            <v>0</v>
          </cell>
          <cell r="P3937">
            <v>4444</v>
          </cell>
          <cell r="Q3937">
            <v>0</v>
          </cell>
          <cell r="R3937">
            <v>0</v>
          </cell>
          <cell r="S3937">
            <v>0</v>
          </cell>
          <cell r="T3937">
            <v>0</v>
          </cell>
          <cell r="U3937">
            <v>0</v>
          </cell>
          <cell r="V3937">
            <v>0</v>
          </cell>
          <cell r="W3937">
            <v>0</v>
          </cell>
        </row>
        <row r="3938">
          <cell r="A3938" t="str">
            <v>453934</v>
          </cell>
          <cell r="B3938" t="str">
            <v>1251</v>
          </cell>
          <cell r="C3938" t="str">
            <v>12</v>
          </cell>
          <cell r="D3938" t="str">
            <v>59</v>
          </cell>
          <cell r="E3938">
            <v>1</v>
          </cell>
          <cell r="G3938">
            <v>0</v>
          </cell>
          <cell r="H3938">
            <v>0</v>
          </cell>
          <cell r="I3938">
            <v>0</v>
          </cell>
          <cell r="J3938">
            <v>0</v>
          </cell>
          <cell r="K3938">
            <v>0</v>
          </cell>
          <cell r="L3938">
            <v>0</v>
          </cell>
          <cell r="M3938">
            <v>0</v>
          </cell>
          <cell r="N3938">
            <v>0</v>
          </cell>
          <cell r="O3938">
            <v>0</v>
          </cell>
          <cell r="P3938">
            <v>0</v>
          </cell>
          <cell r="Q3938">
            <v>0</v>
          </cell>
          <cell r="R3938">
            <v>0</v>
          </cell>
          <cell r="S3938">
            <v>0</v>
          </cell>
          <cell r="T3938">
            <v>0</v>
          </cell>
          <cell r="U3938">
            <v>0</v>
          </cell>
          <cell r="V3938">
            <v>0</v>
          </cell>
          <cell r="W3938">
            <v>0</v>
          </cell>
        </row>
        <row r="3939">
          <cell r="A3939" t="str">
            <v>453934</v>
          </cell>
          <cell r="B3939" t="str">
            <v>1251</v>
          </cell>
          <cell r="C3939" t="str">
            <v>12</v>
          </cell>
          <cell r="D3939" t="str">
            <v>59</v>
          </cell>
          <cell r="E3939">
            <v>2</v>
          </cell>
          <cell r="G3939">
            <v>0</v>
          </cell>
          <cell r="H3939">
            <v>0</v>
          </cell>
          <cell r="I3939">
            <v>0</v>
          </cell>
          <cell r="J3939">
            <v>0</v>
          </cell>
          <cell r="K3939">
            <v>0</v>
          </cell>
          <cell r="L3939">
            <v>0</v>
          </cell>
          <cell r="M3939">
            <v>0</v>
          </cell>
          <cell r="N3939">
            <v>0</v>
          </cell>
          <cell r="O3939">
            <v>0</v>
          </cell>
          <cell r="P3939">
            <v>0</v>
          </cell>
          <cell r="Q3939">
            <v>0</v>
          </cell>
          <cell r="R3939">
            <v>0</v>
          </cell>
          <cell r="S3939">
            <v>0</v>
          </cell>
          <cell r="T3939">
            <v>0</v>
          </cell>
          <cell r="U3939">
            <v>0</v>
          </cell>
          <cell r="V3939">
            <v>0</v>
          </cell>
          <cell r="W3939">
            <v>0</v>
          </cell>
        </row>
        <row r="3940">
          <cell r="A3940" t="str">
            <v>453934</v>
          </cell>
          <cell r="B3940" t="str">
            <v>1251</v>
          </cell>
          <cell r="C3940" t="str">
            <v>12</v>
          </cell>
          <cell r="D3940" t="str">
            <v>59</v>
          </cell>
          <cell r="E3940">
            <v>3</v>
          </cell>
          <cell r="G3940">
            <v>0</v>
          </cell>
          <cell r="H3940">
            <v>0</v>
          </cell>
          <cell r="I3940">
            <v>0</v>
          </cell>
          <cell r="J3940">
            <v>0</v>
          </cell>
          <cell r="K3940">
            <v>0</v>
          </cell>
          <cell r="L3940">
            <v>0</v>
          </cell>
          <cell r="M3940">
            <v>0</v>
          </cell>
          <cell r="N3940">
            <v>0</v>
          </cell>
          <cell r="O3940">
            <v>0</v>
          </cell>
          <cell r="P3940">
            <v>0</v>
          </cell>
          <cell r="Q3940">
            <v>0</v>
          </cell>
          <cell r="R3940">
            <v>0</v>
          </cell>
          <cell r="S3940">
            <v>0</v>
          </cell>
          <cell r="T3940">
            <v>0</v>
          </cell>
          <cell r="U3940">
            <v>0</v>
          </cell>
          <cell r="V3940">
            <v>0</v>
          </cell>
          <cell r="W3940">
            <v>0</v>
          </cell>
        </row>
        <row r="3941">
          <cell r="A3941" t="str">
            <v>453934</v>
          </cell>
          <cell r="B3941" t="str">
            <v>1251</v>
          </cell>
          <cell r="C3941" t="str">
            <v>12</v>
          </cell>
          <cell r="D3941" t="str">
            <v>59</v>
          </cell>
          <cell r="E3941">
            <v>4</v>
          </cell>
          <cell r="G3941">
            <v>0</v>
          </cell>
          <cell r="H3941">
            <v>0</v>
          </cell>
          <cell r="I3941">
            <v>0</v>
          </cell>
          <cell r="J3941">
            <v>0</v>
          </cell>
          <cell r="K3941">
            <v>0</v>
          </cell>
          <cell r="L3941">
            <v>0</v>
          </cell>
          <cell r="M3941">
            <v>0</v>
          </cell>
          <cell r="N3941">
            <v>0</v>
          </cell>
          <cell r="O3941">
            <v>0</v>
          </cell>
          <cell r="P3941">
            <v>0</v>
          </cell>
          <cell r="Q3941">
            <v>0</v>
          </cell>
          <cell r="R3941">
            <v>0</v>
          </cell>
          <cell r="S3941">
            <v>0</v>
          </cell>
          <cell r="T3941">
            <v>0</v>
          </cell>
          <cell r="U3941">
            <v>0</v>
          </cell>
          <cell r="V3941">
            <v>0</v>
          </cell>
          <cell r="W3941">
            <v>0</v>
          </cell>
        </row>
        <row r="3942">
          <cell r="A3942" t="str">
            <v>453934</v>
          </cell>
          <cell r="B3942" t="str">
            <v>1251</v>
          </cell>
          <cell r="C3942" t="str">
            <v>12</v>
          </cell>
          <cell r="D3942" t="str">
            <v>59</v>
          </cell>
          <cell r="E3942">
            <v>5</v>
          </cell>
          <cell r="G3942">
            <v>0</v>
          </cell>
          <cell r="H3942">
            <v>0</v>
          </cell>
          <cell r="I3942">
            <v>0</v>
          </cell>
          <cell r="J3942">
            <v>0</v>
          </cell>
          <cell r="K3942">
            <v>0</v>
          </cell>
          <cell r="L3942">
            <v>0</v>
          </cell>
          <cell r="M3942">
            <v>0</v>
          </cell>
          <cell r="N3942">
            <v>0</v>
          </cell>
          <cell r="O3942">
            <v>0</v>
          </cell>
          <cell r="P3942">
            <v>0</v>
          </cell>
          <cell r="Q3942">
            <v>0</v>
          </cell>
          <cell r="R3942">
            <v>0</v>
          </cell>
          <cell r="S3942">
            <v>0</v>
          </cell>
          <cell r="T3942">
            <v>0</v>
          </cell>
          <cell r="U3942">
            <v>0</v>
          </cell>
          <cell r="V3942">
            <v>0</v>
          </cell>
          <cell r="W3942">
            <v>0</v>
          </cell>
        </row>
        <row r="3943">
          <cell r="A3943" t="str">
            <v>453934</v>
          </cell>
          <cell r="B3943" t="str">
            <v>1251</v>
          </cell>
          <cell r="C3943" t="str">
            <v>12</v>
          </cell>
          <cell r="D3943" t="str">
            <v>59</v>
          </cell>
          <cell r="E3943">
            <v>6</v>
          </cell>
          <cell r="G3943">
            <v>0</v>
          </cell>
          <cell r="H3943">
            <v>0</v>
          </cell>
          <cell r="I3943">
            <v>0</v>
          </cell>
          <cell r="J3943">
            <v>0</v>
          </cell>
          <cell r="K3943">
            <v>0</v>
          </cell>
          <cell r="L3943">
            <v>0</v>
          </cell>
          <cell r="M3943">
            <v>0</v>
          </cell>
          <cell r="N3943">
            <v>0</v>
          </cell>
          <cell r="O3943">
            <v>0</v>
          </cell>
          <cell r="P3943">
            <v>0</v>
          </cell>
          <cell r="Q3943">
            <v>0</v>
          </cell>
          <cell r="R3943">
            <v>0</v>
          </cell>
          <cell r="S3943">
            <v>0</v>
          </cell>
          <cell r="T3943">
            <v>0</v>
          </cell>
          <cell r="U3943">
            <v>0</v>
          </cell>
          <cell r="V3943">
            <v>0</v>
          </cell>
          <cell r="W3943">
            <v>0</v>
          </cell>
        </row>
        <row r="3944">
          <cell r="A3944" t="str">
            <v>453934</v>
          </cell>
          <cell r="B3944" t="str">
            <v>1251</v>
          </cell>
          <cell r="C3944" t="str">
            <v>12</v>
          </cell>
          <cell r="D3944" t="str">
            <v>59</v>
          </cell>
          <cell r="E3944">
            <v>7</v>
          </cell>
          <cell r="G3944">
            <v>0</v>
          </cell>
          <cell r="H3944">
            <v>0</v>
          </cell>
          <cell r="I3944">
            <v>0</v>
          </cell>
          <cell r="J3944">
            <v>0</v>
          </cell>
          <cell r="K3944">
            <v>0</v>
          </cell>
          <cell r="L3944">
            <v>0</v>
          </cell>
          <cell r="M3944">
            <v>0</v>
          </cell>
          <cell r="N3944">
            <v>0</v>
          </cell>
          <cell r="O3944">
            <v>0</v>
          </cell>
          <cell r="P3944">
            <v>0</v>
          </cell>
          <cell r="Q3944">
            <v>0</v>
          </cell>
          <cell r="R3944">
            <v>0</v>
          </cell>
          <cell r="S3944">
            <v>0</v>
          </cell>
          <cell r="T3944">
            <v>0</v>
          </cell>
          <cell r="U3944">
            <v>0</v>
          </cell>
          <cell r="V3944">
            <v>0</v>
          </cell>
          <cell r="W3944">
            <v>0</v>
          </cell>
        </row>
        <row r="3945">
          <cell r="A3945" t="str">
            <v>453934</v>
          </cell>
          <cell r="B3945" t="str">
            <v>1251</v>
          </cell>
          <cell r="C3945" t="str">
            <v>12</v>
          </cell>
          <cell r="D3945" t="str">
            <v>59</v>
          </cell>
          <cell r="E3945">
            <v>8</v>
          </cell>
          <cell r="G3945">
            <v>0</v>
          </cell>
          <cell r="H3945">
            <v>0</v>
          </cell>
          <cell r="I3945">
            <v>3904</v>
          </cell>
          <cell r="J3945">
            <v>0</v>
          </cell>
          <cell r="K3945">
            <v>3904</v>
          </cell>
          <cell r="L3945">
            <v>0</v>
          </cell>
          <cell r="M3945">
            <v>0</v>
          </cell>
          <cell r="N3945">
            <v>3817</v>
          </cell>
          <cell r="O3945">
            <v>0</v>
          </cell>
          <cell r="P3945">
            <v>0</v>
          </cell>
          <cell r="Q3945">
            <v>87</v>
          </cell>
          <cell r="R3945">
            <v>0</v>
          </cell>
          <cell r="S3945">
            <v>0</v>
          </cell>
          <cell r="T3945">
            <v>0</v>
          </cell>
          <cell r="U3945">
            <v>0</v>
          </cell>
          <cell r="V3945">
            <v>0</v>
          </cell>
          <cell r="W3945">
            <v>0</v>
          </cell>
        </row>
        <row r="3946">
          <cell r="A3946" t="str">
            <v>453934</v>
          </cell>
          <cell r="B3946" t="str">
            <v>1251</v>
          </cell>
          <cell r="C3946" t="str">
            <v>12</v>
          </cell>
          <cell r="D3946" t="str">
            <v>59</v>
          </cell>
          <cell r="E3946">
            <v>9</v>
          </cell>
          <cell r="G3946">
            <v>0</v>
          </cell>
          <cell r="H3946">
            <v>0</v>
          </cell>
          <cell r="I3946">
            <v>0</v>
          </cell>
          <cell r="J3946">
            <v>0</v>
          </cell>
          <cell r="K3946">
            <v>0</v>
          </cell>
          <cell r="L3946">
            <v>0</v>
          </cell>
          <cell r="M3946">
            <v>0</v>
          </cell>
          <cell r="N3946">
            <v>0</v>
          </cell>
          <cell r="O3946">
            <v>0</v>
          </cell>
          <cell r="P3946">
            <v>0</v>
          </cell>
          <cell r="Q3946">
            <v>0</v>
          </cell>
          <cell r="R3946">
            <v>0</v>
          </cell>
          <cell r="S3946">
            <v>0</v>
          </cell>
          <cell r="T3946">
            <v>0</v>
          </cell>
          <cell r="U3946">
            <v>0</v>
          </cell>
          <cell r="V3946">
            <v>0</v>
          </cell>
          <cell r="W3946">
            <v>0</v>
          </cell>
        </row>
        <row r="3947">
          <cell r="A3947" t="str">
            <v>453934</v>
          </cell>
          <cell r="B3947" t="str">
            <v>1251</v>
          </cell>
          <cell r="C3947" t="str">
            <v>12</v>
          </cell>
          <cell r="D3947" t="str">
            <v>59</v>
          </cell>
          <cell r="E3947">
            <v>10</v>
          </cell>
          <cell r="G3947">
            <v>0</v>
          </cell>
          <cell r="H3947">
            <v>0</v>
          </cell>
          <cell r="I3947">
            <v>0</v>
          </cell>
          <cell r="J3947">
            <v>0</v>
          </cell>
          <cell r="K3947">
            <v>0</v>
          </cell>
          <cell r="L3947">
            <v>0</v>
          </cell>
          <cell r="M3947">
            <v>0</v>
          </cell>
          <cell r="N3947">
            <v>0</v>
          </cell>
          <cell r="O3947">
            <v>0</v>
          </cell>
          <cell r="P3947">
            <v>0</v>
          </cell>
          <cell r="Q3947">
            <v>0</v>
          </cell>
          <cell r="R3947">
            <v>0</v>
          </cell>
          <cell r="S3947">
            <v>0</v>
          </cell>
          <cell r="T3947">
            <v>0</v>
          </cell>
          <cell r="U3947">
            <v>0</v>
          </cell>
          <cell r="V3947">
            <v>0</v>
          </cell>
          <cell r="W3947">
            <v>0</v>
          </cell>
        </row>
        <row r="3948">
          <cell r="A3948" t="str">
            <v>453934</v>
          </cell>
          <cell r="B3948" t="str">
            <v>1251</v>
          </cell>
          <cell r="C3948" t="str">
            <v>12</v>
          </cell>
          <cell r="D3948" t="str">
            <v>59</v>
          </cell>
          <cell r="E3948">
            <v>11</v>
          </cell>
          <cell r="G3948">
            <v>0</v>
          </cell>
          <cell r="H3948">
            <v>0</v>
          </cell>
          <cell r="I3948">
            <v>3904</v>
          </cell>
          <cell r="J3948">
            <v>0</v>
          </cell>
          <cell r="K3948">
            <v>3904</v>
          </cell>
          <cell r="L3948">
            <v>0</v>
          </cell>
          <cell r="M3948">
            <v>0</v>
          </cell>
          <cell r="N3948">
            <v>3817</v>
          </cell>
          <cell r="O3948">
            <v>0</v>
          </cell>
          <cell r="P3948">
            <v>0</v>
          </cell>
          <cell r="Q3948">
            <v>87</v>
          </cell>
          <cell r="R3948">
            <v>0</v>
          </cell>
          <cell r="S3948">
            <v>0</v>
          </cell>
          <cell r="T3948">
            <v>0</v>
          </cell>
          <cell r="U3948">
            <v>0</v>
          </cell>
          <cell r="V3948">
            <v>0</v>
          </cell>
          <cell r="W3948">
            <v>0</v>
          </cell>
        </row>
        <row r="3949">
          <cell r="A3949" t="str">
            <v>453934</v>
          </cell>
          <cell r="B3949" t="str">
            <v>1251</v>
          </cell>
          <cell r="C3949" t="str">
            <v>12</v>
          </cell>
          <cell r="D3949" t="str">
            <v>59</v>
          </cell>
          <cell r="E3949">
            <v>12</v>
          </cell>
          <cell r="G3949">
            <v>0</v>
          </cell>
          <cell r="H3949">
            <v>0</v>
          </cell>
          <cell r="I3949">
            <v>496</v>
          </cell>
          <cell r="J3949">
            <v>0</v>
          </cell>
          <cell r="K3949">
            <v>496</v>
          </cell>
          <cell r="L3949">
            <v>0</v>
          </cell>
          <cell r="M3949">
            <v>0</v>
          </cell>
          <cell r="N3949">
            <v>496</v>
          </cell>
          <cell r="O3949">
            <v>0</v>
          </cell>
          <cell r="P3949">
            <v>0</v>
          </cell>
          <cell r="Q3949">
            <v>0</v>
          </cell>
          <cell r="R3949">
            <v>0</v>
          </cell>
          <cell r="S3949">
            <v>0</v>
          </cell>
          <cell r="T3949">
            <v>0</v>
          </cell>
          <cell r="U3949">
            <v>0</v>
          </cell>
          <cell r="V3949">
            <v>0</v>
          </cell>
          <cell r="W3949">
            <v>0</v>
          </cell>
        </row>
        <row r="3950">
          <cell r="A3950" t="str">
            <v>453934</v>
          </cell>
          <cell r="B3950" t="str">
            <v>1251</v>
          </cell>
          <cell r="C3950" t="str">
            <v>12</v>
          </cell>
          <cell r="D3950" t="str">
            <v>59</v>
          </cell>
          <cell r="E3950">
            <v>13</v>
          </cell>
          <cell r="G3950">
            <v>0</v>
          </cell>
          <cell r="H3950">
            <v>0</v>
          </cell>
          <cell r="I3950">
            <v>0</v>
          </cell>
          <cell r="J3950">
            <v>0</v>
          </cell>
          <cell r="K3950">
            <v>0</v>
          </cell>
          <cell r="L3950">
            <v>0</v>
          </cell>
          <cell r="M3950">
            <v>0</v>
          </cell>
          <cell r="N3950">
            <v>0</v>
          </cell>
          <cell r="O3950">
            <v>0</v>
          </cell>
          <cell r="P3950">
            <v>0</v>
          </cell>
          <cell r="Q3950">
            <v>0</v>
          </cell>
          <cell r="R3950">
            <v>0</v>
          </cell>
          <cell r="S3950">
            <v>0</v>
          </cell>
          <cell r="T3950">
            <v>0</v>
          </cell>
          <cell r="U3950">
            <v>0</v>
          </cell>
          <cell r="V3950">
            <v>0</v>
          </cell>
          <cell r="W3950">
            <v>0</v>
          </cell>
        </row>
        <row r="3951">
          <cell r="A3951" t="str">
            <v>453934</v>
          </cell>
          <cell r="B3951" t="str">
            <v>1251</v>
          </cell>
          <cell r="C3951" t="str">
            <v>12</v>
          </cell>
          <cell r="D3951" t="str">
            <v>59</v>
          </cell>
          <cell r="E3951">
            <v>14</v>
          </cell>
          <cell r="G3951">
            <v>0</v>
          </cell>
          <cell r="H3951">
            <v>0</v>
          </cell>
          <cell r="I3951">
            <v>1455</v>
          </cell>
          <cell r="J3951">
            <v>0</v>
          </cell>
          <cell r="K3951">
            <v>1455</v>
          </cell>
          <cell r="L3951">
            <v>0</v>
          </cell>
          <cell r="M3951">
            <v>0</v>
          </cell>
          <cell r="N3951">
            <v>1455</v>
          </cell>
          <cell r="O3951">
            <v>0</v>
          </cell>
          <cell r="P3951">
            <v>0</v>
          </cell>
          <cell r="Q3951">
            <v>0</v>
          </cell>
          <cell r="R3951">
            <v>0</v>
          </cell>
          <cell r="S3951">
            <v>0</v>
          </cell>
          <cell r="T3951">
            <v>0</v>
          </cell>
          <cell r="U3951">
            <v>0</v>
          </cell>
          <cell r="V3951">
            <v>0</v>
          </cell>
          <cell r="W3951">
            <v>0</v>
          </cell>
        </row>
        <row r="3952">
          <cell r="A3952" t="str">
            <v>453934</v>
          </cell>
          <cell r="B3952" t="str">
            <v>1251</v>
          </cell>
          <cell r="C3952" t="str">
            <v>12</v>
          </cell>
          <cell r="D3952" t="str">
            <v>59</v>
          </cell>
          <cell r="E3952">
            <v>15</v>
          </cell>
          <cell r="G3952">
            <v>0</v>
          </cell>
          <cell r="H3952">
            <v>0</v>
          </cell>
          <cell r="I3952">
            <v>1953</v>
          </cell>
          <cell r="J3952">
            <v>0</v>
          </cell>
          <cell r="K3952">
            <v>1953</v>
          </cell>
          <cell r="L3952">
            <v>0</v>
          </cell>
          <cell r="M3952">
            <v>0</v>
          </cell>
          <cell r="N3952">
            <v>1866</v>
          </cell>
          <cell r="O3952">
            <v>0</v>
          </cell>
          <cell r="P3952">
            <v>0</v>
          </cell>
          <cell r="Q3952">
            <v>87</v>
          </cell>
          <cell r="R3952">
            <v>0</v>
          </cell>
          <cell r="S3952">
            <v>0</v>
          </cell>
          <cell r="T3952">
            <v>0</v>
          </cell>
          <cell r="U3952">
            <v>0</v>
          </cell>
          <cell r="V3952">
            <v>0</v>
          </cell>
          <cell r="W3952">
            <v>0</v>
          </cell>
        </row>
        <row r="3953">
          <cell r="A3953" t="str">
            <v>453934</v>
          </cell>
          <cell r="B3953" t="str">
            <v>1251</v>
          </cell>
          <cell r="C3953" t="str">
            <v>12</v>
          </cell>
          <cell r="D3953" t="str">
            <v>59</v>
          </cell>
          <cell r="E3953">
            <v>16</v>
          </cell>
          <cell r="G3953">
            <v>0</v>
          </cell>
          <cell r="H3953">
            <v>0</v>
          </cell>
          <cell r="I3953">
            <v>0</v>
          </cell>
          <cell r="J3953">
            <v>0</v>
          </cell>
          <cell r="K3953">
            <v>0</v>
          </cell>
          <cell r="L3953">
            <v>0</v>
          </cell>
          <cell r="M3953">
            <v>0</v>
          </cell>
          <cell r="N3953">
            <v>0</v>
          </cell>
          <cell r="O3953">
            <v>0</v>
          </cell>
          <cell r="P3953">
            <v>0</v>
          </cell>
          <cell r="Q3953">
            <v>0</v>
          </cell>
          <cell r="R3953">
            <v>0</v>
          </cell>
          <cell r="S3953">
            <v>0</v>
          </cell>
          <cell r="T3953">
            <v>0</v>
          </cell>
          <cell r="U3953">
            <v>0</v>
          </cell>
          <cell r="V3953">
            <v>0</v>
          </cell>
          <cell r="W3953">
            <v>0</v>
          </cell>
        </row>
        <row r="3954">
          <cell r="A3954" t="str">
            <v>453934</v>
          </cell>
          <cell r="B3954" t="str">
            <v>1251</v>
          </cell>
          <cell r="C3954" t="str">
            <v>12</v>
          </cell>
          <cell r="D3954" t="str">
            <v>59</v>
          </cell>
          <cell r="E3954">
            <v>17</v>
          </cell>
          <cell r="G3954">
            <v>0</v>
          </cell>
          <cell r="H3954">
            <v>0</v>
          </cell>
          <cell r="I3954">
            <v>0</v>
          </cell>
          <cell r="J3954">
            <v>0</v>
          </cell>
          <cell r="K3954">
            <v>0</v>
          </cell>
          <cell r="L3954">
            <v>0</v>
          </cell>
          <cell r="M3954">
            <v>0</v>
          </cell>
          <cell r="N3954">
            <v>0</v>
          </cell>
          <cell r="O3954">
            <v>0</v>
          </cell>
          <cell r="P3954">
            <v>0</v>
          </cell>
          <cell r="Q3954">
            <v>0</v>
          </cell>
          <cell r="R3954">
            <v>0</v>
          </cell>
          <cell r="S3954">
            <v>0</v>
          </cell>
          <cell r="T3954">
            <v>0</v>
          </cell>
          <cell r="U3954">
            <v>0</v>
          </cell>
          <cell r="V3954">
            <v>0</v>
          </cell>
          <cell r="W3954">
            <v>0</v>
          </cell>
        </row>
        <row r="3955">
          <cell r="A3955" t="str">
            <v>453934</v>
          </cell>
          <cell r="B3955" t="str">
            <v>1251</v>
          </cell>
          <cell r="C3955" t="str">
            <v>12</v>
          </cell>
          <cell r="D3955" t="str">
            <v>59</v>
          </cell>
          <cell r="E3955">
            <v>18</v>
          </cell>
          <cell r="G3955">
            <v>0</v>
          </cell>
          <cell r="H3955">
            <v>0</v>
          </cell>
          <cell r="I3955">
            <v>0</v>
          </cell>
          <cell r="J3955">
            <v>0</v>
          </cell>
          <cell r="K3955">
            <v>0</v>
          </cell>
          <cell r="L3955">
            <v>0</v>
          </cell>
          <cell r="M3955">
            <v>0</v>
          </cell>
          <cell r="N3955">
            <v>0</v>
          </cell>
          <cell r="O3955">
            <v>0</v>
          </cell>
          <cell r="P3955">
            <v>0</v>
          </cell>
          <cell r="Q3955">
            <v>0</v>
          </cell>
          <cell r="R3955">
            <v>0</v>
          </cell>
          <cell r="S3955">
            <v>0</v>
          </cell>
          <cell r="T3955">
            <v>0</v>
          </cell>
          <cell r="U3955">
            <v>0</v>
          </cell>
          <cell r="V3955">
            <v>0</v>
          </cell>
          <cell r="W3955">
            <v>0</v>
          </cell>
        </row>
        <row r="3956">
          <cell r="A3956" t="str">
            <v>453934</v>
          </cell>
          <cell r="B3956" t="str">
            <v>1251</v>
          </cell>
          <cell r="C3956" t="str">
            <v>12</v>
          </cell>
          <cell r="D3956" t="str">
            <v>59</v>
          </cell>
          <cell r="E3956">
            <v>19</v>
          </cell>
          <cell r="G3956">
            <v>0</v>
          </cell>
          <cell r="H3956">
            <v>0</v>
          </cell>
          <cell r="I3956">
            <v>0</v>
          </cell>
          <cell r="J3956">
            <v>0</v>
          </cell>
          <cell r="K3956">
            <v>0</v>
          </cell>
          <cell r="L3956">
            <v>0</v>
          </cell>
          <cell r="M3956">
            <v>0</v>
          </cell>
          <cell r="N3956">
            <v>0</v>
          </cell>
          <cell r="O3956">
            <v>0</v>
          </cell>
          <cell r="P3956">
            <v>0</v>
          </cell>
          <cell r="Q3956">
            <v>0</v>
          </cell>
          <cell r="R3956">
            <v>0</v>
          </cell>
          <cell r="S3956">
            <v>0</v>
          </cell>
          <cell r="T3956">
            <v>0</v>
          </cell>
          <cell r="U3956">
            <v>0</v>
          </cell>
          <cell r="V3956">
            <v>0</v>
          </cell>
          <cell r="W3956">
            <v>0</v>
          </cell>
        </row>
        <row r="3957">
          <cell r="A3957" t="str">
            <v>453934</v>
          </cell>
          <cell r="B3957" t="str">
            <v>1251</v>
          </cell>
          <cell r="C3957" t="str">
            <v>12</v>
          </cell>
          <cell r="D3957" t="str">
            <v>59</v>
          </cell>
          <cell r="E3957">
            <v>20</v>
          </cell>
          <cell r="G3957">
            <v>0</v>
          </cell>
          <cell r="H3957">
            <v>0</v>
          </cell>
          <cell r="I3957">
            <v>0</v>
          </cell>
          <cell r="J3957">
            <v>0</v>
          </cell>
          <cell r="K3957">
            <v>0</v>
          </cell>
          <cell r="L3957">
            <v>0</v>
          </cell>
          <cell r="M3957">
            <v>0</v>
          </cell>
          <cell r="N3957">
            <v>0</v>
          </cell>
          <cell r="O3957">
            <v>0</v>
          </cell>
          <cell r="P3957">
            <v>0</v>
          </cell>
          <cell r="Q3957">
            <v>0</v>
          </cell>
          <cell r="R3957">
            <v>0</v>
          </cell>
          <cell r="S3957">
            <v>0</v>
          </cell>
          <cell r="T3957">
            <v>0</v>
          </cell>
          <cell r="U3957">
            <v>0</v>
          </cell>
          <cell r="V3957">
            <v>0</v>
          </cell>
          <cell r="W3957">
            <v>0</v>
          </cell>
        </row>
        <row r="3958">
          <cell r="A3958" t="str">
            <v>453934</v>
          </cell>
          <cell r="B3958" t="str">
            <v>1251</v>
          </cell>
          <cell r="C3958" t="str">
            <v>12</v>
          </cell>
          <cell r="D3958" t="str">
            <v>59</v>
          </cell>
          <cell r="E3958">
            <v>21</v>
          </cell>
          <cell r="G3958">
            <v>0</v>
          </cell>
          <cell r="H3958">
            <v>0</v>
          </cell>
          <cell r="I3958">
            <v>0</v>
          </cell>
          <cell r="J3958">
            <v>0</v>
          </cell>
          <cell r="K3958">
            <v>0</v>
          </cell>
          <cell r="L3958">
            <v>0</v>
          </cell>
          <cell r="M3958">
            <v>0</v>
          </cell>
          <cell r="N3958">
            <v>0</v>
          </cell>
          <cell r="O3958">
            <v>0</v>
          </cell>
          <cell r="P3958">
            <v>0</v>
          </cell>
          <cell r="Q3958">
            <v>0</v>
          </cell>
          <cell r="R3958">
            <v>0</v>
          </cell>
          <cell r="S3958">
            <v>0</v>
          </cell>
          <cell r="T3958">
            <v>0</v>
          </cell>
          <cell r="U3958">
            <v>0</v>
          </cell>
          <cell r="V3958">
            <v>0</v>
          </cell>
          <cell r="W3958">
            <v>0</v>
          </cell>
        </row>
        <row r="3959">
          <cell r="A3959" t="str">
            <v>453934</v>
          </cell>
          <cell r="B3959" t="str">
            <v>1251</v>
          </cell>
          <cell r="C3959" t="str">
            <v>12</v>
          </cell>
          <cell r="D3959" t="str">
            <v>59</v>
          </cell>
          <cell r="E3959">
            <v>22</v>
          </cell>
          <cell r="G3959">
            <v>0</v>
          </cell>
          <cell r="H3959">
            <v>0</v>
          </cell>
          <cell r="I3959">
            <v>0</v>
          </cell>
          <cell r="J3959">
            <v>0</v>
          </cell>
          <cell r="K3959">
            <v>0</v>
          </cell>
          <cell r="L3959">
            <v>0</v>
          </cell>
          <cell r="M3959">
            <v>0</v>
          </cell>
          <cell r="N3959">
            <v>0</v>
          </cell>
          <cell r="O3959">
            <v>0</v>
          </cell>
          <cell r="P3959">
            <v>0</v>
          </cell>
          <cell r="Q3959">
            <v>0</v>
          </cell>
          <cell r="R3959">
            <v>0</v>
          </cell>
          <cell r="S3959">
            <v>0</v>
          </cell>
          <cell r="T3959">
            <v>0</v>
          </cell>
          <cell r="U3959">
            <v>0</v>
          </cell>
          <cell r="V3959">
            <v>0</v>
          </cell>
          <cell r="W3959">
            <v>0</v>
          </cell>
        </row>
        <row r="3960">
          <cell r="A3960" t="str">
            <v>453934</v>
          </cell>
          <cell r="B3960" t="str">
            <v>1251</v>
          </cell>
          <cell r="C3960" t="str">
            <v>12</v>
          </cell>
          <cell r="D3960" t="str">
            <v>59</v>
          </cell>
          <cell r="E3960">
            <v>23</v>
          </cell>
          <cell r="G3960">
            <v>0</v>
          </cell>
          <cell r="H3960">
            <v>0</v>
          </cell>
          <cell r="I3960">
            <v>0</v>
          </cell>
          <cell r="J3960">
            <v>0</v>
          </cell>
          <cell r="K3960">
            <v>0</v>
          </cell>
          <cell r="L3960">
            <v>0</v>
          </cell>
          <cell r="M3960">
            <v>0</v>
          </cell>
          <cell r="N3960">
            <v>0</v>
          </cell>
          <cell r="O3960">
            <v>0</v>
          </cell>
          <cell r="P3960">
            <v>0</v>
          </cell>
          <cell r="Q3960">
            <v>0</v>
          </cell>
          <cell r="R3960">
            <v>0</v>
          </cell>
          <cell r="S3960">
            <v>0</v>
          </cell>
          <cell r="T3960">
            <v>0</v>
          </cell>
          <cell r="U3960">
            <v>0</v>
          </cell>
          <cell r="V3960">
            <v>0</v>
          </cell>
          <cell r="W3960">
            <v>0</v>
          </cell>
        </row>
        <row r="3961">
          <cell r="A3961" t="str">
            <v>453934</v>
          </cell>
          <cell r="B3961" t="str">
            <v>1251</v>
          </cell>
          <cell r="C3961" t="str">
            <v>12</v>
          </cell>
          <cell r="D3961" t="str">
            <v>59</v>
          </cell>
          <cell r="E3961">
            <v>24</v>
          </cell>
          <cell r="G3961">
            <v>0</v>
          </cell>
          <cell r="H3961">
            <v>0</v>
          </cell>
          <cell r="I3961">
            <v>0</v>
          </cell>
          <cell r="J3961">
            <v>0</v>
          </cell>
          <cell r="K3961">
            <v>0</v>
          </cell>
          <cell r="L3961">
            <v>0</v>
          </cell>
          <cell r="M3961">
            <v>0</v>
          </cell>
          <cell r="N3961">
            <v>0</v>
          </cell>
          <cell r="O3961">
            <v>0</v>
          </cell>
          <cell r="P3961">
            <v>0</v>
          </cell>
          <cell r="Q3961">
            <v>0</v>
          </cell>
          <cell r="R3961">
            <v>0</v>
          </cell>
          <cell r="S3961">
            <v>0</v>
          </cell>
          <cell r="T3961">
            <v>0</v>
          </cell>
          <cell r="U3961">
            <v>0</v>
          </cell>
          <cell r="V3961">
            <v>0</v>
          </cell>
          <cell r="W3961">
            <v>0</v>
          </cell>
        </row>
        <row r="3962">
          <cell r="A3962" t="str">
            <v>453934</v>
          </cell>
          <cell r="B3962" t="str">
            <v>1251</v>
          </cell>
          <cell r="C3962" t="str">
            <v>12</v>
          </cell>
          <cell r="D3962" t="str">
            <v>59</v>
          </cell>
          <cell r="E3962">
            <v>25</v>
          </cell>
          <cell r="G3962">
            <v>0</v>
          </cell>
          <cell r="H3962">
            <v>0</v>
          </cell>
          <cell r="I3962">
            <v>0</v>
          </cell>
          <cell r="J3962">
            <v>0</v>
          </cell>
          <cell r="K3962">
            <v>0</v>
          </cell>
          <cell r="L3962">
            <v>0</v>
          </cell>
          <cell r="M3962">
            <v>0</v>
          </cell>
          <cell r="N3962">
            <v>0</v>
          </cell>
          <cell r="O3962">
            <v>0</v>
          </cell>
          <cell r="P3962">
            <v>0</v>
          </cell>
          <cell r="Q3962">
            <v>0</v>
          </cell>
          <cell r="R3962">
            <v>0</v>
          </cell>
          <cell r="S3962">
            <v>0</v>
          </cell>
          <cell r="T3962">
            <v>0</v>
          </cell>
          <cell r="U3962">
            <v>0</v>
          </cell>
          <cell r="V3962">
            <v>0</v>
          </cell>
          <cell r="W3962">
            <v>0</v>
          </cell>
        </row>
        <row r="3963">
          <cell r="A3963" t="str">
            <v>453934</v>
          </cell>
          <cell r="B3963" t="str">
            <v>1251</v>
          </cell>
          <cell r="C3963" t="str">
            <v>12</v>
          </cell>
          <cell r="D3963" t="str">
            <v>59</v>
          </cell>
          <cell r="E3963">
            <v>26</v>
          </cell>
          <cell r="G3963">
            <v>0</v>
          </cell>
          <cell r="H3963">
            <v>0</v>
          </cell>
          <cell r="I3963">
            <v>0</v>
          </cell>
          <cell r="J3963">
            <v>0</v>
          </cell>
          <cell r="K3963">
            <v>0</v>
          </cell>
          <cell r="L3963">
            <v>0</v>
          </cell>
          <cell r="M3963">
            <v>0</v>
          </cell>
          <cell r="N3963">
            <v>0</v>
          </cell>
          <cell r="O3963">
            <v>0</v>
          </cell>
          <cell r="P3963">
            <v>0</v>
          </cell>
          <cell r="Q3963">
            <v>0</v>
          </cell>
          <cell r="R3963">
            <v>0</v>
          </cell>
          <cell r="S3963">
            <v>0</v>
          </cell>
          <cell r="T3963">
            <v>0</v>
          </cell>
          <cell r="U3963">
            <v>0</v>
          </cell>
          <cell r="V3963">
            <v>0</v>
          </cell>
          <cell r="W3963">
            <v>0</v>
          </cell>
        </row>
        <row r="3964">
          <cell r="A3964" t="str">
            <v>453934</v>
          </cell>
          <cell r="B3964" t="str">
            <v>1251</v>
          </cell>
          <cell r="C3964" t="str">
            <v>12</v>
          </cell>
          <cell r="D3964" t="str">
            <v>59</v>
          </cell>
          <cell r="E3964">
            <v>27</v>
          </cell>
          <cell r="G3964">
            <v>0</v>
          </cell>
          <cell r="H3964">
            <v>0</v>
          </cell>
          <cell r="I3964">
            <v>0</v>
          </cell>
          <cell r="J3964">
            <v>0</v>
          </cell>
          <cell r="K3964">
            <v>0</v>
          </cell>
          <cell r="L3964">
            <v>0</v>
          </cell>
          <cell r="M3964">
            <v>0</v>
          </cell>
          <cell r="N3964">
            <v>0</v>
          </cell>
          <cell r="O3964">
            <v>0</v>
          </cell>
          <cell r="P3964">
            <v>0</v>
          </cell>
          <cell r="Q3964">
            <v>0</v>
          </cell>
          <cell r="R3964">
            <v>0</v>
          </cell>
          <cell r="S3964">
            <v>0</v>
          </cell>
          <cell r="T3964">
            <v>0</v>
          </cell>
          <cell r="U3964">
            <v>0</v>
          </cell>
          <cell r="V3964">
            <v>0</v>
          </cell>
          <cell r="W3964">
            <v>0</v>
          </cell>
        </row>
        <row r="3965">
          <cell r="A3965" t="str">
            <v>453934</v>
          </cell>
          <cell r="B3965" t="str">
            <v>1251</v>
          </cell>
          <cell r="C3965" t="str">
            <v>12</v>
          </cell>
          <cell r="D3965" t="str">
            <v>59</v>
          </cell>
          <cell r="E3965">
            <v>28</v>
          </cell>
          <cell r="G3965">
            <v>0</v>
          </cell>
          <cell r="H3965">
            <v>0</v>
          </cell>
          <cell r="I3965">
            <v>0</v>
          </cell>
          <cell r="J3965">
            <v>0</v>
          </cell>
          <cell r="K3965">
            <v>0</v>
          </cell>
          <cell r="L3965">
            <v>0</v>
          </cell>
          <cell r="M3965">
            <v>0</v>
          </cell>
          <cell r="N3965">
            <v>0</v>
          </cell>
          <cell r="O3965">
            <v>0</v>
          </cell>
          <cell r="P3965">
            <v>0</v>
          </cell>
          <cell r="Q3965">
            <v>0</v>
          </cell>
          <cell r="R3965">
            <v>0</v>
          </cell>
          <cell r="S3965">
            <v>0</v>
          </cell>
          <cell r="T3965">
            <v>0</v>
          </cell>
          <cell r="U3965">
            <v>0</v>
          </cell>
          <cell r="V3965">
            <v>0</v>
          </cell>
          <cell r="W3965">
            <v>0</v>
          </cell>
        </row>
        <row r="3966">
          <cell r="A3966" t="str">
            <v>453934</v>
          </cell>
          <cell r="B3966" t="str">
            <v>1251</v>
          </cell>
          <cell r="C3966" t="str">
            <v>12</v>
          </cell>
          <cell r="D3966" t="str">
            <v>59</v>
          </cell>
          <cell r="E3966">
            <v>29</v>
          </cell>
          <cell r="G3966">
            <v>0</v>
          </cell>
          <cell r="H3966">
            <v>0</v>
          </cell>
          <cell r="I3966">
            <v>0</v>
          </cell>
          <cell r="J3966">
            <v>0</v>
          </cell>
          <cell r="K3966">
            <v>0</v>
          </cell>
          <cell r="L3966">
            <v>0</v>
          </cell>
          <cell r="M3966">
            <v>0</v>
          </cell>
          <cell r="N3966">
            <v>0</v>
          </cell>
          <cell r="O3966">
            <v>0</v>
          </cell>
          <cell r="P3966">
            <v>0</v>
          </cell>
          <cell r="Q3966">
            <v>0</v>
          </cell>
          <cell r="R3966">
            <v>0</v>
          </cell>
          <cell r="S3966">
            <v>0</v>
          </cell>
          <cell r="T3966">
            <v>0</v>
          </cell>
          <cell r="U3966">
            <v>0</v>
          </cell>
          <cell r="V3966">
            <v>0</v>
          </cell>
          <cell r="W3966">
            <v>0</v>
          </cell>
        </row>
        <row r="3967">
          <cell r="A3967" t="str">
            <v>453934</v>
          </cell>
          <cell r="B3967" t="str">
            <v>1251</v>
          </cell>
          <cell r="C3967" t="str">
            <v>12</v>
          </cell>
          <cell r="D3967" t="str">
            <v>59</v>
          </cell>
          <cell r="E3967">
            <v>30</v>
          </cell>
          <cell r="G3967">
            <v>0</v>
          </cell>
          <cell r="H3967">
            <v>0</v>
          </cell>
          <cell r="I3967">
            <v>0</v>
          </cell>
          <cell r="J3967">
            <v>0</v>
          </cell>
          <cell r="K3967">
            <v>0</v>
          </cell>
          <cell r="L3967">
            <v>0</v>
          </cell>
          <cell r="M3967">
            <v>0</v>
          </cell>
          <cell r="N3967">
            <v>0</v>
          </cell>
          <cell r="O3967">
            <v>0</v>
          </cell>
          <cell r="P3967">
            <v>0</v>
          </cell>
          <cell r="Q3967">
            <v>0</v>
          </cell>
          <cell r="R3967">
            <v>0</v>
          </cell>
          <cell r="S3967">
            <v>0</v>
          </cell>
          <cell r="T3967">
            <v>0</v>
          </cell>
          <cell r="U3967">
            <v>0</v>
          </cell>
          <cell r="V3967">
            <v>0</v>
          </cell>
          <cell r="W3967">
            <v>0</v>
          </cell>
        </row>
        <row r="3968">
          <cell r="A3968" t="str">
            <v>453934</v>
          </cell>
          <cell r="B3968" t="str">
            <v>1251</v>
          </cell>
          <cell r="C3968" t="str">
            <v>12</v>
          </cell>
          <cell r="D3968" t="str">
            <v>59</v>
          </cell>
          <cell r="E3968">
            <v>31</v>
          </cell>
          <cell r="G3968">
            <v>0</v>
          </cell>
          <cell r="H3968">
            <v>0</v>
          </cell>
          <cell r="I3968">
            <v>0</v>
          </cell>
          <cell r="J3968">
            <v>0</v>
          </cell>
          <cell r="K3968">
            <v>0</v>
          </cell>
          <cell r="L3968">
            <v>0</v>
          </cell>
          <cell r="M3968">
            <v>0</v>
          </cell>
          <cell r="N3968">
            <v>0</v>
          </cell>
          <cell r="O3968">
            <v>0</v>
          </cell>
          <cell r="P3968">
            <v>0</v>
          </cell>
          <cell r="Q3968">
            <v>0</v>
          </cell>
          <cell r="R3968">
            <v>0</v>
          </cell>
          <cell r="S3968">
            <v>0</v>
          </cell>
          <cell r="T3968">
            <v>0</v>
          </cell>
          <cell r="U3968">
            <v>0</v>
          </cell>
          <cell r="V3968">
            <v>0</v>
          </cell>
          <cell r="W3968">
            <v>0</v>
          </cell>
        </row>
        <row r="3969">
          <cell r="A3969" t="str">
            <v>453934</v>
          </cell>
          <cell r="B3969" t="str">
            <v>1251</v>
          </cell>
          <cell r="C3969" t="str">
            <v>12</v>
          </cell>
          <cell r="D3969" t="str">
            <v>59</v>
          </cell>
          <cell r="E3969">
            <v>32</v>
          </cell>
          <cell r="G3969">
            <v>0</v>
          </cell>
          <cell r="H3969">
            <v>0</v>
          </cell>
          <cell r="I3969">
            <v>0</v>
          </cell>
          <cell r="J3969">
            <v>0</v>
          </cell>
          <cell r="K3969">
            <v>0</v>
          </cell>
          <cell r="L3969">
            <v>0</v>
          </cell>
          <cell r="M3969">
            <v>0</v>
          </cell>
          <cell r="N3969">
            <v>0</v>
          </cell>
          <cell r="O3969">
            <v>0</v>
          </cell>
          <cell r="P3969">
            <v>0</v>
          </cell>
          <cell r="Q3969">
            <v>0</v>
          </cell>
          <cell r="R3969">
            <v>0</v>
          </cell>
          <cell r="S3969">
            <v>0</v>
          </cell>
          <cell r="T3969">
            <v>0</v>
          </cell>
          <cell r="U3969">
            <v>0</v>
          </cell>
          <cell r="V3969">
            <v>0</v>
          </cell>
          <cell r="W3969">
            <v>0</v>
          </cell>
        </row>
        <row r="3970">
          <cell r="A3970" t="str">
            <v>453934</v>
          </cell>
          <cell r="B3970" t="str">
            <v>1251</v>
          </cell>
          <cell r="C3970" t="str">
            <v>12</v>
          </cell>
          <cell r="D3970" t="str">
            <v>59</v>
          </cell>
          <cell r="E3970">
            <v>33</v>
          </cell>
          <cell r="G3970">
            <v>0</v>
          </cell>
          <cell r="H3970">
            <v>0</v>
          </cell>
          <cell r="I3970">
            <v>0</v>
          </cell>
          <cell r="J3970">
            <v>0</v>
          </cell>
          <cell r="K3970">
            <v>0</v>
          </cell>
          <cell r="L3970">
            <v>0</v>
          </cell>
          <cell r="M3970">
            <v>0</v>
          </cell>
          <cell r="N3970">
            <v>0</v>
          </cell>
          <cell r="O3970">
            <v>0</v>
          </cell>
          <cell r="P3970">
            <v>0</v>
          </cell>
          <cell r="Q3970">
            <v>0</v>
          </cell>
          <cell r="R3970">
            <v>0</v>
          </cell>
          <cell r="S3970">
            <v>0</v>
          </cell>
          <cell r="T3970">
            <v>0</v>
          </cell>
          <cell r="U3970">
            <v>0</v>
          </cell>
          <cell r="V3970">
            <v>0</v>
          </cell>
          <cell r="W3970">
            <v>0</v>
          </cell>
        </row>
        <row r="3971">
          <cell r="A3971" t="str">
            <v>453934</v>
          </cell>
          <cell r="B3971" t="str">
            <v>1251</v>
          </cell>
          <cell r="C3971" t="str">
            <v>12</v>
          </cell>
          <cell r="D3971" t="str">
            <v>59</v>
          </cell>
          <cell r="E3971">
            <v>34</v>
          </cell>
          <cell r="G3971">
            <v>0</v>
          </cell>
          <cell r="H3971">
            <v>0</v>
          </cell>
          <cell r="I3971">
            <v>3904</v>
          </cell>
          <cell r="J3971">
            <v>0</v>
          </cell>
          <cell r="K3971">
            <v>3904</v>
          </cell>
          <cell r="L3971">
            <v>0</v>
          </cell>
          <cell r="M3971">
            <v>0</v>
          </cell>
          <cell r="N3971">
            <v>3817</v>
          </cell>
          <cell r="O3971">
            <v>0</v>
          </cell>
          <cell r="P3971">
            <v>0</v>
          </cell>
          <cell r="Q3971">
            <v>87</v>
          </cell>
          <cell r="R3971">
            <v>0</v>
          </cell>
          <cell r="S3971">
            <v>0</v>
          </cell>
          <cell r="T3971">
            <v>0</v>
          </cell>
          <cell r="U3971">
            <v>0</v>
          </cell>
          <cell r="V3971">
            <v>0</v>
          </cell>
          <cell r="W3971">
            <v>0</v>
          </cell>
        </row>
        <row r="3972">
          <cell r="A3972" t="str">
            <v>453934</v>
          </cell>
          <cell r="B3972" t="str">
            <v>1251</v>
          </cell>
          <cell r="C3972" t="str">
            <v>12</v>
          </cell>
          <cell r="D3972" t="str">
            <v>75</v>
          </cell>
          <cell r="E3972">
            <v>1</v>
          </cell>
          <cell r="G3972">
            <v>414</v>
          </cell>
          <cell r="H3972">
            <v>0</v>
          </cell>
          <cell r="I3972">
            <v>0</v>
          </cell>
          <cell r="J3972">
            <v>0</v>
          </cell>
          <cell r="K3972">
            <v>0</v>
          </cell>
          <cell r="L3972">
            <v>413</v>
          </cell>
          <cell r="M3972">
            <v>0</v>
          </cell>
          <cell r="N3972">
            <v>0</v>
          </cell>
          <cell r="O3972">
            <v>0</v>
          </cell>
          <cell r="P3972">
            <v>0</v>
          </cell>
          <cell r="Q3972">
            <v>413</v>
          </cell>
          <cell r="R3972">
            <v>413</v>
          </cell>
          <cell r="S3972">
            <v>0</v>
          </cell>
          <cell r="T3972">
            <v>0</v>
          </cell>
          <cell r="U3972">
            <v>0</v>
          </cell>
          <cell r="V3972">
            <v>1</v>
          </cell>
          <cell r="W3972">
            <v>0</v>
          </cell>
        </row>
        <row r="3973">
          <cell r="A3973" t="str">
            <v>453934</v>
          </cell>
          <cell r="B3973" t="str">
            <v>1251</v>
          </cell>
          <cell r="C3973" t="str">
            <v>12</v>
          </cell>
          <cell r="D3973" t="str">
            <v>75</v>
          </cell>
          <cell r="E3973">
            <v>2</v>
          </cell>
          <cell r="G3973">
            <v>0</v>
          </cell>
          <cell r="H3973">
            <v>0</v>
          </cell>
          <cell r="I3973">
            <v>0</v>
          </cell>
          <cell r="J3973">
            <v>0</v>
          </cell>
          <cell r="K3973">
            <v>0</v>
          </cell>
          <cell r="L3973">
            <v>0</v>
          </cell>
          <cell r="M3973">
            <v>0</v>
          </cell>
          <cell r="N3973">
            <v>0</v>
          </cell>
          <cell r="O3973">
            <v>0</v>
          </cell>
          <cell r="P3973">
            <v>0</v>
          </cell>
          <cell r="Q3973">
            <v>0</v>
          </cell>
          <cell r="R3973">
            <v>0</v>
          </cell>
          <cell r="S3973">
            <v>0</v>
          </cell>
          <cell r="T3973">
            <v>0</v>
          </cell>
          <cell r="U3973">
            <v>0</v>
          </cell>
          <cell r="V3973">
            <v>0</v>
          </cell>
          <cell r="W3973">
            <v>0</v>
          </cell>
        </row>
        <row r="3974">
          <cell r="A3974" t="str">
            <v>453934</v>
          </cell>
          <cell r="B3974" t="str">
            <v>1251</v>
          </cell>
          <cell r="C3974" t="str">
            <v>12</v>
          </cell>
          <cell r="D3974" t="str">
            <v>75</v>
          </cell>
          <cell r="E3974">
            <v>3</v>
          </cell>
          <cell r="G3974">
            <v>0</v>
          </cell>
          <cell r="H3974">
            <v>0</v>
          </cell>
          <cell r="I3974">
            <v>0</v>
          </cell>
          <cell r="J3974">
            <v>0</v>
          </cell>
          <cell r="K3974">
            <v>0</v>
          </cell>
          <cell r="L3974">
            <v>0</v>
          </cell>
          <cell r="M3974">
            <v>0</v>
          </cell>
          <cell r="N3974">
            <v>0</v>
          </cell>
          <cell r="O3974">
            <v>0</v>
          </cell>
          <cell r="P3974">
            <v>0</v>
          </cell>
          <cell r="Q3974">
            <v>0</v>
          </cell>
          <cell r="R3974">
            <v>0</v>
          </cell>
          <cell r="S3974">
            <v>0</v>
          </cell>
          <cell r="T3974">
            <v>0</v>
          </cell>
          <cell r="U3974">
            <v>0</v>
          </cell>
          <cell r="V3974">
            <v>0</v>
          </cell>
          <cell r="W3974">
            <v>0</v>
          </cell>
        </row>
        <row r="3975">
          <cell r="A3975" t="str">
            <v>453934</v>
          </cell>
          <cell r="B3975" t="str">
            <v>1251</v>
          </cell>
          <cell r="C3975" t="str">
            <v>12</v>
          </cell>
          <cell r="D3975" t="str">
            <v>75</v>
          </cell>
          <cell r="E3975">
            <v>4</v>
          </cell>
          <cell r="G3975">
            <v>0</v>
          </cell>
          <cell r="H3975">
            <v>0</v>
          </cell>
          <cell r="I3975">
            <v>0</v>
          </cell>
          <cell r="J3975">
            <v>0</v>
          </cell>
          <cell r="K3975">
            <v>0</v>
          </cell>
          <cell r="L3975">
            <v>0</v>
          </cell>
          <cell r="M3975">
            <v>0</v>
          </cell>
          <cell r="N3975">
            <v>0</v>
          </cell>
          <cell r="O3975">
            <v>0</v>
          </cell>
          <cell r="P3975">
            <v>0</v>
          </cell>
          <cell r="Q3975">
            <v>0</v>
          </cell>
          <cell r="R3975">
            <v>0</v>
          </cell>
          <cell r="S3975">
            <v>0</v>
          </cell>
          <cell r="T3975">
            <v>0</v>
          </cell>
          <cell r="U3975">
            <v>0</v>
          </cell>
          <cell r="V3975">
            <v>0</v>
          </cell>
          <cell r="W3975">
            <v>0</v>
          </cell>
        </row>
        <row r="3976">
          <cell r="A3976" t="str">
            <v>453934</v>
          </cell>
          <cell r="B3976" t="str">
            <v>1251</v>
          </cell>
          <cell r="C3976" t="str">
            <v>12</v>
          </cell>
          <cell r="D3976" t="str">
            <v>75</v>
          </cell>
          <cell r="E3976">
            <v>5</v>
          </cell>
          <cell r="G3976">
            <v>0</v>
          </cell>
          <cell r="H3976">
            <v>0</v>
          </cell>
          <cell r="I3976">
            <v>0</v>
          </cell>
          <cell r="J3976">
            <v>0</v>
          </cell>
          <cell r="K3976">
            <v>0</v>
          </cell>
          <cell r="L3976">
            <v>0</v>
          </cell>
          <cell r="M3976">
            <v>0</v>
          </cell>
          <cell r="N3976">
            <v>0</v>
          </cell>
          <cell r="O3976">
            <v>0</v>
          </cell>
          <cell r="P3976">
            <v>0</v>
          </cell>
          <cell r="Q3976">
            <v>0</v>
          </cell>
          <cell r="R3976">
            <v>0</v>
          </cell>
          <cell r="S3976">
            <v>0</v>
          </cell>
          <cell r="T3976">
            <v>0</v>
          </cell>
          <cell r="U3976">
            <v>0</v>
          </cell>
          <cell r="V3976">
            <v>0</v>
          </cell>
          <cell r="W3976">
            <v>0</v>
          </cell>
        </row>
        <row r="3977">
          <cell r="A3977" t="str">
            <v>453934</v>
          </cell>
          <cell r="B3977" t="str">
            <v>1251</v>
          </cell>
          <cell r="C3977" t="str">
            <v>12</v>
          </cell>
          <cell r="D3977" t="str">
            <v>75</v>
          </cell>
          <cell r="E3977">
            <v>6</v>
          </cell>
          <cell r="G3977">
            <v>0</v>
          </cell>
          <cell r="H3977">
            <v>0</v>
          </cell>
          <cell r="I3977">
            <v>0</v>
          </cell>
          <cell r="J3977">
            <v>0</v>
          </cell>
          <cell r="K3977">
            <v>0</v>
          </cell>
          <cell r="L3977">
            <v>0</v>
          </cell>
          <cell r="M3977">
            <v>0</v>
          </cell>
          <cell r="N3977">
            <v>0</v>
          </cell>
          <cell r="O3977">
            <v>0</v>
          </cell>
          <cell r="P3977">
            <v>0</v>
          </cell>
          <cell r="Q3977">
            <v>0</v>
          </cell>
          <cell r="R3977">
            <v>0</v>
          </cell>
          <cell r="S3977">
            <v>0</v>
          </cell>
          <cell r="T3977">
            <v>0</v>
          </cell>
          <cell r="U3977">
            <v>0</v>
          </cell>
          <cell r="V3977">
            <v>0</v>
          </cell>
          <cell r="W3977">
            <v>0</v>
          </cell>
        </row>
        <row r="3978">
          <cell r="A3978" t="str">
            <v>453934</v>
          </cell>
          <cell r="B3978" t="str">
            <v>1251</v>
          </cell>
          <cell r="C3978" t="str">
            <v>12</v>
          </cell>
          <cell r="D3978" t="str">
            <v>75</v>
          </cell>
          <cell r="E3978">
            <v>7</v>
          </cell>
          <cell r="G3978">
            <v>83</v>
          </cell>
          <cell r="H3978">
            <v>0</v>
          </cell>
          <cell r="I3978">
            <v>0</v>
          </cell>
          <cell r="J3978">
            <v>0</v>
          </cell>
          <cell r="K3978">
            <v>0</v>
          </cell>
          <cell r="L3978">
            <v>83</v>
          </cell>
          <cell r="M3978">
            <v>0</v>
          </cell>
          <cell r="N3978">
            <v>0</v>
          </cell>
          <cell r="O3978">
            <v>0</v>
          </cell>
          <cell r="P3978">
            <v>0</v>
          </cell>
          <cell r="Q3978">
            <v>83</v>
          </cell>
          <cell r="R3978">
            <v>83</v>
          </cell>
          <cell r="S3978">
            <v>0</v>
          </cell>
          <cell r="T3978">
            <v>0</v>
          </cell>
          <cell r="U3978">
            <v>0</v>
          </cell>
          <cell r="V3978">
            <v>0</v>
          </cell>
          <cell r="W3978">
            <v>0</v>
          </cell>
        </row>
        <row r="3979">
          <cell r="A3979" t="str">
            <v>453934</v>
          </cell>
          <cell r="B3979" t="str">
            <v>1251</v>
          </cell>
          <cell r="C3979" t="str">
            <v>12</v>
          </cell>
          <cell r="D3979" t="str">
            <v>75</v>
          </cell>
          <cell r="E3979">
            <v>8</v>
          </cell>
          <cell r="G3979">
            <v>497</v>
          </cell>
          <cell r="H3979">
            <v>0</v>
          </cell>
          <cell r="I3979">
            <v>0</v>
          </cell>
          <cell r="J3979">
            <v>0</v>
          </cell>
          <cell r="K3979">
            <v>0</v>
          </cell>
          <cell r="L3979">
            <v>496</v>
          </cell>
          <cell r="M3979">
            <v>0</v>
          </cell>
          <cell r="N3979">
            <v>0</v>
          </cell>
          <cell r="O3979">
            <v>0</v>
          </cell>
          <cell r="P3979">
            <v>0</v>
          </cell>
          <cell r="Q3979">
            <v>496</v>
          </cell>
          <cell r="R3979">
            <v>496</v>
          </cell>
          <cell r="S3979">
            <v>0</v>
          </cell>
          <cell r="T3979">
            <v>0</v>
          </cell>
          <cell r="U3979">
            <v>0</v>
          </cell>
          <cell r="V3979">
            <v>1</v>
          </cell>
          <cell r="W3979">
            <v>0</v>
          </cell>
        </row>
        <row r="3980">
          <cell r="A3980" t="str">
            <v>453934</v>
          </cell>
          <cell r="B3980" t="str">
            <v>1251</v>
          </cell>
          <cell r="C3980" t="str">
            <v>12</v>
          </cell>
          <cell r="D3980" t="str">
            <v>75</v>
          </cell>
          <cell r="E3980">
            <v>9</v>
          </cell>
          <cell r="G3980">
            <v>0</v>
          </cell>
          <cell r="H3980">
            <v>0</v>
          </cell>
          <cell r="I3980">
            <v>0</v>
          </cell>
          <cell r="J3980">
            <v>0</v>
          </cell>
          <cell r="K3980">
            <v>0</v>
          </cell>
          <cell r="L3980">
            <v>0</v>
          </cell>
          <cell r="M3980">
            <v>0</v>
          </cell>
          <cell r="N3980">
            <v>0</v>
          </cell>
          <cell r="O3980">
            <v>0</v>
          </cell>
          <cell r="P3980">
            <v>0</v>
          </cell>
          <cell r="Q3980">
            <v>0</v>
          </cell>
          <cell r="R3980">
            <v>0</v>
          </cell>
          <cell r="S3980">
            <v>0</v>
          </cell>
          <cell r="T3980">
            <v>0</v>
          </cell>
          <cell r="U3980">
            <v>0</v>
          </cell>
          <cell r="V3980">
            <v>0</v>
          </cell>
          <cell r="W3980">
            <v>0</v>
          </cell>
        </row>
        <row r="3981">
          <cell r="A3981" t="str">
            <v>453934</v>
          </cell>
          <cell r="B3981" t="str">
            <v>1251</v>
          </cell>
          <cell r="C3981" t="str">
            <v>12</v>
          </cell>
          <cell r="D3981" t="str">
            <v>75</v>
          </cell>
          <cell r="E3981">
            <v>10</v>
          </cell>
          <cell r="G3981">
            <v>0</v>
          </cell>
          <cell r="H3981">
            <v>0</v>
          </cell>
          <cell r="I3981">
            <v>0</v>
          </cell>
          <cell r="J3981">
            <v>0</v>
          </cell>
          <cell r="K3981">
            <v>0</v>
          </cell>
          <cell r="L3981">
            <v>0</v>
          </cell>
          <cell r="M3981">
            <v>0</v>
          </cell>
          <cell r="N3981">
            <v>0</v>
          </cell>
          <cell r="O3981">
            <v>0</v>
          </cell>
          <cell r="P3981">
            <v>0</v>
          </cell>
          <cell r="Q3981">
            <v>0</v>
          </cell>
          <cell r="R3981">
            <v>0</v>
          </cell>
          <cell r="S3981">
            <v>0</v>
          </cell>
          <cell r="T3981">
            <v>0</v>
          </cell>
          <cell r="U3981">
            <v>0</v>
          </cell>
          <cell r="V3981">
            <v>0</v>
          </cell>
          <cell r="W3981">
            <v>0</v>
          </cell>
        </row>
        <row r="3982">
          <cell r="A3982" t="str">
            <v>453934</v>
          </cell>
          <cell r="B3982" t="str">
            <v>1251</v>
          </cell>
          <cell r="C3982" t="str">
            <v>12</v>
          </cell>
          <cell r="D3982" t="str">
            <v>75</v>
          </cell>
          <cell r="E3982">
            <v>11</v>
          </cell>
          <cell r="G3982">
            <v>0</v>
          </cell>
          <cell r="H3982">
            <v>0</v>
          </cell>
          <cell r="I3982">
            <v>0</v>
          </cell>
          <cell r="J3982">
            <v>0</v>
          </cell>
          <cell r="K3982">
            <v>0</v>
          </cell>
          <cell r="L3982">
            <v>0</v>
          </cell>
          <cell r="M3982">
            <v>0</v>
          </cell>
          <cell r="N3982">
            <v>0</v>
          </cell>
          <cell r="O3982">
            <v>0</v>
          </cell>
          <cell r="P3982">
            <v>0</v>
          </cell>
          <cell r="Q3982">
            <v>0</v>
          </cell>
          <cell r="R3982">
            <v>0</v>
          </cell>
          <cell r="S3982">
            <v>0</v>
          </cell>
          <cell r="T3982">
            <v>0</v>
          </cell>
          <cell r="U3982">
            <v>0</v>
          </cell>
          <cell r="V3982">
            <v>0</v>
          </cell>
          <cell r="W3982">
            <v>0</v>
          </cell>
        </row>
        <row r="3983">
          <cell r="A3983" t="str">
            <v>453934</v>
          </cell>
          <cell r="B3983" t="str">
            <v>1251</v>
          </cell>
          <cell r="C3983" t="str">
            <v>12</v>
          </cell>
          <cell r="D3983" t="str">
            <v>75</v>
          </cell>
          <cell r="E3983">
            <v>12</v>
          </cell>
          <cell r="G3983">
            <v>0</v>
          </cell>
          <cell r="H3983">
            <v>0</v>
          </cell>
          <cell r="I3983">
            <v>0</v>
          </cell>
          <cell r="J3983">
            <v>0</v>
          </cell>
          <cell r="K3983">
            <v>0</v>
          </cell>
          <cell r="L3983">
            <v>0</v>
          </cell>
          <cell r="M3983">
            <v>0</v>
          </cell>
          <cell r="N3983">
            <v>0</v>
          </cell>
          <cell r="O3983">
            <v>0</v>
          </cell>
          <cell r="P3983">
            <v>0</v>
          </cell>
          <cell r="Q3983">
            <v>0</v>
          </cell>
          <cell r="R3983">
            <v>0</v>
          </cell>
          <cell r="S3983">
            <v>0</v>
          </cell>
          <cell r="T3983">
            <v>0</v>
          </cell>
          <cell r="U3983">
            <v>0</v>
          </cell>
          <cell r="V3983">
            <v>0</v>
          </cell>
          <cell r="W3983">
            <v>0</v>
          </cell>
        </row>
        <row r="3984">
          <cell r="A3984" t="str">
            <v>453934</v>
          </cell>
          <cell r="B3984" t="str">
            <v>1251</v>
          </cell>
          <cell r="C3984" t="str">
            <v>12</v>
          </cell>
          <cell r="D3984" t="str">
            <v>75</v>
          </cell>
          <cell r="E3984">
            <v>13</v>
          </cell>
          <cell r="G3984">
            <v>0</v>
          </cell>
          <cell r="H3984">
            <v>0</v>
          </cell>
          <cell r="I3984">
            <v>0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0</v>
          </cell>
          <cell r="R3984">
            <v>0</v>
          </cell>
          <cell r="S3984">
            <v>0</v>
          </cell>
          <cell r="T3984">
            <v>0</v>
          </cell>
          <cell r="U3984">
            <v>0</v>
          </cell>
          <cell r="V3984">
            <v>0</v>
          </cell>
          <cell r="W3984">
            <v>0</v>
          </cell>
        </row>
        <row r="3985">
          <cell r="A3985" t="str">
            <v>453934</v>
          </cell>
          <cell r="B3985" t="str">
            <v>1251</v>
          </cell>
          <cell r="C3985" t="str">
            <v>12</v>
          </cell>
          <cell r="D3985" t="str">
            <v>75</v>
          </cell>
          <cell r="E3985">
            <v>14</v>
          </cell>
          <cell r="G3985">
            <v>0</v>
          </cell>
          <cell r="H3985">
            <v>0</v>
          </cell>
          <cell r="I3985">
            <v>0</v>
          </cell>
          <cell r="J3985">
            <v>0</v>
          </cell>
          <cell r="K3985">
            <v>0</v>
          </cell>
          <cell r="L3985">
            <v>0</v>
          </cell>
          <cell r="M3985">
            <v>0</v>
          </cell>
          <cell r="N3985">
            <v>0</v>
          </cell>
          <cell r="O3985">
            <v>0</v>
          </cell>
          <cell r="P3985">
            <v>0</v>
          </cell>
          <cell r="Q3985">
            <v>0</v>
          </cell>
          <cell r="R3985">
            <v>0</v>
          </cell>
          <cell r="S3985">
            <v>0</v>
          </cell>
          <cell r="T3985">
            <v>0</v>
          </cell>
          <cell r="U3985">
            <v>0</v>
          </cell>
          <cell r="V3985">
            <v>0</v>
          </cell>
          <cell r="W3985">
            <v>0</v>
          </cell>
        </row>
        <row r="3986">
          <cell r="A3986" t="str">
            <v>453934</v>
          </cell>
          <cell r="B3986" t="str">
            <v>1251</v>
          </cell>
          <cell r="C3986" t="str">
            <v>12</v>
          </cell>
          <cell r="D3986" t="str">
            <v>75</v>
          </cell>
          <cell r="E3986">
            <v>15</v>
          </cell>
          <cell r="G3986">
            <v>0</v>
          </cell>
          <cell r="H3986">
            <v>0</v>
          </cell>
          <cell r="I3986">
            <v>0</v>
          </cell>
          <cell r="J3986">
            <v>0</v>
          </cell>
          <cell r="K3986">
            <v>0</v>
          </cell>
          <cell r="L3986">
            <v>0</v>
          </cell>
          <cell r="M3986">
            <v>0</v>
          </cell>
          <cell r="N3986">
            <v>0</v>
          </cell>
          <cell r="O3986">
            <v>0</v>
          </cell>
          <cell r="P3986">
            <v>0</v>
          </cell>
          <cell r="Q3986">
            <v>0</v>
          </cell>
          <cell r="R3986">
            <v>0</v>
          </cell>
          <cell r="S3986">
            <v>0</v>
          </cell>
          <cell r="T3986">
            <v>0</v>
          </cell>
          <cell r="U3986">
            <v>0</v>
          </cell>
          <cell r="V3986">
            <v>0</v>
          </cell>
          <cell r="W3986">
            <v>0</v>
          </cell>
        </row>
        <row r="3987">
          <cell r="A3987" t="str">
            <v>453934</v>
          </cell>
          <cell r="B3987" t="str">
            <v>1251</v>
          </cell>
          <cell r="C3987" t="str">
            <v>12</v>
          </cell>
          <cell r="D3987" t="str">
            <v>75</v>
          </cell>
          <cell r="E3987">
            <v>16</v>
          </cell>
          <cell r="G3987">
            <v>0</v>
          </cell>
          <cell r="H3987">
            <v>0</v>
          </cell>
          <cell r="I3987">
            <v>0</v>
          </cell>
          <cell r="J3987">
            <v>0</v>
          </cell>
          <cell r="K3987">
            <v>0</v>
          </cell>
          <cell r="L3987">
            <v>0</v>
          </cell>
          <cell r="M3987">
            <v>0</v>
          </cell>
          <cell r="N3987">
            <v>0</v>
          </cell>
          <cell r="O3987">
            <v>0</v>
          </cell>
          <cell r="P3987">
            <v>0</v>
          </cell>
          <cell r="Q3987">
            <v>0</v>
          </cell>
          <cell r="R3987">
            <v>0</v>
          </cell>
          <cell r="S3987">
            <v>0</v>
          </cell>
          <cell r="T3987">
            <v>0</v>
          </cell>
          <cell r="U3987">
            <v>0</v>
          </cell>
          <cell r="V3987">
            <v>0</v>
          </cell>
          <cell r="W3987">
            <v>0</v>
          </cell>
        </row>
        <row r="3988">
          <cell r="A3988" t="str">
            <v>453934</v>
          </cell>
          <cell r="B3988" t="str">
            <v>1251</v>
          </cell>
          <cell r="C3988" t="str">
            <v>12</v>
          </cell>
          <cell r="D3988" t="str">
            <v>75</v>
          </cell>
          <cell r="E3988">
            <v>17</v>
          </cell>
          <cell r="G3988">
            <v>0</v>
          </cell>
          <cell r="H3988">
            <v>0</v>
          </cell>
          <cell r="I3988">
            <v>0</v>
          </cell>
          <cell r="J3988">
            <v>0</v>
          </cell>
          <cell r="K3988">
            <v>0</v>
          </cell>
          <cell r="L3988">
            <v>0</v>
          </cell>
          <cell r="M3988">
            <v>0</v>
          </cell>
          <cell r="N3988">
            <v>0</v>
          </cell>
          <cell r="O3988">
            <v>0</v>
          </cell>
          <cell r="P3988">
            <v>0</v>
          </cell>
          <cell r="Q3988">
            <v>0</v>
          </cell>
          <cell r="R3988">
            <v>0</v>
          </cell>
          <cell r="S3988">
            <v>0</v>
          </cell>
          <cell r="T3988">
            <v>0</v>
          </cell>
          <cell r="U3988">
            <v>0</v>
          </cell>
          <cell r="V3988">
            <v>0</v>
          </cell>
          <cell r="W3988">
            <v>0</v>
          </cell>
        </row>
        <row r="3989">
          <cell r="A3989" t="str">
            <v>453934</v>
          </cell>
          <cell r="B3989" t="str">
            <v>1251</v>
          </cell>
          <cell r="C3989" t="str">
            <v>12</v>
          </cell>
          <cell r="D3989" t="str">
            <v>75</v>
          </cell>
          <cell r="E3989">
            <v>18</v>
          </cell>
          <cell r="G3989">
            <v>0</v>
          </cell>
          <cell r="H3989">
            <v>0</v>
          </cell>
          <cell r="I3989">
            <v>0</v>
          </cell>
          <cell r="J3989">
            <v>0</v>
          </cell>
          <cell r="K3989">
            <v>0</v>
          </cell>
          <cell r="L3989">
            <v>0</v>
          </cell>
          <cell r="M3989">
            <v>0</v>
          </cell>
          <cell r="N3989">
            <v>0</v>
          </cell>
          <cell r="O3989">
            <v>0</v>
          </cell>
          <cell r="P3989">
            <v>0</v>
          </cell>
          <cell r="Q3989">
            <v>0</v>
          </cell>
          <cell r="R3989">
            <v>0</v>
          </cell>
          <cell r="S3989">
            <v>0</v>
          </cell>
          <cell r="T3989">
            <v>0</v>
          </cell>
          <cell r="U3989">
            <v>0</v>
          </cell>
          <cell r="V3989">
            <v>0</v>
          </cell>
          <cell r="W3989">
            <v>0</v>
          </cell>
        </row>
        <row r="3990">
          <cell r="A3990" t="str">
            <v>453934</v>
          </cell>
          <cell r="B3990" t="str">
            <v>1251</v>
          </cell>
          <cell r="C3990" t="str">
            <v>12</v>
          </cell>
          <cell r="D3990" t="str">
            <v>75</v>
          </cell>
          <cell r="E3990">
            <v>19</v>
          </cell>
          <cell r="G3990">
            <v>0</v>
          </cell>
          <cell r="H3990">
            <v>0</v>
          </cell>
          <cell r="I3990">
            <v>0</v>
          </cell>
          <cell r="J3990">
            <v>0</v>
          </cell>
          <cell r="K3990">
            <v>0</v>
          </cell>
          <cell r="L3990">
            <v>0</v>
          </cell>
          <cell r="M3990">
            <v>0</v>
          </cell>
          <cell r="N3990">
            <v>0</v>
          </cell>
          <cell r="O3990">
            <v>0</v>
          </cell>
          <cell r="P3990">
            <v>0</v>
          </cell>
          <cell r="Q3990">
            <v>0</v>
          </cell>
          <cell r="R3990">
            <v>0</v>
          </cell>
          <cell r="S3990">
            <v>0</v>
          </cell>
          <cell r="T3990">
            <v>0</v>
          </cell>
          <cell r="U3990">
            <v>0</v>
          </cell>
          <cell r="V3990">
            <v>0</v>
          </cell>
          <cell r="W3990">
            <v>0</v>
          </cell>
        </row>
        <row r="3991">
          <cell r="A3991" t="str">
            <v>453934</v>
          </cell>
          <cell r="B3991" t="str">
            <v>1251</v>
          </cell>
          <cell r="C3991" t="str">
            <v>12</v>
          </cell>
          <cell r="D3991" t="str">
            <v>75</v>
          </cell>
          <cell r="E3991">
            <v>20</v>
          </cell>
          <cell r="G3991">
            <v>0</v>
          </cell>
          <cell r="H3991">
            <v>0</v>
          </cell>
          <cell r="I3991">
            <v>0</v>
          </cell>
          <cell r="J3991">
            <v>0</v>
          </cell>
          <cell r="K3991">
            <v>0</v>
          </cell>
          <cell r="L3991">
            <v>0</v>
          </cell>
          <cell r="M3991">
            <v>0</v>
          </cell>
          <cell r="N3991">
            <v>0</v>
          </cell>
          <cell r="O3991">
            <v>0</v>
          </cell>
          <cell r="P3991">
            <v>0</v>
          </cell>
          <cell r="Q3991">
            <v>0</v>
          </cell>
          <cell r="R3991">
            <v>0</v>
          </cell>
          <cell r="S3991">
            <v>0</v>
          </cell>
          <cell r="T3991">
            <v>0</v>
          </cell>
          <cell r="U3991">
            <v>0</v>
          </cell>
          <cell r="V3991">
            <v>0</v>
          </cell>
          <cell r="W3991">
            <v>0</v>
          </cell>
        </row>
        <row r="3992">
          <cell r="A3992" t="str">
            <v>453934</v>
          </cell>
          <cell r="B3992" t="str">
            <v>1251</v>
          </cell>
          <cell r="C3992" t="str">
            <v>12</v>
          </cell>
          <cell r="D3992" t="str">
            <v>75</v>
          </cell>
          <cell r="E3992">
            <v>21</v>
          </cell>
          <cell r="G3992">
            <v>0</v>
          </cell>
          <cell r="H3992">
            <v>0</v>
          </cell>
          <cell r="I3992">
            <v>0</v>
          </cell>
          <cell r="J3992">
            <v>0</v>
          </cell>
          <cell r="K3992">
            <v>0</v>
          </cell>
          <cell r="L3992">
            <v>0</v>
          </cell>
          <cell r="M3992">
            <v>0</v>
          </cell>
          <cell r="N3992">
            <v>0</v>
          </cell>
          <cell r="O3992">
            <v>0</v>
          </cell>
          <cell r="P3992">
            <v>0</v>
          </cell>
          <cell r="Q3992">
            <v>0</v>
          </cell>
          <cell r="R3992">
            <v>0</v>
          </cell>
          <cell r="S3992">
            <v>0</v>
          </cell>
          <cell r="T3992">
            <v>0</v>
          </cell>
          <cell r="U3992">
            <v>0</v>
          </cell>
          <cell r="V3992">
            <v>0</v>
          </cell>
          <cell r="W3992">
            <v>0</v>
          </cell>
        </row>
        <row r="3993">
          <cell r="A3993" t="str">
            <v>453934</v>
          </cell>
          <cell r="B3993" t="str">
            <v>1251</v>
          </cell>
          <cell r="C3993" t="str">
            <v>12</v>
          </cell>
          <cell r="D3993" t="str">
            <v>75</v>
          </cell>
          <cell r="E3993">
            <v>22</v>
          </cell>
          <cell r="G3993">
            <v>0</v>
          </cell>
          <cell r="H3993">
            <v>0</v>
          </cell>
          <cell r="I3993">
            <v>0</v>
          </cell>
          <cell r="J3993">
            <v>0</v>
          </cell>
          <cell r="K3993">
            <v>0</v>
          </cell>
          <cell r="L3993">
            <v>0</v>
          </cell>
          <cell r="M3993">
            <v>0</v>
          </cell>
          <cell r="N3993">
            <v>0</v>
          </cell>
          <cell r="O3993">
            <v>0</v>
          </cell>
          <cell r="P3993">
            <v>0</v>
          </cell>
          <cell r="Q3993">
            <v>0</v>
          </cell>
          <cell r="R3993">
            <v>0</v>
          </cell>
          <cell r="S3993">
            <v>0</v>
          </cell>
          <cell r="T3993">
            <v>0</v>
          </cell>
          <cell r="U3993">
            <v>0</v>
          </cell>
          <cell r="V3993">
            <v>0</v>
          </cell>
          <cell r="W3993">
            <v>0</v>
          </cell>
        </row>
        <row r="3994">
          <cell r="A3994" t="str">
            <v>453934</v>
          </cell>
          <cell r="B3994" t="str">
            <v>1251</v>
          </cell>
          <cell r="C3994" t="str">
            <v>12</v>
          </cell>
          <cell r="D3994" t="str">
            <v>75</v>
          </cell>
          <cell r="E3994">
            <v>23</v>
          </cell>
          <cell r="G3994">
            <v>14141</v>
          </cell>
          <cell r="H3994">
            <v>0</v>
          </cell>
          <cell r="I3994">
            <v>0</v>
          </cell>
          <cell r="J3994">
            <v>0</v>
          </cell>
          <cell r="K3994">
            <v>0</v>
          </cell>
          <cell r="L3994">
            <v>14141</v>
          </cell>
          <cell r="M3994">
            <v>0</v>
          </cell>
          <cell r="N3994">
            <v>0</v>
          </cell>
          <cell r="O3994">
            <v>0</v>
          </cell>
          <cell r="P3994">
            <v>0</v>
          </cell>
          <cell r="Q3994">
            <v>14141</v>
          </cell>
          <cell r="R3994">
            <v>14141</v>
          </cell>
          <cell r="S3994">
            <v>0</v>
          </cell>
          <cell r="T3994">
            <v>0</v>
          </cell>
          <cell r="U3994">
            <v>0</v>
          </cell>
          <cell r="V3994">
            <v>0</v>
          </cell>
          <cell r="W3994">
            <v>0</v>
          </cell>
        </row>
        <row r="3995">
          <cell r="A3995" t="str">
            <v>453934</v>
          </cell>
          <cell r="B3995" t="str">
            <v>1251</v>
          </cell>
          <cell r="C3995" t="str">
            <v>12</v>
          </cell>
          <cell r="D3995" t="str">
            <v>75</v>
          </cell>
          <cell r="E3995">
            <v>24</v>
          </cell>
          <cell r="G3995">
            <v>4519</v>
          </cell>
          <cell r="H3995">
            <v>0</v>
          </cell>
          <cell r="I3995">
            <v>0</v>
          </cell>
          <cell r="J3995">
            <v>0</v>
          </cell>
          <cell r="K3995">
            <v>0</v>
          </cell>
          <cell r="L3995">
            <v>4458</v>
          </cell>
          <cell r="M3995">
            <v>0</v>
          </cell>
          <cell r="N3995">
            <v>0</v>
          </cell>
          <cell r="O3995">
            <v>0</v>
          </cell>
          <cell r="P3995">
            <v>0</v>
          </cell>
          <cell r="Q3995">
            <v>4458</v>
          </cell>
          <cell r="R3995">
            <v>4458</v>
          </cell>
          <cell r="S3995">
            <v>0</v>
          </cell>
          <cell r="T3995">
            <v>0</v>
          </cell>
          <cell r="U3995">
            <v>0</v>
          </cell>
          <cell r="V3995">
            <v>61</v>
          </cell>
          <cell r="W3995">
            <v>0</v>
          </cell>
        </row>
        <row r="3996">
          <cell r="A3996" t="str">
            <v>453934</v>
          </cell>
          <cell r="B3996" t="str">
            <v>1251</v>
          </cell>
          <cell r="C3996" t="str">
            <v>12</v>
          </cell>
          <cell r="D3996" t="str">
            <v>75</v>
          </cell>
          <cell r="E3996">
            <v>25</v>
          </cell>
          <cell r="G3996">
            <v>7803</v>
          </cell>
          <cell r="H3996">
            <v>0</v>
          </cell>
          <cell r="I3996">
            <v>0</v>
          </cell>
          <cell r="J3996">
            <v>0</v>
          </cell>
          <cell r="K3996">
            <v>0</v>
          </cell>
          <cell r="L3996">
            <v>3409</v>
          </cell>
          <cell r="M3996">
            <v>0</v>
          </cell>
          <cell r="N3996">
            <v>0</v>
          </cell>
          <cell r="O3996">
            <v>0</v>
          </cell>
          <cell r="P3996">
            <v>0</v>
          </cell>
          <cell r="Q3996">
            <v>3321</v>
          </cell>
          <cell r="R3996">
            <v>3321</v>
          </cell>
          <cell r="S3996">
            <v>0</v>
          </cell>
          <cell r="T3996">
            <v>88</v>
          </cell>
          <cell r="U3996">
            <v>0</v>
          </cell>
          <cell r="V3996">
            <v>4394</v>
          </cell>
          <cell r="W3996">
            <v>0</v>
          </cell>
        </row>
        <row r="3997">
          <cell r="A3997" t="str">
            <v>453934</v>
          </cell>
          <cell r="B3997" t="str">
            <v>1251</v>
          </cell>
          <cell r="C3997" t="str">
            <v>12</v>
          </cell>
          <cell r="D3997" t="str">
            <v>75</v>
          </cell>
          <cell r="E3997">
            <v>26</v>
          </cell>
          <cell r="G3997">
            <v>26463</v>
          </cell>
          <cell r="H3997">
            <v>0</v>
          </cell>
          <cell r="I3997">
            <v>0</v>
          </cell>
          <cell r="J3997">
            <v>0</v>
          </cell>
          <cell r="K3997">
            <v>0</v>
          </cell>
          <cell r="L3997">
            <v>22008</v>
          </cell>
          <cell r="M3997">
            <v>0</v>
          </cell>
          <cell r="N3997">
            <v>0</v>
          </cell>
          <cell r="O3997">
            <v>0</v>
          </cell>
          <cell r="P3997">
            <v>0</v>
          </cell>
          <cell r="Q3997">
            <v>21920</v>
          </cell>
          <cell r="R3997">
            <v>21920</v>
          </cell>
          <cell r="S3997">
            <v>0</v>
          </cell>
          <cell r="T3997">
            <v>88</v>
          </cell>
          <cell r="U3997">
            <v>0</v>
          </cell>
          <cell r="V3997">
            <v>4455</v>
          </cell>
          <cell r="W3997">
            <v>0</v>
          </cell>
        </row>
        <row r="3998">
          <cell r="A3998" t="str">
            <v>453934</v>
          </cell>
          <cell r="B3998" t="str">
            <v>1251</v>
          </cell>
          <cell r="C3998" t="str">
            <v>12</v>
          </cell>
          <cell r="D3998" t="str">
            <v>75</v>
          </cell>
          <cell r="E3998">
            <v>27</v>
          </cell>
          <cell r="G3998">
            <v>0</v>
          </cell>
          <cell r="H3998">
            <v>0</v>
          </cell>
          <cell r="I3998">
            <v>0</v>
          </cell>
          <cell r="J3998">
            <v>0</v>
          </cell>
          <cell r="K3998">
            <v>0</v>
          </cell>
          <cell r="L3998">
            <v>0</v>
          </cell>
          <cell r="M3998">
            <v>0</v>
          </cell>
          <cell r="N3998">
            <v>0</v>
          </cell>
          <cell r="O3998">
            <v>0</v>
          </cell>
          <cell r="P3998">
            <v>0</v>
          </cell>
          <cell r="Q3998">
            <v>0</v>
          </cell>
          <cell r="R3998">
            <v>0</v>
          </cell>
          <cell r="S3998">
            <v>0</v>
          </cell>
          <cell r="T3998">
            <v>0</v>
          </cell>
          <cell r="U3998">
            <v>0</v>
          </cell>
          <cell r="V3998">
            <v>0</v>
          </cell>
          <cell r="W3998">
            <v>0</v>
          </cell>
        </row>
        <row r="3999">
          <cell r="A3999" t="str">
            <v>453934</v>
          </cell>
          <cell r="B3999" t="str">
            <v>1251</v>
          </cell>
          <cell r="C3999" t="str">
            <v>12</v>
          </cell>
          <cell r="D3999" t="str">
            <v>75</v>
          </cell>
          <cell r="E3999">
            <v>28</v>
          </cell>
          <cell r="G3999">
            <v>0</v>
          </cell>
          <cell r="H3999">
            <v>0</v>
          </cell>
          <cell r="I3999">
            <v>0</v>
          </cell>
          <cell r="J3999">
            <v>0</v>
          </cell>
          <cell r="K3999">
            <v>0</v>
          </cell>
          <cell r="L3999">
            <v>0</v>
          </cell>
          <cell r="M3999">
            <v>0</v>
          </cell>
          <cell r="N3999">
            <v>0</v>
          </cell>
          <cell r="O3999">
            <v>0</v>
          </cell>
          <cell r="P3999">
            <v>0</v>
          </cell>
          <cell r="Q3999">
            <v>0</v>
          </cell>
          <cell r="R3999">
            <v>0</v>
          </cell>
          <cell r="S3999">
            <v>0</v>
          </cell>
          <cell r="T3999">
            <v>0</v>
          </cell>
          <cell r="U3999">
            <v>0</v>
          </cell>
          <cell r="V3999">
            <v>0</v>
          </cell>
          <cell r="W3999">
            <v>0</v>
          </cell>
        </row>
        <row r="4000">
          <cell r="A4000" t="str">
            <v>453934</v>
          </cell>
          <cell r="B4000" t="str">
            <v>1251</v>
          </cell>
          <cell r="C4000" t="str">
            <v>12</v>
          </cell>
          <cell r="D4000" t="str">
            <v>75</v>
          </cell>
          <cell r="E4000">
            <v>29</v>
          </cell>
          <cell r="G4000">
            <v>0</v>
          </cell>
          <cell r="H4000">
            <v>0</v>
          </cell>
          <cell r="I4000">
            <v>0</v>
          </cell>
          <cell r="J4000">
            <v>0</v>
          </cell>
          <cell r="K4000">
            <v>0</v>
          </cell>
          <cell r="L4000">
            <v>0</v>
          </cell>
          <cell r="M4000">
            <v>0</v>
          </cell>
          <cell r="N4000">
            <v>0</v>
          </cell>
          <cell r="O4000">
            <v>0</v>
          </cell>
          <cell r="P4000">
            <v>0</v>
          </cell>
          <cell r="Q4000">
            <v>0</v>
          </cell>
          <cell r="R4000">
            <v>0</v>
          </cell>
          <cell r="S4000">
            <v>0</v>
          </cell>
          <cell r="T4000">
            <v>0</v>
          </cell>
          <cell r="U4000">
            <v>0</v>
          </cell>
          <cell r="V4000">
            <v>0</v>
          </cell>
          <cell r="W4000">
            <v>0</v>
          </cell>
        </row>
        <row r="4001">
          <cell r="A4001" t="str">
            <v>453934</v>
          </cell>
          <cell r="B4001" t="str">
            <v>1251</v>
          </cell>
          <cell r="C4001" t="str">
            <v>12</v>
          </cell>
          <cell r="D4001" t="str">
            <v>75</v>
          </cell>
          <cell r="E4001">
            <v>30</v>
          </cell>
          <cell r="G4001">
            <v>0</v>
          </cell>
          <cell r="H4001">
            <v>0</v>
          </cell>
          <cell r="I4001">
            <v>0</v>
          </cell>
          <cell r="J4001">
            <v>0</v>
          </cell>
          <cell r="K4001">
            <v>0</v>
          </cell>
          <cell r="L4001">
            <v>0</v>
          </cell>
          <cell r="M4001">
            <v>0</v>
          </cell>
          <cell r="N4001">
            <v>0</v>
          </cell>
          <cell r="O4001">
            <v>0</v>
          </cell>
          <cell r="P4001">
            <v>0</v>
          </cell>
          <cell r="Q4001">
            <v>0</v>
          </cell>
          <cell r="R4001">
            <v>0</v>
          </cell>
          <cell r="S4001">
            <v>0</v>
          </cell>
          <cell r="T4001">
            <v>0</v>
          </cell>
          <cell r="U4001">
            <v>0</v>
          </cell>
          <cell r="V4001">
            <v>0</v>
          </cell>
          <cell r="W4001">
            <v>0</v>
          </cell>
        </row>
        <row r="4002">
          <cell r="A4002" t="str">
            <v>453934</v>
          </cell>
          <cell r="B4002" t="str">
            <v>1251</v>
          </cell>
          <cell r="C4002" t="str">
            <v>12</v>
          </cell>
          <cell r="D4002" t="str">
            <v>75</v>
          </cell>
          <cell r="E4002">
            <v>31</v>
          </cell>
          <cell r="G4002">
            <v>0</v>
          </cell>
          <cell r="H4002">
            <v>0</v>
          </cell>
          <cell r="I4002">
            <v>0</v>
          </cell>
          <cell r="J4002">
            <v>0</v>
          </cell>
          <cell r="K4002">
            <v>0</v>
          </cell>
          <cell r="L4002">
            <v>0</v>
          </cell>
          <cell r="M4002">
            <v>0</v>
          </cell>
          <cell r="N4002">
            <v>0</v>
          </cell>
          <cell r="O4002">
            <v>0</v>
          </cell>
          <cell r="P4002">
            <v>0</v>
          </cell>
          <cell r="Q4002">
            <v>0</v>
          </cell>
          <cell r="R4002">
            <v>0</v>
          </cell>
          <cell r="S4002">
            <v>0</v>
          </cell>
          <cell r="T4002">
            <v>0</v>
          </cell>
          <cell r="U4002">
            <v>0</v>
          </cell>
          <cell r="V4002">
            <v>0</v>
          </cell>
          <cell r="W4002">
            <v>0</v>
          </cell>
        </row>
        <row r="4003">
          <cell r="A4003" t="str">
            <v>453934</v>
          </cell>
          <cell r="B4003" t="str">
            <v>1251</v>
          </cell>
          <cell r="C4003" t="str">
            <v>12</v>
          </cell>
          <cell r="D4003" t="str">
            <v>75</v>
          </cell>
          <cell r="E4003">
            <v>32</v>
          </cell>
          <cell r="G4003">
            <v>0</v>
          </cell>
          <cell r="H4003">
            <v>0</v>
          </cell>
          <cell r="I4003">
            <v>0</v>
          </cell>
          <cell r="J4003">
            <v>0</v>
          </cell>
          <cell r="K4003">
            <v>0</v>
          </cell>
          <cell r="L4003">
            <v>0</v>
          </cell>
          <cell r="M4003">
            <v>0</v>
          </cell>
          <cell r="N4003">
            <v>0</v>
          </cell>
          <cell r="O4003">
            <v>0</v>
          </cell>
          <cell r="P4003">
            <v>0</v>
          </cell>
          <cell r="Q4003">
            <v>0</v>
          </cell>
          <cell r="R4003">
            <v>0</v>
          </cell>
          <cell r="S4003">
            <v>0</v>
          </cell>
          <cell r="T4003">
            <v>0</v>
          </cell>
          <cell r="U4003">
            <v>0</v>
          </cell>
          <cell r="V4003">
            <v>0</v>
          </cell>
          <cell r="W4003">
            <v>0</v>
          </cell>
        </row>
        <row r="4004">
          <cell r="A4004" t="str">
            <v>453934</v>
          </cell>
          <cell r="B4004" t="str">
            <v>1251</v>
          </cell>
          <cell r="C4004" t="str">
            <v>12</v>
          </cell>
          <cell r="D4004" t="str">
            <v>75</v>
          </cell>
          <cell r="E4004">
            <v>33</v>
          </cell>
          <cell r="G4004">
            <v>0</v>
          </cell>
          <cell r="H4004">
            <v>0</v>
          </cell>
          <cell r="I4004">
            <v>0</v>
          </cell>
          <cell r="J4004">
            <v>0</v>
          </cell>
          <cell r="K4004">
            <v>0</v>
          </cell>
          <cell r="L4004">
            <v>0</v>
          </cell>
          <cell r="M4004">
            <v>0</v>
          </cell>
          <cell r="N4004">
            <v>0</v>
          </cell>
          <cell r="O4004">
            <v>0</v>
          </cell>
          <cell r="P4004">
            <v>0</v>
          </cell>
          <cell r="Q4004">
            <v>0</v>
          </cell>
          <cell r="R4004">
            <v>0</v>
          </cell>
          <cell r="S4004">
            <v>0</v>
          </cell>
          <cell r="T4004">
            <v>0</v>
          </cell>
          <cell r="U4004">
            <v>0</v>
          </cell>
          <cell r="V4004">
            <v>0</v>
          </cell>
          <cell r="W4004">
            <v>0</v>
          </cell>
        </row>
        <row r="4005">
          <cell r="A4005" t="str">
            <v>453934</v>
          </cell>
          <cell r="B4005" t="str">
            <v>1251</v>
          </cell>
          <cell r="C4005" t="str">
            <v>12</v>
          </cell>
          <cell r="D4005" t="str">
            <v>75</v>
          </cell>
          <cell r="E4005">
            <v>34</v>
          </cell>
          <cell r="G4005">
            <v>26960</v>
          </cell>
          <cell r="H4005">
            <v>0</v>
          </cell>
          <cell r="I4005">
            <v>0</v>
          </cell>
          <cell r="J4005">
            <v>0</v>
          </cell>
          <cell r="K4005">
            <v>0</v>
          </cell>
          <cell r="L4005">
            <v>22504</v>
          </cell>
          <cell r="M4005">
            <v>0</v>
          </cell>
          <cell r="N4005">
            <v>0</v>
          </cell>
          <cell r="O4005">
            <v>0</v>
          </cell>
          <cell r="P4005">
            <v>0</v>
          </cell>
          <cell r="Q4005">
            <v>22416</v>
          </cell>
          <cell r="R4005">
            <v>22416</v>
          </cell>
          <cell r="S4005">
            <v>0</v>
          </cell>
          <cell r="T4005">
            <v>88</v>
          </cell>
          <cell r="U4005">
            <v>0</v>
          </cell>
          <cell r="V4005">
            <v>4456</v>
          </cell>
          <cell r="W4005">
            <v>0</v>
          </cell>
        </row>
        <row r="4006">
          <cell r="A4006" t="str">
            <v>453934</v>
          </cell>
          <cell r="B4006" t="str">
            <v>1251</v>
          </cell>
          <cell r="C4006" t="str">
            <v>12</v>
          </cell>
          <cell r="D4006" t="str">
            <v>80</v>
          </cell>
          <cell r="E4006">
            <v>1</v>
          </cell>
          <cell r="G4006">
            <v>12742</v>
          </cell>
          <cell r="H4006">
            <v>12772</v>
          </cell>
          <cell r="I4006">
            <v>12772</v>
          </cell>
          <cell r="J4006">
            <v>0</v>
          </cell>
          <cell r="K4006">
            <v>638</v>
          </cell>
          <cell r="L4006">
            <v>900</v>
          </cell>
          <cell r="M4006">
            <v>900</v>
          </cell>
          <cell r="N4006">
            <v>0</v>
          </cell>
          <cell r="O4006">
            <v>421</v>
          </cell>
          <cell r="P4006">
            <v>469</v>
          </cell>
          <cell r="Q4006">
            <v>469</v>
          </cell>
          <cell r="R4006">
            <v>0</v>
          </cell>
          <cell r="S4006">
            <v>13801</v>
          </cell>
          <cell r="T4006">
            <v>14141</v>
          </cell>
          <cell r="U4006">
            <v>14141</v>
          </cell>
          <cell r="V4006">
            <v>0</v>
          </cell>
          <cell r="W4006">
            <v>0</v>
          </cell>
        </row>
        <row r="4007">
          <cell r="A4007" t="str">
            <v>453934</v>
          </cell>
          <cell r="B4007" t="str">
            <v>1251</v>
          </cell>
          <cell r="C4007" t="str">
            <v>12</v>
          </cell>
          <cell r="D4007" t="str">
            <v>80</v>
          </cell>
          <cell r="E4007">
            <v>5</v>
          </cell>
          <cell r="G4007">
            <v>4328</v>
          </cell>
          <cell r="H4007">
            <v>4345</v>
          </cell>
          <cell r="I4007">
            <v>4284</v>
          </cell>
          <cell r="J4007">
            <v>0</v>
          </cell>
          <cell r="K4007">
            <v>160</v>
          </cell>
          <cell r="L4007">
            <v>174</v>
          </cell>
          <cell r="M4007">
            <v>174</v>
          </cell>
          <cell r="N4007">
            <v>0</v>
          </cell>
          <cell r="O4007">
            <v>4581</v>
          </cell>
          <cell r="P4007">
            <v>6520</v>
          </cell>
          <cell r="Q4007">
            <v>2976</v>
          </cell>
          <cell r="R4007">
            <v>0</v>
          </cell>
          <cell r="S4007">
            <v>641</v>
          </cell>
          <cell r="T4007">
            <v>1133</v>
          </cell>
          <cell r="U4007">
            <v>285</v>
          </cell>
          <cell r="V4007">
            <v>0</v>
          </cell>
          <cell r="W4007">
            <v>0</v>
          </cell>
        </row>
        <row r="4008">
          <cell r="A4008" t="str">
            <v>453934</v>
          </cell>
          <cell r="B4008" t="str">
            <v>1251</v>
          </cell>
          <cell r="C4008" t="str">
            <v>12</v>
          </cell>
          <cell r="D4008" t="str">
            <v>80</v>
          </cell>
          <cell r="E4008">
            <v>9</v>
          </cell>
          <cell r="G4008">
            <v>150</v>
          </cell>
          <cell r="H4008">
            <v>150</v>
          </cell>
          <cell r="I4008">
            <v>60</v>
          </cell>
          <cell r="J4008">
            <v>0</v>
          </cell>
          <cell r="K4008">
            <v>0</v>
          </cell>
          <cell r="L4008">
            <v>0</v>
          </cell>
          <cell r="M4008">
            <v>0</v>
          </cell>
          <cell r="N4008">
            <v>0</v>
          </cell>
          <cell r="O4008">
            <v>0</v>
          </cell>
          <cell r="P4008">
            <v>0</v>
          </cell>
          <cell r="Q4008">
            <v>0</v>
          </cell>
          <cell r="R4008">
            <v>0</v>
          </cell>
          <cell r="S4008">
            <v>0</v>
          </cell>
          <cell r="T4008">
            <v>0</v>
          </cell>
          <cell r="U4008">
            <v>0</v>
          </cell>
          <cell r="V4008">
            <v>0</v>
          </cell>
          <cell r="W4008">
            <v>0</v>
          </cell>
        </row>
        <row r="4009">
          <cell r="A4009" t="str">
            <v>453934</v>
          </cell>
          <cell r="B4009" t="str">
            <v>1251</v>
          </cell>
          <cell r="C4009" t="str">
            <v>12</v>
          </cell>
          <cell r="D4009" t="str">
            <v>80</v>
          </cell>
          <cell r="E4009">
            <v>13</v>
          </cell>
          <cell r="G4009">
            <v>0</v>
          </cell>
          <cell r="H4009">
            <v>0</v>
          </cell>
          <cell r="I4009">
            <v>0</v>
          </cell>
          <cell r="J4009">
            <v>0</v>
          </cell>
          <cell r="K4009">
            <v>0</v>
          </cell>
          <cell r="L4009">
            <v>0</v>
          </cell>
          <cell r="M4009">
            <v>0</v>
          </cell>
          <cell r="N4009">
            <v>0</v>
          </cell>
          <cell r="O4009">
            <v>0</v>
          </cell>
          <cell r="P4009">
            <v>0</v>
          </cell>
          <cell r="Q4009">
            <v>0</v>
          </cell>
          <cell r="R4009">
            <v>0</v>
          </cell>
          <cell r="S4009">
            <v>0</v>
          </cell>
          <cell r="T4009">
            <v>0</v>
          </cell>
          <cell r="U4009">
            <v>0</v>
          </cell>
          <cell r="V4009">
            <v>0</v>
          </cell>
          <cell r="W4009">
            <v>0</v>
          </cell>
        </row>
        <row r="4010">
          <cell r="A4010" t="str">
            <v>453934</v>
          </cell>
          <cell r="B4010" t="str">
            <v>1251</v>
          </cell>
          <cell r="C4010" t="str">
            <v>12</v>
          </cell>
          <cell r="D4010" t="str">
            <v>80</v>
          </cell>
          <cell r="E4010">
            <v>17</v>
          </cell>
          <cell r="G4010">
            <v>0</v>
          </cell>
          <cell r="H4010">
            <v>0</v>
          </cell>
          <cell r="I4010">
            <v>0</v>
          </cell>
          <cell r="J4010">
            <v>0</v>
          </cell>
          <cell r="K4010">
            <v>0</v>
          </cell>
          <cell r="L4010">
            <v>0</v>
          </cell>
          <cell r="M4010">
            <v>0</v>
          </cell>
          <cell r="N4010">
            <v>0</v>
          </cell>
          <cell r="O4010">
            <v>0</v>
          </cell>
          <cell r="P4010">
            <v>0</v>
          </cell>
          <cell r="Q4010">
            <v>0</v>
          </cell>
          <cell r="R4010">
            <v>0</v>
          </cell>
          <cell r="S4010">
            <v>0</v>
          </cell>
          <cell r="T4010">
            <v>0</v>
          </cell>
          <cell r="U4010">
            <v>0</v>
          </cell>
          <cell r="V4010">
            <v>0</v>
          </cell>
          <cell r="W4010">
            <v>0</v>
          </cell>
        </row>
        <row r="4011">
          <cell r="A4011" t="str">
            <v>453934</v>
          </cell>
          <cell r="B4011" t="str">
            <v>1251</v>
          </cell>
          <cell r="C4011" t="str">
            <v>12</v>
          </cell>
          <cell r="D4011" t="str">
            <v>80</v>
          </cell>
          <cell r="E4011">
            <v>21</v>
          </cell>
          <cell r="G4011">
            <v>0</v>
          </cell>
          <cell r="H4011">
            <v>0</v>
          </cell>
          <cell r="I4011">
            <v>0</v>
          </cell>
          <cell r="J4011">
            <v>0</v>
          </cell>
          <cell r="K4011">
            <v>0</v>
          </cell>
          <cell r="L4011">
            <v>0</v>
          </cell>
          <cell r="M4011">
            <v>0</v>
          </cell>
          <cell r="N4011">
            <v>0</v>
          </cell>
          <cell r="O4011">
            <v>0</v>
          </cell>
          <cell r="P4011">
            <v>0</v>
          </cell>
          <cell r="Q4011">
            <v>0</v>
          </cell>
          <cell r="R4011">
            <v>0</v>
          </cell>
          <cell r="S4011">
            <v>0</v>
          </cell>
          <cell r="T4011">
            <v>0</v>
          </cell>
          <cell r="U4011">
            <v>0</v>
          </cell>
          <cell r="V4011">
            <v>0</v>
          </cell>
          <cell r="W4011">
            <v>0</v>
          </cell>
        </row>
        <row r="4012">
          <cell r="A4012" t="str">
            <v>453934</v>
          </cell>
          <cell r="B4012" t="str">
            <v>1251</v>
          </cell>
          <cell r="C4012" t="str">
            <v>12</v>
          </cell>
          <cell r="D4012" t="str">
            <v>80</v>
          </cell>
          <cell r="E4012">
            <v>25</v>
          </cell>
          <cell r="G4012">
            <v>0</v>
          </cell>
          <cell r="H4012">
            <v>0</v>
          </cell>
          <cell r="I4012">
            <v>0</v>
          </cell>
          <cell r="J4012">
            <v>0</v>
          </cell>
          <cell r="K4012">
            <v>0</v>
          </cell>
          <cell r="L4012">
            <v>0</v>
          </cell>
          <cell r="M4012">
            <v>0</v>
          </cell>
          <cell r="N4012">
            <v>0</v>
          </cell>
          <cell r="O4012">
            <v>0</v>
          </cell>
          <cell r="P4012">
            <v>0</v>
          </cell>
          <cell r="Q4012">
            <v>0</v>
          </cell>
          <cell r="R4012">
            <v>0</v>
          </cell>
          <cell r="S4012">
            <v>0</v>
          </cell>
          <cell r="T4012">
            <v>0</v>
          </cell>
          <cell r="U4012">
            <v>0</v>
          </cell>
          <cell r="V4012">
            <v>0</v>
          </cell>
          <cell r="W4012">
            <v>0</v>
          </cell>
        </row>
        <row r="4013">
          <cell r="A4013" t="str">
            <v>453934</v>
          </cell>
          <cell r="B4013" t="str">
            <v>1251</v>
          </cell>
          <cell r="C4013" t="str">
            <v>12</v>
          </cell>
          <cell r="D4013" t="str">
            <v>80</v>
          </cell>
          <cell r="E4013">
            <v>29</v>
          </cell>
          <cell r="G4013">
            <v>0</v>
          </cell>
          <cell r="H4013">
            <v>0</v>
          </cell>
          <cell r="I4013">
            <v>0</v>
          </cell>
          <cell r="J4013">
            <v>0</v>
          </cell>
          <cell r="K4013">
            <v>0</v>
          </cell>
          <cell r="L4013">
            <v>0</v>
          </cell>
          <cell r="M4013">
            <v>0</v>
          </cell>
          <cell r="N4013">
            <v>0</v>
          </cell>
          <cell r="O4013">
            <v>0</v>
          </cell>
          <cell r="P4013">
            <v>0</v>
          </cell>
          <cell r="Q4013">
            <v>0</v>
          </cell>
          <cell r="R4013">
            <v>0</v>
          </cell>
          <cell r="S4013">
            <v>0</v>
          </cell>
          <cell r="T4013">
            <v>0</v>
          </cell>
          <cell r="U4013">
            <v>0</v>
          </cell>
          <cell r="V4013">
            <v>0</v>
          </cell>
          <cell r="W4013">
            <v>0</v>
          </cell>
        </row>
        <row r="4014">
          <cell r="A4014" t="str">
            <v>453934</v>
          </cell>
          <cell r="B4014" t="str">
            <v>1251</v>
          </cell>
          <cell r="C4014" t="str">
            <v>12</v>
          </cell>
          <cell r="D4014" t="str">
            <v>80</v>
          </cell>
          <cell r="E4014">
            <v>33</v>
          </cell>
          <cell r="G4014">
            <v>0</v>
          </cell>
          <cell r="H4014">
            <v>0</v>
          </cell>
          <cell r="I4014">
            <v>0</v>
          </cell>
          <cell r="J4014">
            <v>0</v>
          </cell>
          <cell r="K4014">
            <v>0</v>
          </cell>
          <cell r="L4014">
            <v>0</v>
          </cell>
          <cell r="M4014">
            <v>0</v>
          </cell>
          <cell r="N4014">
            <v>0</v>
          </cell>
          <cell r="O4014">
            <v>0</v>
          </cell>
          <cell r="P4014">
            <v>0</v>
          </cell>
          <cell r="Q4014">
            <v>0</v>
          </cell>
          <cell r="R4014">
            <v>0</v>
          </cell>
          <cell r="S4014">
            <v>0</v>
          </cell>
          <cell r="T4014">
            <v>0</v>
          </cell>
          <cell r="U4014">
            <v>0</v>
          </cell>
          <cell r="V4014">
            <v>0</v>
          </cell>
          <cell r="W4014">
            <v>0</v>
          </cell>
        </row>
        <row r="4015">
          <cell r="A4015" t="str">
            <v>453934</v>
          </cell>
          <cell r="B4015" t="str">
            <v>1251</v>
          </cell>
          <cell r="C4015" t="str">
            <v>12</v>
          </cell>
          <cell r="D4015" t="str">
            <v>80</v>
          </cell>
          <cell r="E4015">
            <v>37</v>
          </cell>
          <cell r="G4015">
            <v>0</v>
          </cell>
          <cell r="H4015">
            <v>0</v>
          </cell>
          <cell r="I4015">
            <v>0</v>
          </cell>
          <cell r="J4015">
            <v>0</v>
          </cell>
          <cell r="K4015">
            <v>23661</v>
          </cell>
          <cell r="L4015">
            <v>26463</v>
          </cell>
          <cell r="M4015">
            <v>21920</v>
          </cell>
          <cell r="N4015">
            <v>0</v>
          </cell>
          <cell r="O4015">
            <v>0</v>
          </cell>
          <cell r="P4015">
            <v>0</v>
          </cell>
          <cell r="Q4015">
            <v>0</v>
          </cell>
          <cell r="R4015">
            <v>0</v>
          </cell>
          <cell r="S4015">
            <v>0</v>
          </cell>
          <cell r="T4015">
            <v>414</v>
          </cell>
          <cell r="U4015">
            <v>413</v>
          </cell>
          <cell r="V4015">
            <v>0</v>
          </cell>
          <cell r="W4015">
            <v>0</v>
          </cell>
        </row>
        <row r="4016">
          <cell r="A4016" t="str">
            <v>453934</v>
          </cell>
          <cell r="B4016" t="str">
            <v>1251</v>
          </cell>
          <cell r="C4016" t="str">
            <v>12</v>
          </cell>
          <cell r="D4016" t="str">
            <v>80</v>
          </cell>
          <cell r="E4016">
            <v>41</v>
          </cell>
          <cell r="G4016">
            <v>0</v>
          </cell>
          <cell r="H4016">
            <v>83</v>
          </cell>
          <cell r="I4016">
            <v>83</v>
          </cell>
          <cell r="J4016">
            <v>0</v>
          </cell>
          <cell r="K4016">
            <v>0</v>
          </cell>
          <cell r="L4016">
            <v>0</v>
          </cell>
          <cell r="M4016">
            <v>0</v>
          </cell>
          <cell r="N4016">
            <v>0</v>
          </cell>
          <cell r="O4016">
            <v>0</v>
          </cell>
          <cell r="P4016">
            <v>0</v>
          </cell>
          <cell r="Q4016">
            <v>0</v>
          </cell>
          <cell r="R4016">
            <v>0</v>
          </cell>
          <cell r="S4016">
            <v>0</v>
          </cell>
          <cell r="T4016">
            <v>0</v>
          </cell>
          <cell r="U4016">
            <v>0</v>
          </cell>
          <cell r="V4016">
            <v>0</v>
          </cell>
          <cell r="W4016">
            <v>0</v>
          </cell>
        </row>
        <row r="4017">
          <cell r="A4017" t="str">
            <v>453934</v>
          </cell>
          <cell r="B4017" t="str">
            <v>1251</v>
          </cell>
          <cell r="C4017" t="str">
            <v>12</v>
          </cell>
          <cell r="D4017" t="str">
            <v>80</v>
          </cell>
          <cell r="E4017">
            <v>45</v>
          </cell>
          <cell r="G4017">
            <v>0</v>
          </cell>
          <cell r="H4017">
            <v>0</v>
          </cell>
          <cell r="I4017">
            <v>0</v>
          </cell>
          <cell r="J4017">
            <v>0</v>
          </cell>
          <cell r="K4017">
            <v>0</v>
          </cell>
          <cell r="L4017">
            <v>0</v>
          </cell>
          <cell r="M4017">
            <v>0</v>
          </cell>
          <cell r="N4017">
            <v>0</v>
          </cell>
          <cell r="O4017">
            <v>0</v>
          </cell>
          <cell r="P4017">
            <v>0</v>
          </cell>
          <cell r="Q4017">
            <v>0</v>
          </cell>
          <cell r="R4017">
            <v>0</v>
          </cell>
          <cell r="S4017">
            <v>0</v>
          </cell>
          <cell r="T4017">
            <v>0</v>
          </cell>
          <cell r="U4017">
            <v>0</v>
          </cell>
          <cell r="V4017">
            <v>0</v>
          </cell>
          <cell r="W4017">
            <v>0</v>
          </cell>
        </row>
        <row r="4018">
          <cell r="A4018" t="str">
            <v>453934</v>
          </cell>
          <cell r="B4018" t="str">
            <v>1251</v>
          </cell>
          <cell r="C4018" t="str">
            <v>12</v>
          </cell>
          <cell r="D4018" t="str">
            <v>80</v>
          </cell>
          <cell r="E4018">
            <v>49</v>
          </cell>
          <cell r="G4018">
            <v>0</v>
          </cell>
          <cell r="H4018">
            <v>0</v>
          </cell>
          <cell r="I4018">
            <v>0</v>
          </cell>
          <cell r="J4018">
            <v>0</v>
          </cell>
          <cell r="K4018">
            <v>0</v>
          </cell>
          <cell r="L4018">
            <v>0</v>
          </cell>
          <cell r="M4018">
            <v>0</v>
          </cell>
          <cell r="N4018">
            <v>0</v>
          </cell>
          <cell r="O4018">
            <v>0</v>
          </cell>
          <cell r="P4018">
            <v>0</v>
          </cell>
          <cell r="Q4018">
            <v>0</v>
          </cell>
          <cell r="R4018">
            <v>0</v>
          </cell>
          <cell r="S4018">
            <v>0</v>
          </cell>
          <cell r="T4018">
            <v>0</v>
          </cell>
          <cell r="U4018">
            <v>0</v>
          </cell>
          <cell r="V4018">
            <v>0</v>
          </cell>
          <cell r="W4018">
            <v>0</v>
          </cell>
        </row>
        <row r="4019">
          <cell r="A4019" t="str">
            <v>453934</v>
          </cell>
          <cell r="B4019" t="str">
            <v>1251</v>
          </cell>
          <cell r="C4019" t="str">
            <v>12</v>
          </cell>
          <cell r="D4019" t="str">
            <v>80</v>
          </cell>
          <cell r="E4019">
            <v>53</v>
          </cell>
          <cell r="G4019">
            <v>0</v>
          </cell>
          <cell r="H4019">
            <v>0</v>
          </cell>
          <cell r="I4019">
            <v>0</v>
          </cell>
          <cell r="J4019">
            <v>0</v>
          </cell>
          <cell r="K4019">
            <v>0</v>
          </cell>
          <cell r="L4019">
            <v>0</v>
          </cell>
          <cell r="M4019">
            <v>0</v>
          </cell>
          <cell r="N4019">
            <v>0</v>
          </cell>
          <cell r="O4019">
            <v>0</v>
          </cell>
          <cell r="P4019">
            <v>0</v>
          </cell>
          <cell r="Q4019">
            <v>0</v>
          </cell>
          <cell r="R4019">
            <v>0</v>
          </cell>
          <cell r="S4019">
            <v>0</v>
          </cell>
          <cell r="T4019">
            <v>0</v>
          </cell>
          <cell r="U4019">
            <v>0</v>
          </cell>
          <cell r="V4019">
            <v>0</v>
          </cell>
          <cell r="W4019">
            <v>0</v>
          </cell>
        </row>
        <row r="4020">
          <cell r="A4020" t="str">
            <v>453934</v>
          </cell>
          <cell r="B4020" t="str">
            <v>1251</v>
          </cell>
          <cell r="C4020" t="str">
            <v>12</v>
          </cell>
          <cell r="D4020" t="str">
            <v>80</v>
          </cell>
          <cell r="E4020">
            <v>57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0</v>
          </cell>
          <cell r="R4020">
            <v>0</v>
          </cell>
          <cell r="S4020">
            <v>0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</row>
        <row r="4021">
          <cell r="A4021" t="str">
            <v>453934</v>
          </cell>
          <cell r="B4021" t="str">
            <v>1251</v>
          </cell>
          <cell r="C4021" t="str">
            <v>12</v>
          </cell>
          <cell r="D4021" t="str">
            <v>80</v>
          </cell>
          <cell r="E4021">
            <v>61</v>
          </cell>
          <cell r="G4021">
            <v>0</v>
          </cell>
          <cell r="H4021">
            <v>497</v>
          </cell>
          <cell r="I4021">
            <v>496</v>
          </cell>
          <cell r="J4021">
            <v>0</v>
          </cell>
          <cell r="K4021">
            <v>0</v>
          </cell>
          <cell r="L4021">
            <v>0</v>
          </cell>
          <cell r="M4021">
            <v>0</v>
          </cell>
          <cell r="N4021">
            <v>0</v>
          </cell>
          <cell r="O4021">
            <v>0</v>
          </cell>
          <cell r="P4021">
            <v>0</v>
          </cell>
          <cell r="Q4021">
            <v>0</v>
          </cell>
          <cell r="R4021">
            <v>0</v>
          </cell>
          <cell r="S4021">
            <v>0</v>
          </cell>
          <cell r="T4021">
            <v>0</v>
          </cell>
          <cell r="U4021">
            <v>0</v>
          </cell>
          <cell r="V4021">
            <v>0</v>
          </cell>
          <cell r="W4021">
            <v>0</v>
          </cell>
        </row>
        <row r="4022">
          <cell r="A4022" t="str">
            <v>453934</v>
          </cell>
          <cell r="B4022" t="str">
            <v>1251</v>
          </cell>
          <cell r="C4022" t="str">
            <v>12</v>
          </cell>
          <cell r="D4022" t="str">
            <v>80</v>
          </cell>
          <cell r="E4022">
            <v>65</v>
          </cell>
          <cell r="G4022">
            <v>0</v>
          </cell>
          <cell r="H4022">
            <v>0</v>
          </cell>
          <cell r="I4022">
            <v>0</v>
          </cell>
          <cell r="J4022">
            <v>0</v>
          </cell>
          <cell r="K4022">
            <v>0</v>
          </cell>
          <cell r="L4022">
            <v>0</v>
          </cell>
          <cell r="M4022">
            <v>0</v>
          </cell>
          <cell r="N4022">
            <v>0</v>
          </cell>
          <cell r="O4022">
            <v>23661</v>
          </cell>
          <cell r="P4022">
            <v>26960</v>
          </cell>
          <cell r="Q4022">
            <v>22416</v>
          </cell>
          <cell r="R4022">
            <v>0</v>
          </cell>
          <cell r="S4022">
            <v>0</v>
          </cell>
          <cell r="T4022">
            <v>0</v>
          </cell>
          <cell r="U4022">
            <v>0</v>
          </cell>
          <cell r="V4022">
            <v>0</v>
          </cell>
          <cell r="W4022">
            <v>0</v>
          </cell>
        </row>
        <row r="4023">
          <cell r="A4023" t="str">
            <v>453934</v>
          </cell>
          <cell r="B4023" t="str">
            <v>1251</v>
          </cell>
          <cell r="C4023" t="str">
            <v>12</v>
          </cell>
          <cell r="D4023" t="str">
            <v>80</v>
          </cell>
          <cell r="E4023">
            <v>69</v>
          </cell>
          <cell r="G4023">
            <v>0</v>
          </cell>
          <cell r="H4023">
            <v>0</v>
          </cell>
          <cell r="I4023">
            <v>0</v>
          </cell>
          <cell r="J4023">
            <v>0</v>
          </cell>
          <cell r="K4023">
            <v>0</v>
          </cell>
          <cell r="L4023">
            <v>0</v>
          </cell>
          <cell r="M4023">
            <v>0</v>
          </cell>
          <cell r="N4023">
            <v>0</v>
          </cell>
          <cell r="O4023">
            <v>0</v>
          </cell>
          <cell r="P4023">
            <v>5</v>
          </cell>
          <cell r="Q4023">
            <v>5</v>
          </cell>
          <cell r="R4023">
            <v>0</v>
          </cell>
          <cell r="S4023">
            <v>0</v>
          </cell>
          <cell r="T4023">
            <v>0</v>
          </cell>
          <cell r="U4023">
            <v>0</v>
          </cell>
          <cell r="V4023">
            <v>0</v>
          </cell>
          <cell r="W4023">
            <v>0</v>
          </cell>
        </row>
        <row r="4024">
          <cell r="A4024" t="str">
            <v>453934</v>
          </cell>
          <cell r="B4024" t="str">
            <v>1251</v>
          </cell>
          <cell r="C4024" t="str">
            <v>12</v>
          </cell>
          <cell r="D4024" t="str">
            <v>80</v>
          </cell>
          <cell r="E4024">
            <v>73</v>
          </cell>
          <cell r="G4024">
            <v>0</v>
          </cell>
          <cell r="H4024">
            <v>0</v>
          </cell>
          <cell r="I4024">
            <v>0</v>
          </cell>
          <cell r="J4024">
            <v>0</v>
          </cell>
          <cell r="K4024">
            <v>0</v>
          </cell>
          <cell r="L4024">
            <v>0</v>
          </cell>
          <cell r="M4024">
            <v>0</v>
          </cell>
          <cell r="N4024">
            <v>0</v>
          </cell>
          <cell r="O4024">
            <v>0</v>
          </cell>
          <cell r="P4024">
            <v>0</v>
          </cell>
          <cell r="Q4024">
            <v>0</v>
          </cell>
          <cell r="R4024">
            <v>0</v>
          </cell>
          <cell r="S4024">
            <v>0</v>
          </cell>
          <cell r="T4024">
            <v>0</v>
          </cell>
          <cell r="U4024">
            <v>0</v>
          </cell>
          <cell r="V4024">
            <v>0</v>
          </cell>
          <cell r="W4024">
            <v>0</v>
          </cell>
        </row>
        <row r="4025">
          <cell r="A4025" t="str">
            <v>453934</v>
          </cell>
          <cell r="B4025" t="str">
            <v>1251</v>
          </cell>
          <cell r="C4025" t="str">
            <v>12</v>
          </cell>
          <cell r="D4025" t="str">
            <v>80</v>
          </cell>
          <cell r="E4025">
            <v>77</v>
          </cell>
          <cell r="G4025">
            <v>0</v>
          </cell>
          <cell r="H4025">
            <v>0</v>
          </cell>
          <cell r="I4025">
            <v>0</v>
          </cell>
          <cell r="J4025">
            <v>0</v>
          </cell>
          <cell r="K4025">
            <v>0</v>
          </cell>
          <cell r="L4025">
            <v>0</v>
          </cell>
          <cell r="M4025">
            <v>0</v>
          </cell>
          <cell r="N4025">
            <v>0</v>
          </cell>
          <cell r="O4025">
            <v>0</v>
          </cell>
          <cell r="P4025">
            <v>0</v>
          </cell>
          <cell r="Q4025">
            <v>0</v>
          </cell>
          <cell r="R4025">
            <v>0</v>
          </cell>
          <cell r="S4025">
            <v>0</v>
          </cell>
          <cell r="T4025">
            <v>0</v>
          </cell>
          <cell r="U4025">
            <v>0</v>
          </cell>
          <cell r="V4025">
            <v>0</v>
          </cell>
          <cell r="W4025">
            <v>0</v>
          </cell>
        </row>
        <row r="4026">
          <cell r="A4026" t="str">
            <v>453934</v>
          </cell>
          <cell r="B4026" t="str">
            <v>1251</v>
          </cell>
          <cell r="C4026" t="str">
            <v>12</v>
          </cell>
          <cell r="D4026" t="str">
            <v>80</v>
          </cell>
          <cell r="E4026">
            <v>81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</row>
        <row r="4027">
          <cell r="A4027" t="str">
            <v>453934</v>
          </cell>
          <cell r="B4027" t="str">
            <v>1251</v>
          </cell>
          <cell r="C4027" t="str">
            <v>12</v>
          </cell>
          <cell r="D4027" t="str">
            <v>80</v>
          </cell>
          <cell r="E4027">
            <v>85</v>
          </cell>
          <cell r="G4027">
            <v>0</v>
          </cell>
          <cell r="H4027">
            <v>0</v>
          </cell>
          <cell r="I4027">
            <v>0</v>
          </cell>
          <cell r="J4027">
            <v>0</v>
          </cell>
          <cell r="K4027">
            <v>0</v>
          </cell>
          <cell r="L4027">
            <v>0</v>
          </cell>
          <cell r="M4027">
            <v>0</v>
          </cell>
          <cell r="N4027">
            <v>0</v>
          </cell>
          <cell r="O4027">
            <v>0</v>
          </cell>
          <cell r="P4027">
            <v>0</v>
          </cell>
          <cell r="Q4027">
            <v>0</v>
          </cell>
          <cell r="R4027">
            <v>0</v>
          </cell>
          <cell r="S4027">
            <v>0</v>
          </cell>
          <cell r="T4027">
            <v>0</v>
          </cell>
          <cell r="U4027">
            <v>0</v>
          </cell>
          <cell r="V4027">
            <v>0</v>
          </cell>
          <cell r="W4027">
            <v>0</v>
          </cell>
        </row>
        <row r="4028">
          <cell r="A4028" t="str">
            <v>453934</v>
          </cell>
          <cell r="B4028" t="str">
            <v>1251</v>
          </cell>
          <cell r="C4028" t="str">
            <v>12</v>
          </cell>
          <cell r="D4028" t="str">
            <v>80</v>
          </cell>
          <cell r="E4028">
            <v>89</v>
          </cell>
          <cell r="G4028">
            <v>0</v>
          </cell>
          <cell r="H4028">
            <v>0</v>
          </cell>
          <cell r="I4028">
            <v>0</v>
          </cell>
          <cell r="J4028">
            <v>0</v>
          </cell>
          <cell r="K4028">
            <v>0</v>
          </cell>
          <cell r="L4028">
            <v>0</v>
          </cell>
          <cell r="M4028">
            <v>0</v>
          </cell>
          <cell r="N4028">
            <v>0</v>
          </cell>
          <cell r="O4028">
            <v>0</v>
          </cell>
          <cell r="P4028">
            <v>0</v>
          </cell>
          <cell r="Q4028">
            <v>0</v>
          </cell>
          <cell r="R4028">
            <v>0</v>
          </cell>
          <cell r="S4028">
            <v>0</v>
          </cell>
          <cell r="T4028">
            <v>0</v>
          </cell>
          <cell r="U4028">
            <v>0</v>
          </cell>
          <cell r="V4028">
            <v>0</v>
          </cell>
          <cell r="W4028">
            <v>0</v>
          </cell>
        </row>
        <row r="4029">
          <cell r="A4029" t="str">
            <v>453934</v>
          </cell>
          <cell r="B4029" t="str">
            <v>1251</v>
          </cell>
          <cell r="C4029" t="str">
            <v>12</v>
          </cell>
          <cell r="D4029" t="str">
            <v>80</v>
          </cell>
          <cell r="E4029">
            <v>93</v>
          </cell>
          <cell r="G4029">
            <v>16500</v>
          </cell>
          <cell r="H4029">
            <v>16846</v>
          </cell>
          <cell r="I4029">
            <v>16846</v>
          </cell>
          <cell r="J4029">
            <v>0</v>
          </cell>
          <cell r="K4029">
            <v>0</v>
          </cell>
          <cell r="L4029">
            <v>0</v>
          </cell>
          <cell r="M4029">
            <v>0</v>
          </cell>
          <cell r="N4029">
            <v>0</v>
          </cell>
          <cell r="O4029">
            <v>0</v>
          </cell>
          <cell r="P4029">
            <v>3159</v>
          </cell>
          <cell r="Q4029">
            <v>3159</v>
          </cell>
          <cell r="R4029">
            <v>0</v>
          </cell>
          <cell r="S4029">
            <v>0</v>
          </cell>
          <cell r="T4029">
            <v>0</v>
          </cell>
          <cell r="U4029">
            <v>0</v>
          </cell>
          <cell r="V4029">
            <v>0</v>
          </cell>
          <cell r="W4029">
            <v>0</v>
          </cell>
        </row>
        <row r="4030">
          <cell r="A4030" t="str">
            <v>453934</v>
          </cell>
          <cell r="B4030" t="str">
            <v>1251</v>
          </cell>
          <cell r="C4030" t="str">
            <v>12</v>
          </cell>
          <cell r="D4030" t="str">
            <v>80</v>
          </cell>
          <cell r="E4030">
            <v>97</v>
          </cell>
          <cell r="G4030">
            <v>0</v>
          </cell>
          <cell r="H4030">
            <v>0</v>
          </cell>
          <cell r="I4030">
            <v>0</v>
          </cell>
          <cell r="J4030">
            <v>0</v>
          </cell>
          <cell r="K4030">
            <v>16500</v>
          </cell>
          <cell r="L4030">
            <v>20005</v>
          </cell>
          <cell r="M4030">
            <v>20005</v>
          </cell>
          <cell r="N4030">
            <v>0</v>
          </cell>
          <cell r="O4030">
            <v>0</v>
          </cell>
          <cell r="P4030">
            <v>0</v>
          </cell>
          <cell r="Q4030">
            <v>0</v>
          </cell>
          <cell r="R4030">
            <v>0</v>
          </cell>
          <cell r="S4030">
            <v>0</v>
          </cell>
          <cell r="T4030">
            <v>0</v>
          </cell>
          <cell r="U4030">
            <v>0</v>
          </cell>
          <cell r="V4030">
            <v>0</v>
          </cell>
          <cell r="W4030">
            <v>0</v>
          </cell>
        </row>
        <row r="4031">
          <cell r="A4031" t="str">
            <v>453934</v>
          </cell>
          <cell r="B4031" t="str">
            <v>1251</v>
          </cell>
          <cell r="C4031" t="str">
            <v>12</v>
          </cell>
          <cell r="D4031" t="str">
            <v>80</v>
          </cell>
          <cell r="E4031">
            <v>101</v>
          </cell>
          <cell r="G4031">
            <v>0</v>
          </cell>
          <cell r="H4031">
            <v>0</v>
          </cell>
          <cell r="I4031">
            <v>0</v>
          </cell>
          <cell r="J4031">
            <v>0</v>
          </cell>
          <cell r="K4031">
            <v>0</v>
          </cell>
          <cell r="L4031">
            <v>0</v>
          </cell>
          <cell r="M4031">
            <v>0</v>
          </cell>
          <cell r="N4031">
            <v>0</v>
          </cell>
          <cell r="O4031">
            <v>0</v>
          </cell>
          <cell r="P4031">
            <v>0</v>
          </cell>
          <cell r="Q4031">
            <v>0</v>
          </cell>
          <cell r="R4031">
            <v>0</v>
          </cell>
          <cell r="S4031">
            <v>0</v>
          </cell>
          <cell r="T4031">
            <v>0</v>
          </cell>
          <cell r="U4031">
            <v>0</v>
          </cell>
          <cell r="V4031">
            <v>0</v>
          </cell>
          <cell r="W4031">
            <v>0</v>
          </cell>
        </row>
        <row r="4032">
          <cell r="A4032" t="str">
            <v>453934</v>
          </cell>
          <cell r="B4032" t="str">
            <v>1251</v>
          </cell>
          <cell r="C4032" t="str">
            <v>12</v>
          </cell>
          <cell r="D4032" t="str">
            <v>80</v>
          </cell>
          <cell r="E4032">
            <v>105</v>
          </cell>
          <cell r="G4032">
            <v>0</v>
          </cell>
          <cell r="H4032">
            <v>0</v>
          </cell>
          <cell r="I4032">
            <v>0</v>
          </cell>
          <cell r="J4032">
            <v>0</v>
          </cell>
          <cell r="K4032">
            <v>0</v>
          </cell>
          <cell r="L4032">
            <v>0</v>
          </cell>
          <cell r="M4032">
            <v>0</v>
          </cell>
          <cell r="N4032">
            <v>0</v>
          </cell>
          <cell r="O4032">
            <v>0</v>
          </cell>
          <cell r="P4032">
            <v>0</v>
          </cell>
          <cell r="Q4032">
            <v>0</v>
          </cell>
          <cell r="R4032">
            <v>0</v>
          </cell>
          <cell r="S4032">
            <v>0</v>
          </cell>
          <cell r="T4032">
            <v>0</v>
          </cell>
          <cell r="U4032">
            <v>0</v>
          </cell>
          <cell r="V4032">
            <v>0</v>
          </cell>
          <cell r="W4032">
            <v>0</v>
          </cell>
        </row>
        <row r="4033">
          <cell r="A4033" t="str">
            <v>453934</v>
          </cell>
          <cell r="B4033" t="str">
            <v>1251</v>
          </cell>
          <cell r="C4033" t="str">
            <v>12</v>
          </cell>
          <cell r="D4033" t="str">
            <v>80</v>
          </cell>
          <cell r="E4033">
            <v>109</v>
          </cell>
          <cell r="G4033">
            <v>0</v>
          </cell>
          <cell r="H4033">
            <v>0</v>
          </cell>
          <cell r="I4033">
            <v>0</v>
          </cell>
          <cell r="J4033">
            <v>0</v>
          </cell>
          <cell r="K4033">
            <v>0</v>
          </cell>
          <cell r="L4033">
            <v>0</v>
          </cell>
          <cell r="M4033">
            <v>0</v>
          </cell>
          <cell r="N4033">
            <v>0</v>
          </cell>
          <cell r="O4033">
            <v>0</v>
          </cell>
          <cell r="P4033">
            <v>0</v>
          </cell>
          <cell r="Q4033">
            <v>0</v>
          </cell>
          <cell r="R4033">
            <v>0</v>
          </cell>
          <cell r="S4033">
            <v>0</v>
          </cell>
          <cell r="T4033">
            <v>0</v>
          </cell>
          <cell r="U4033">
            <v>0</v>
          </cell>
          <cell r="V4033">
            <v>0</v>
          </cell>
          <cell r="W4033">
            <v>0</v>
          </cell>
        </row>
        <row r="4034">
          <cell r="A4034" t="str">
            <v>453934</v>
          </cell>
          <cell r="B4034" t="str">
            <v>1251</v>
          </cell>
          <cell r="C4034" t="str">
            <v>12</v>
          </cell>
          <cell r="D4034" t="str">
            <v>80</v>
          </cell>
          <cell r="E4034">
            <v>113</v>
          </cell>
          <cell r="G4034">
            <v>0</v>
          </cell>
          <cell r="H4034">
            <v>0</v>
          </cell>
          <cell r="I4034">
            <v>0</v>
          </cell>
          <cell r="J4034">
            <v>0</v>
          </cell>
          <cell r="K4034">
            <v>0</v>
          </cell>
          <cell r="L4034">
            <v>0</v>
          </cell>
          <cell r="M4034">
            <v>0</v>
          </cell>
          <cell r="N4034">
            <v>0</v>
          </cell>
          <cell r="O4034">
            <v>0</v>
          </cell>
          <cell r="P4034">
            <v>0</v>
          </cell>
          <cell r="Q4034">
            <v>0</v>
          </cell>
          <cell r="R4034">
            <v>0</v>
          </cell>
          <cell r="S4034">
            <v>0</v>
          </cell>
          <cell r="T4034">
            <v>0</v>
          </cell>
          <cell r="U4034">
            <v>0</v>
          </cell>
          <cell r="V4034">
            <v>0</v>
          </cell>
          <cell r="W4034">
            <v>0</v>
          </cell>
        </row>
        <row r="4035">
          <cell r="A4035" t="str">
            <v>453934</v>
          </cell>
          <cell r="B4035" t="str">
            <v>1251</v>
          </cell>
          <cell r="C4035" t="str">
            <v>12</v>
          </cell>
          <cell r="D4035" t="str">
            <v>80</v>
          </cell>
          <cell r="E4035">
            <v>117</v>
          </cell>
          <cell r="G4035">
            <v>0</v>
          </cell>
          <cell r="H4035">
            <v>0</v>
          </cell>
          <cell r="I4035">
            <v>0</v>
          </cell>
          <cell r="J4035">
            <v>0</v>
          </cell>
          <cell r="K4035">
            <v>0</v>
          </cell>
          <cell r="L4035">
            <v>0</v>
          </cell>
          <cell r="M4035">
            <v>0</v>
          </cell>
          <cell r="N4035">
            <v>0</v>
          </cell>
          <cell r="O4035">
            <v>0</v>
          </cell>
          <cell r="P4035">
            <v>0</v>
          </cell>
          <cell r="Q4035">
            <v>0</v>
          </cell>
          <cell r="R4035">
            <v>0</v>
          </cell>
          <cell r="S4035">
            <v>0</v>
          </cell>
          <cell r="T4035">
            <v>0</v>
          </cell>
          <cell r="U4035">
            <v>0</v>
          </cell>
          <cell r="V4035">
            <v>0</v>
          </cell>
          <cell r="W4035">
            <v>0</v>
          </cell>
        </row>
        <row r="4036">
          <cell r="A4036" t="str">
            <v>453934</v>
          </cell>
          <cell r="B4036" t="str">
            <v>1251</v>
          </cell>
          <cell r="C4036" t="str">
            <v>12</v>
          </cell>
          <cell r="D4036" t="str">
            <v>80</v>
          </cell>
          <cell r="E4036">
            <v>121</v>
          </cell>
          <cell r="G4036">
            <v>16500</v>
          </cell>
          <cell r="H4036">
            <v>20010</v>
          </cell>
          <cell r="I4036">
            <v>20010</v>
          </cell>
          <cell r="J4036">
            <v>0</v>
          </cell>
          <cell r="K4036">
            <v>0</v>
          </cell>
          <cell r="L4036">
            <v>0</v>
          </cell>
          <cell r="M4036">
            <v>0</v>
          </cell>
          <cell r="N4036">
            <v>0</v>
          </cell>
          <cell r="O4036">
            <v>7161</v>
          </cell>
          <cell r="P4036">
            <v>3996</v>
          </cell>
          <cell r="Q4036">
            <v>3996</v>
          </cell>
          <cell r="R4036">
            <v>0</v>
          </cell>
          <cell r="S4036">
            <v>0</v>
          </cell>
          <cell r="T4036">
            <v>2954</v>
          </cell>
          <cell r="U4036">
            <v>-1590</v>
          </cell>
          <cell r="V4036">
            <v>0</v>
          </cell>
          <cell r="W4036">
            <v>0</v>
          </cell>
        </row>
        <row r="4037">
          <cell r="A4037" t="str">
            <v>453934</v>
          </cell>
          <cell r="B4037" t="str">
            <v>1251</v>
          </cell>
          <cell r="C4037" t="str">
            <v>12</v>
          </cell>
          <cell r="D4037" t="str">
            <v>80</v>
          </cell>
          <cell r="E4037">
            <v>125</v>
          </cell>
          <cell r="G4037">
            <v>0</v>
          </cell>
          <cell r="H4037">
            <v>2954</v>
          </cell>
          <cell r="I4037">
            <v>2954</v>
          </cell>
          <cell r="J4037">
            <v>0</v>
          </cell>
          <cell r="K4037">
            <v>0</v>
          </cell>
          <cell r="L4037">
            <v>0</v>
          </cell>
          <cell r="M4037">
            <v>0</v>
          </cell>
          <cell r="N4037">
            <v>0</v>
          </cell>
          <cell r="O4037">
            <v>0</v>
          </cell>
          <cell r="P4037">
            <v>0</v>
          </cell>
          <cell r="Q4037">
            <v>0</v>
          </cell>
          <cell r="R4037">
            <v>0</v>
          </cell>
          <cell r="S4037">
            <v>0</v>
          </cell>
          <cell r="T4037">
            <v>0</v>
          </cell>
          <cell r="U4037">
            <v>0</v>
          </cell>
          <cell r="V4037">
            <v>0</v>
          </cell>
          <cell r="W4037">
            <v>0</v>
          </cell>
        </row>
        <row r="4038">
          <cell r="A4038" t="str">
            <v>453934</v>
          </cell>
          <cell r="B4038" t="str">
            <v>1251</v>
          </cell>
          <cell r="C4038" t="str">
            <v>12</v>
          </cell>
          <cell r="D4038" t="str">
            <v>80</v>
          </cell>
          <cell r="E4038">
            <v>129</v>
          </cell>
          <cell r="G4038">
            <v>0</v>
          </cell>
          <cell r="H4038">
            <v>0</v>
          </cell>
          <cell r="I4038">
            <v>0</v>
          </cell>
          <cell r="J4038">
            <v>0</v>
          </cell>
          <cell r="K4038">
            <v>0</v>
          </cell>
          <cell r="L4038">
            <v>0</v>
          </cell>
          <cell r="M4038">
            <v>0</v>
          </cell>
          <cell r="N4038">
            <v>0</v>
          </cell>
          <cell r="O4038">
            <v>0</v>
          </cell>
          <cell r="P4038">
            <v>0</v>
          </cell>
          <cell r="Q4038">
            <v>0</v>
          </cell>
          <cell r="R4038">
            <v>0</v>
          </cell>
          <cell r="S4038">
            <v>0</v>
          </cell>
          <cell r="T4038">
            <v>0</v>
          </cell>
          <cell r="U4038">
            <v>0</v>
          </cell>
          <cell r="V4038">
            <v>0</v>
          </cell>
          <cell r="W4038">
            <v>0</v>
          </cell>
        </row>
        <row r="4039">
          <cell r="A4039" t="str">
            <v>453934</v>
          </cell>
          <cell r="B4039" t="str">
            <v>1251</v>
          </cell>
          <cell r="C4039" t="str">
            <v>12</v>
          </cell>
          <cell r="D4039" t="str">
            <v>80</v>
          </cell>
          <cell r="E4039">
            <v>133</v>
          </cell>
          <cell r="G4039">
            <v>0</v>
          </cell>
          <cell r="H4039">
            <v>0</v>
          </cell>
          <cell r="I4039">
            <v>0</v>
          </cell>
          <cell r="J4039">
            <v>0</v>
          </cell>
          <cell r="K4039">
            <v>0</v>
          </cell>
          <cell r="L4039">
            <v>0</v>
          </cell>
          <cell r="M4039">
            <v>0</v>
          </cell>
          <cell r="N4039">
            <v>0</v>
          </cell>
          <cell r="O4039">
            <v>0</v>
          </cell>
          <cell r="P4039">
            <v>0</v>
          </cell>
          <cell r="Q4039">
            <v>-6</v>
          </cell>
          <cell r="R4039">
            <v>0</v>
          </cell>
          <cell r="S4039">
            <v>0</v>
          </cell>
          <cell r="T4039">
            <v>0</v>
          </cell>
          <cell r="U4039">
            <v>-6</v>
          </cell>
          <cell r="V4039">
            <v>0</v>
          </cell>
          <cell r="W4039">
            <v>0</v>
          </cell>
        </row>
        <row r="4040">
          <cell r="A4040" t="str">
            <v>453934</v>
          </cell>
          <cell r="B4040" t="str">
            <v>1251</v>
          </cell>
          <cell r="C4040" t="str">
            <v>12</v>
          </cell>
          <cell r="D4040" t="str">
            <v>80</v>
          </cell>
          <cell r="E4040">
            <v>137</v>
          </cell>
          <cell r="G4040">
            <v>0</v>
          </cell>
          <cell r="H4040">
            <v>0</v>
          </cell>
          <cell r="I4040">
            <v>0</v>
          </cell>
          <cell r="J4040">
            <v>0</v>
          </cell>
          <cell r="K4040">
            <v>0</v>
          </cell>
          <cell r="L4040">
            <v>0</v>
          </cell>
          <cell r="M4040">
            <v>0</v>
          </cell>
          <cell r="N4040">
            <v>0</v>
          </cell>
          <cell r="O4040">
            <v>0</v>
          </cell>
          <cell r="P4040">
            <v>0</v>
          </cell>
          <cell r="Q4040">
            <v>0</v>
          </cell>
          <cell r="R4040">
            <v>0</v>
          </cell>
          <cell r="S4040">
            <v>0</v>
          </cell>
          <cell r="T4040">
            <v>0</v>
          </cell>
          <cell r="U4040">
            <v>0</v>
          </cell>
          <cell r="V4040">
            <v>0</v>
          </cell>
          <cell r="W4040">
            <v>0</v>
          </cell>
        </row>
        <row r="4041">
          <cell r="A4041" t="str">
            <v>453934</v>
          </cell>
          <cell r="B4041" t="str">
            <v>1251</v>
          </cell>
          <cell r="C4041" t="str">
            <v>12</v>
          </cell>
          <cell r="D4041" t="str">
            <v>80</v>
          </cell>
          <cell r="E4041">
            <v>141</v>
          </cell>
          <cell r="G4041">
            <v>0</v>
          </cell>
          <cell r="H4041">
            <v>0</v>
          </cell>
          <cell r="I4041">
            <v>0</v>
          </cell>
          <cell r="J4041">
            <v>0</v>
          </cell>
          <cell r="K4041">
            <v>0</v>
          </cell>
          <cell r="L4041">
            <v>0</v>
          </cell>
          <cell r="M4041">
            <v>0</v>
          </cell>
          <cell r="N4041">
            <v>0</v>
          </cell>
          <cell r="O4041">
            <v>0</v>
          </cell>
          <cell r="P4041">
            <v>0</v>
          </cell>
          <cell r="Q4041">
            <v>0</v>
          </cell>
          <cell r="R4041">
            <v>0</v>
          </cell>
          <cell r="S4041">
            <v>0</v>
          </cell>
          <cell r="T4041">
            <v>0</v>
          </cell>
          <cell r="U4041">
            <v>0</v>
          </cell>
          <cell r="V4041">
            <v>0</v>
          </cell>
          <cell r="W4041">
            <v>0</v>
          </cell>
        </row>
        <row r="4042">
          <cell r="A4042" t="str">
            <v>453934</v>
          </cell>
          <cell r="B4042" t="str">
            <v>1251</v>
          </cell>
          <cell r="C4042" t="str">
            <v>12</v>
          </cell>
          <cell r="D4042" t="str">
            <v>80</v>
          </cell>
          <cell r="E4042">
            <v>145</v>
          </cell>
          <cell r="G4042">
            <v>0</v>
          </cell>
          <cell r="H4042">
            <v>0</v>
          </cell>
          <cell r="I4042">
            <v>0</v>
          </cell>
          <cell r="J4042">
            <v>0</v>
          </cell>
          <cell r="K4042">
            <v>0</v>
          </cell>
          <cell r="L4042">
            <v>0</v>
          </cell>
          <cell r="M4042">
            <v>0</v>
          </cell>
          <cell r="N4042">
            <v>0</v>
          </cell>
          <cell r="O4042">
            <v>0</v>
          </cell>
          <cell r="P4042">
            <v>0</v>
          </cell>
          <cell r="Q4042">
            <v>0</v>
          </cell>
          <cell r="R4042">
            <v>0</v>
          </cell>
          <cell r="S4042">
            <v>0</v>
          </cell>
          <cell r="T4042">
            <v>2954</v>
          </cell>
          <cell r="U4042">
            <v>2960</v>
          </cell>
          <cell r="V4042">
            <v>0</v>
          </cell>
          <cell r="W4042">
            <v>0</v>
          </cell>
        </row>
        <row r="4043">
          <cell r="A4043" t="str">
            <v>453934</v>
          </cell>
          <cell r="B4043" t="str">
            <v>1251</v>
          </cell>
          <cell r="C4043" t="str">
            <v>12</v>
          </cell>
          <cell r="D4043" t="str">
            <v>80</v>
          </cell>
          <cell r="E4043">
            <v>149</v>
          </cell>
          <cell r="G4043">
            <v>0</v>
          </cell>
          <cell r="H4043">
            <v>0</v>
          </cell>
          <cell r="I4043">
            <v>0</v>
          </cell>
          <cell r="J4043">
            <v>0</v>
          </cell>
          <cell r="K4043">
            <v>0</v>
          </cell>
          <cell r="L4043">
            <v>0</v>
          </cell>
          <cell r="M4043">
            <v>0</v>
          </cell>
          <cell r="N4043">
            <v>0</v>
          </cell>
          <cell r="O4043">
            <v>0</v>
          </cell>
          <cell r="P4043">
            <v>0</v>
          </cell>
          <cell r="Q4043">
            <v>0</v>
          </cell>
          <cell r="R4043">
            <v>0</v>
          </cell>
          <cell r="S4043">
            <v>0</v>
          </cell>
          <cell r="T4043">
            <v>0</v>
          </cell>
          <cell r="U4043">
            <v>0</v>
          </cell>
          <cell r="V4043">
            <v>0</v>
          </cell>
          <cell r="W4043">
            <v>0</v>
          </cell>
        </row>
        <row r="4044">
          <cell r="A4044" t="str">
            <v>453934</v>
          </cell>
          <cell r="B4044" t="str">
            <v>1251</v>
          </cell>
          <cell r="C4044" t="str">
            <v>12</v>
          </cell>
          <cell r="D4044" t="str">
            <v>80</v>
          </cell>
          <cell r="E4044">
            <v>153</v>
          </cell>
          <cell r="G4044">
            <v>0</v>
          </cell>
          <cell r="H4044">
            <v>0</v>
          </cell>
          <cell r="I4044">
            <v>1596</v>
          </cell>
          <cell r="J4044">
            <v>0</v>
          </cell>
          <cell r="K4044">
            <v>0</v>
          </cell>
          <cell r="L4044">
            <v>0</v>
          </cell>
          <cell r="M4044">
            <v>2266</v>
          </cell>
          <cell r="N4044">
            <v>0</v>
          </cell>
          <cell r="O4044">
            <v>0</v>
          </cell>
          <cell r="P4044">
            <v>0</v>
          </cell>
          <cell r="Q4044">
            <v>3862</v>
          </cell>
          <cell r="R4044">
            <v>0</v>
          </cell>
          <cell r="S4044">
            <v>7</v>
          </cell>
          <cell r="T4044">
            <v>7</v>
          </cell>
          <cell r="U4044">
            <v>7</v>
          </cell>
          <cell r="V4044">
            <v>0</v>
          </cell>
          <cell r="W4044">
            <v>0</v>
          </cell>
        </row>
        <row r="4045">
          <cell r="A4045" t="str">
            <v>453934</v>
          </cell>
          <cell r="B4045" t="str">
            <v>1251</v>
          </cell>
          <cell r="C4045" t="str">
            <v>12</v>
          </cell>
          <cell r="D4045" t="str">
            <v>80</v>
          </cell>
          <cell r="E4045">
            <v>157</v>
          </cell>
          <cell r="G4045">
            <v>0</v>
          </cell>
          <cell r="H4045">
            <v>0</v>
          </cell>
          <cell r="I4045">
            <v>7</v>
          </cell>
          <cell r="J4045">
            <v>0</v>
          </cell>
          <cell r="K4045">
            <v>0</v>
          </cell>
          <cell r="L4045">
            <v>0</v>
          </cell>
          <cell r="M4045">
            <v>0</v>
          </cell>
          <cell r="N4045">
            <v>0</v>
          </cell>
          <cell r="O4045">
            <v>0</v>
          </cell>
          <cell r="P4045">
            <v>0</v>
          </cell>
          <cell r="Q4045">
            <v>0</v>
          </cell>
          <cell r="R4045">
            <v>0</v>
          </cell>
          <cell r="S4045">
            <v>0</v>
          </cell>
          <cell r="T4045">
            <v>0</v>
          </cell>
          <cell r="U4045">
            <v>0</v>
          </cell>
          <cell r="V4045">
            <v>0</v>
          </cell>
          <cell r="W4045">
            <v>0</v>
          </cell>
        </row>
        <row r="4046">
          <cell r="A4046" t="str">
            <v>450340</v>
          </cell>
          <cell r="B4046" t="str">
            <v>1254</v>
          </cell>
          <cell r="C4046" t="str">
            <v>12</v>
          </cell>
          <cell r="D4046" t="str">
            <v>46</v>
          </cell>
          <cell r="G4046">
            <v>5010302</v>
          </cell>
          <cell r="H4046">
            <v>418033</v>
          </cell>
          <cell r="I4046">
            <v>418033</v>
          </cell>
          <cell r="J4046">
            <v>0</v>
          </cell>
          <cell r="K4046">
            <v>0</v>
          </cell>
          <cell r="L4046">
            <v>0</v>
          </cell>
          <cell r="M4046">
            <v>0</v>
          </cell>
          <cell r="N4046">
            <v>0</v>
          </cell>
          <cell r="O4046">
            <v>0</v>
          </cell>
          <cell r="P4046">
            <v>0</v>
          </cell>
          <cell r="Q4046">
            <v>0</v>
          </cell>
          <cell r="R4046">
            <v>0</v>
          </cell>
          <cell r="S4046">
            <v>0</v>
          </cell>
          <cell r="T4046">
            <v>0</v>
          </cell>
          <cell r="U4046">
            <v>0</v>
          </cell>
          <cell r="V4046">
            <v>0</v>
          </cell>
          <cell r="W4046">
            <v>0</v>
          </cell>
        </row>
        <row r="4047">
          <cell r="A4047" t="str">
            <v>450340</v>
          </cell>
          <cell r="B4047" t="str">
            <v>1254</v>
          </cell>
          <cell r="C4047" t="str">
            <v>12</v>
          </cell>
          <cell r="D4047" t="str">
            <v>46</v>
          </cell>
          <cell r="G4047">
            <v>5010303</v>
          </cell>
          <cell r="H4047">
            <v>7877697</v>
          </cell>
          <cell r="I4047">
            <v>7877697</v>
          </cell>
          <cell r="J4047">
            <v>0</v>
          </cell>
          <cell r="K4047">
            <v>0</v>
          </cell>
          <cell r="L4047">
            <v>0</v>
          </cell>
          <cell r="M4047">
            <v>0</v>
          </cell>
          <cell r="N4047">
            <v>0</v>
          </cell>
          <cell r="O4047">
            <v>0</v>
          </cell>
          <cell r="P4047">
            <v>0</v>
          </cell>
          <cell r="Q4047">
            <v>0</v>
          </cell>
          <cell r="R4047">
            <v>0</v>
          </cell>
          <cell r="S4047">
            <v>0</v>
          </cell>
          <cell r="T4047">
            <v>0</v>
          </cell>
          <cell r="U4047">
            <v>0</v>
          </cell>
          <cell r="V4047">
            <v>0</v>
          </cell>
          <cell r="W4047">
            <v>0</v>
          </cell>
        </row>
        <row r="4048">
          <cell r="A4048" t="str">
            <v>450340</v>
          </cell>
          <cell r="B4048" t="str">
            <v>1254</v>
          </cell>
          <cell r="C4048" t="str">
            <v>12</v>
          </cell>
          <cell r="D4048" t="str">
            <v>46</v>
          </cell>
          <cell r="G4048">
            <v>5020301</v>
          </cell>
          <cell r="H4048">
            <v>62096</v>
          </cell>
          <cell r="I4048">
            <v>62096</v>
          </cell>
          <cell r="J4048">
            <v>0</v>
          </cell>
          <cell r="K4048">
            <v>0</v>
          </cell>
          <cell r="L4048">
            <v>0</v>
          </cell>
          <cell r="M4048">
            <v>0</v>
          </cell>
          <cell r="N4048">
            <v>0</v>
          </cell>
          <cell r="O4048">
            <v>0</v>
          </cell>
          <cell r="P4048">
            <v>0</v>
          </cell>
          <cell r="Q4048">
            <v>0</v>
          </cell>
          <cell r="R4048">
            <v>0</v>
          </cell>
          <cell r="S4048">
            <v>0</v>
          </cell>
          <cell r="T4048">
            <v>0</v>
          </cell>
          <cell r="U4048">
            <v>0</v>
          </cell>
          <cell r="V4048">
            <v>0</v>
          </cell>
          <cell r="W4048">
            <v>0</v>
          </cell>
        </row>
        <row r="4049">
          <cell r="A4049" t="str">
            <v>450340</v>
          </cell>
          <cell r="B4049" t="str">
            <v>1254</v>
          </cell>
          <cell r="C4049" t="str">
            <v>12</v>
          </cell>
          <cell r="D4049" t="str">
            <v>46</v>
          </cell>
          <cell r="G4049">
            <v>9999999</v>
          </cell>
          <cell r="H4049">
            <v>8357826</v>
          </cell>
          <cell r="I4049">
            <v>8357826</v>
          </cell>
          <cell r="J4049">
            <v>0</v>
          </cell>
          <cell r="K4049">
            <v>0</v>
          </cell>
          <cell r="L4049">
            <v>0</v>
          </cell>
          <cell r="M4049">
            <v>0</v>
          </cell>
          <cell r="N4049">
            <v>0</v>
          </cell>
          <cell r="O4049">
            <v>0</v>
          </cell>
          <cell r="P4049">
            <v>0</v>
          </cell>
          <cell r="Q4049">
            <v>0</v>
          </cell>
          <cell r="R4049">
            <v>0</v>
          </cell>
          <cell r="S4049">
            <v>0</v>
          </cell>
          <cell r="T4049">
            <v>0</v>
          </cell>
          <cell r="U4049">
            <v>0</v>
          </cell>
          <cell r="V4049">
            <v>0</v>
          </cell>
          <cell r="W4049">
            <v>0</v>
          </cell>
        </row>
        <row r="4050">
          <cell r="A4050" t="str">
            <v>450340</v>
          </cell>
          <cell r="B4050" t="str">
            <v>1254</v>
          </cell>
          <cell r="C4050" t="str">
            <v>12</v>
          </cell>
          <cell r="D4050" t="str">
            <v>51</v>
          </cell>
          <cell r="G4050">
            <v>5010101</v>
          </cell>
          <cell r="H4050">
            <v>456</v>
          </cell>
          <cell r="I4050">
            <v>5335200</v>
          </cell>
          <cell r="J4050">
            <v>0</v>
          </cell>
          <cell r="K4050">
            <v>0</v>
          </cell>
          <cell r="L4050">
            <v>0</v>
          </cell>
          <cell r="M4050">
            <v>0</v>
          </cell>
          <cell r="N4050">
            <v>0</v>
          </cell>
          <cell r="O4050">
            <v>0</v>
          </cell>
          <cell r="P4050">
            <v>452</v>
          </cell>
          <cell r="Q4050">
            <v>5288400</v>
          </cell>
          <cell r="R4050">
            <v>-4</v>
          </cell>
          <cell r="S4050">
            <v>-46800</v>
          </cell>
          <cell r="T4050">
            <v>5072788</v>
          </cell>
          <cell r="U4050">
            <v>215612</v>
          </cell>
          <cell r="V4050">
            <v>-46800</v>
          </cell>
          <cell r="W4050">
            <v>0</v>
          </cell>
        </row>
        <row r="4051">
          <cell r="A4051" t="str">
            <v>450340</v>
          </cell>
          <cell r="B4051" t="str">
            <v>1254</v>
          </cell>
          <cell r="C4051" t="str">
            <v>12</v>
          </cell>
          <cell r="D4051" t="str">
            <v>51</v>
          </cell>
          <cell r="G4051">
            <v>5020301</v>
          </cell>
          <cell r="H4051">
            <v>84</v>
          </cell>
          <cell r="I4051">
            <v>789600</v>
          </cell>
          <cell r="J4051">
            <v>0</v>
          </cell>
          <cell r="K4051">
            <v>0</v>
          </cell>
          <cell r="L4051">
            <v>0</v>
          </cell>
          <cell r="M4051">
            <v>0</v>
          </cell>
          <cell r="N4051">
            <v>0</v>
          </cell>
          <cell r="O4051">
            <v>0</v>
          </cell>
          <cell r="P4051">
            <v>84</v>
          </cell>
          <cell r="Q4051">
            <v>789600</v>
          </cell>
          <cell r="R4051">
            <v>0</v>
          </cell>
          <cell r="S4051">
            <v>0</v>
          </cell>
          <cell r="T4051">
            <v>789600</v>
          </cell>
          <cell r="U4051">
            <v>0</v>
          </cell>
          <cell r="V4051">
            <v>0</v>
          </cell>
          <cell r="W4051">
            <v>0</v>
          </cell>
        </row>
        <row r="4052">
          <cell r="A4052" t="str">
            <v>450340</v>
          </cell>
          <cell r="B4052" t="str">
            <v>1254</v>
          </cell>
          <cell r="C4052" t="str">
            <v>12</v>
          </cell>
          <cell r="D4052" t="str">
            <v>51</v>
          </cell>
          <cell r="G4052">
            <v>5030099</v>
          </cell>
          <cell r="H4052">
            <v>0</v>
          </cell>
          <cell r="I4052">
            <v>246436527</v>
          </cell>
          <cell r="J4052">
            <v>0</v>
          </cell>
          <cell r="K4052">
            <v>0</v>
          </cell>
          <cell r="L4052">
            <v>0</v>
          </cell>
          <cell r="M4052">
            <v>0</v>
          </cell>
          <cell r="N4052">
            <v>0</v>
          </cell>
          <cell r="O4052">
            <v>0</v>
          </cell>
          <cell r="P4052">
            <v>0</v>
          </cell>
          <cell r="Q4052">
            <v>246436527</v>
          </cell>
          <cell r="R4052">
            <v>0</v>
          </cell>
          <cell r="S4052">
            <v>0</v>
          </cell>
          <cell r="T4052">
            <v>246436527</v>
          </cell>
          <cell r="U4052">
            <v>0</v>
          </cell>
          <cell r="V4052">
            <v>0</v>
          </cell>
          <cell r="W4052">
            <v>0</v>
          </cell>
        </row>
        <row r="4053">
          <cell r="A4053" t="str">
            <v>450340</v>
          </cell>
          <cell r="B4053" t="str">
            <v>1254</v>
          </cell>
          <cell r="C4053" t="str">
            <v>12</v>
          </cell>
          <cell r="D4053" t="str">
            <v>51</v>
          </cell>
          <cell r="G4053">
            <v>5040002</v>
          </cell>
          <cell r="H4053">
            <v>276</v>
          </cell>
          <cell r="I4053">
            <v>1035000</v>
          </cell>
          <cell r="J4053">
            <v>0</v>
          </cell>
          <cell r="K4053">
            <v>0</v>
          </cell>
          <cell r="L4053">
            <v>0</v>
          </cell>
          <cell r="M4053">
            <v>0</v>
          </cell>
          <cell r="N4053">
            <v>0</v>
          </cell>
          <cell r="O4053">
            <v>0</v>
          </cell>
          <cell r="P4053">
            <v>300</v>
          </cell>
          <cell r="Q4053">
            <v>1125000</v>
          </cell>
          <cell r="R4053">
            <v>24</v>
          </cell>
          <cell r="S4053">
            <v>90000</v>
          </cell>
          <cell r="T4053">
            <v>1125000</v>
          </cell>
          <cell r="U4053">
            <v>0</v>
          </cell>
          <cell r="V4053">
            <v>90000</v>
          </cell>
          <cell r="W4053">
            <v>0</v>
          </cell>
        </row>
        <row r="4054">
          <cell r="A4054" t="str">
            <v>450340</v>
          </cell>
          <cell r="B4054" t="str">
            <v>1254</v>
          </cell>
          <cell r="C4054" t="str">
            <v>12</v>
          </cell>
          <cell r="D4054" t="str">
            <v>51</v>
          </cell>
          <cell r="G4054">
            <v>9999999</v>
          </cell>
          <cell r="H4054">
            <v>816</v>
          </cell>
          <cell r="I4054">
            <v>253596327</v>
          </cell>
          <cell r="J4054">
            <v>0</v>
          </cell>
          <cell r="K4054">
            <v>0</v>
          </cell>
          <cell r="L4054">
            <v>0</v>
          </cell>
          <cell r="M4054">
            <v>0</v>
          </cell>
          <cell r="N4054">
            <v>0</v>
          </cell>
          <cell r="O4054">
            <v>0</v>
          </cell>
          <cell r="P4054">
            <v>836</v>
          </cell>
          <cell r="Q4054">
            <v>253639527</v>
          </cell>
          <cell r="R4054">
            <v>20</v>
          </cell>
          <cell r="S4054">
            <v>43200</v>
          </cell>
          <cell r="T4054">
            <v>253423915</v>
          </cell>
          <cell r="U4054">
            <v>215612</v>
          </cell>
          <cell r="V4054">
            <v>43200</v>
          </cell>
          <cell r="W4054">
            <v>0</v>
          </cell>
        </row>
        <row r="4055">
          <cell r="A4055" t="str">
            <v>450340</v>
          </cell>
          <cell r="B4055" t="str">
            <v>1254</v>
          </cell>
          <cell r="C4055" t="str">
            <v>12</v>
          </cell>
          <cell r="D4055" t="str">
            <v>47</v>
          </cell>
          <cell r="E4055">
            <v>1</v>
          </cell>
          <cell r="G4055">
            <v>3075</v>
          </cell>
          <cell r="H4055">
            <v>3075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</row>
        <row r="4056">
          <cell r="A4056" t="str">
            <v>450340</v>
          </cell>
          <cell r="B4056" t="str">
            <v>1254</v>
          </cell>
          <cell r="C4056" t="str">
            <v>12</v>
          </cell>
          <cell r="D4056" t="str">
            <v>47</v>
          </cell>
          <cell r="E4056">
            <v>6</v>
          </cell>
          <cell r="G4056">
            <v>0</v>
          </cell>
          <cell r="H4056">
            <v>0</v>
          </cell>
          <cell r="I4056">
            <v>0</v>
          </cell>
          <cell r="J4056">
            <v>0</v>
          </cell>
          <cell r="K4056">
            <v>0</v>
          </cell>
          <cell r="L4056">
            <v>0</v>
          </cell>
          <cell r="M4056">
            <v>0</v>
          </cell>
          <cell r="N4056">
            <v>0</v>
          </cell>
          <cell r="O4056">
            <v>0</v>
          </cell>
          <cell r="P4056">
            <v>0</v>
          </cell>
          <cell r="Q4056">
            <v>0</v>
          </cell>
          <cell r="R4056">
            <v>0</v>
          </cell>
          <cell r="S4056">
            <v>0</v>
          </cell>
          <cell r="T4056">
            <v>0</v>
          </cell>
          <cell r="U4056">
            <v>0</v>
          </cell>
          <cell r="V4056">
            <v>0</v>
          </cell>
          <cell r="W4056">
            <v>0</v>
          </cell>
        </row>
        <row r="4057">
          <cell r="A4057" t="str">
            <v>450340</v>
          </cell>
          <cell r="B4057" t="str">
            <v>1254</v>
          </cell>
          <cell r="C4057" t="str">
            <v>12</v>
          </cell>
          <cell r="D4057" t="str">
            <v>47</v>
          </cell>
          <cell r="E4057">
            <v>11</v>
          </cell>
          <cell r="G4057">
            <v>0</v>
          </cell>
          <cell r="H4057">
            <v>0</v>
          </cell>
          <cell r="I4057">
            <v>0</v>
          </cell>
          <cell r="J4057">
            <v>0</v>
          </cell>
          <cell r="K4057">
            <v>0</v>
          </cell>
          <cell r="L4057">
            <v>0</v>
          </cell>
          <cell r="M4057">
            <v>0</v>
          </cell>
          <cell r="N4057">
            <v>0</v>
          </cell>
          <cell r="O4057">
            <v>0</v>
          </cell>
          <cell r="P4057">
            <v>0</v>
          </cell>
          <cell r="Q4057">
            <v>0</v>
          </cell>
          <cell r="R4057">
            <v>0</v>
          </cell>
          <cell r="S4057">
            <v>0</v>
          </cell>
          <cell r="T4057">
            <v>0</v>
          </cell>
          <cell r="U4057">
            <v>0</v>
          </cell>
          <cell r="V4057">
            <v>0</v>
          </cell>
          <cell r="W4057">
            <v>0</v>
          </cell>
        </row>
        <row r="4058">
          <cell r="A4058" t="str">
            <v>450340</v>
          </cell>
          <cell r="B4058" t="str">
            <v>1254</v>
          </cell>
          <cell r="C4058" t="str">
            <v>12</v>
          </cell>
          <cell r="D4058" t="str">
            <v>47</v>
          </cell>
          <cell r="E4058">
            <v>16</v>
          </cell>
          <cell r="G4058">
            <v>0</v>
          </cell>
          <cell r="H4058">
            <v>0</v>
          </cell>
          <cell r="I4058">
            <v>0</v>
          </cell>
          <cell r="J4058">
            <v>0</v>
          </cell>
          <cell r="K4058">
            <v>0</v>
          </cell>
          <cell r="L4058">
            <v>0</v>
          </cell>
          <cell r="M4058">
            <v>0</v>
          </cell>
          <cell r="N4058">
            <v>0</v>
          </cell>
          <cell r="O4058">
            <v>0</v>
          </cell>
          <cell r="P4058">
            <v>0</v>
          </cell>
          <cell r="Q4058">
            <v>0</v>
          </cell>
          <cell r="R4058">
            <v>0</v>
          </cell>
          <cell r="S4058">
            <v>0</v>
          </cell>
          <cell r="T4058">
            <v>0</v>
          </cell>
          <cell r="U4058">
            <v>0</v>
          </cell>
          <cell r="V4058">
            <v>0</v>
          </cell>
          <cell r="W4058">
            <v>0</v>
          </cell>
        </row>
        <row r="4059">
          <cell r="A4059" t="str">
            <v>450340</v>
          </cell>
          <cell r="B4059" t="str">
            <v>1254</v>
          </cell>
          <cell r="C4059" t="str">
            <v>12</v>
          </cell>
          <cell r="D4059" t="str">
            <v>47</v>
          </cell>
          <cell r="E4059">
            <v>21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L4059">
            <v>0</v>
          </cell>
          <cell r="M4059">
            <v>0</v>
          </cell>
          <cell r="N4059">
            <v>0</v>
          </cell>
          <cell r="O4059">
            <v>0</v>
          </cell>
          <cell r="P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</row>
        <row r="4060">
          <cell r="A4060" t="str">
            <v>450340</v>
          </cell>
          <cell r="B4060" t="str">
            <v>1254</v>
          </cell>
          <cell r="C4060" t="str">
            <v>12</v>
          </cell>
          <cell r="D4060" t="str">
            <v>47</v>
          </cell>
          <cell r="E4060">
            <v>26</v>
          </cell>
          <cell r="G4060">
            <v>0</v>
          </cell>
          <cell r="H4060">
            <v>0</v>
          </cell>
          <cell r="I4060">
            <v>0</v>
          </cell>
          <cell r="J4060">
            <v>0</v>
          </cell>
          <cell r="K4060">
            <v>0</v>
          </cell>
          <cell r="L4060">
            <v>0</v>
          </cell>
          <cell r="M4060">
            <v>0</v>
          </cell>
          <cell r="N4060">
            <v>0</v>
          </cell>
          <cell r="O4060">
            <v>0</v>
          </cell>
          <cell r="P4060">
            <v>0</v>
          </cell>
          <cell r="Q4060">
            <v>0</v>
          </cell>
          <cell r="R4060">
            <v>0</v>
          </cell>
          <cell r="S4060">
            <v>0</v>
          </cell>
          <cell r="T4060">
            <v>0</v>
          </cell>
          <cell r="U4060">
            <v>0</v>
          </cell>
          <cell r="V4060">
            <v>0</v>
          </cell>
          <cell r="W4060">
            <v>0</v>
          </cell>
        </row>
        <row r="4061">
          <cell r="A4061" t="str">
            <v>450340</v>
          </cell>
          <cell r="B4061" t="str">
            <v>1254</v>
          </cell>
          <cell r="C4061" t="str">
            <v>12</v>
          </cell>
          <cell r="D4061" t="str">
            <v>47</v>
          </cell>
          <cell r="E4061">
            <v>31</v>
          </cell>
          <cell r="G4061">
            <v>0</v>
          </cell>
          <cell r="H4061">
            <v>0</v>
          </cell>
          <cell r="I4061">
            <v>0</v>
          </cell>
          <cell r="J4061">
            <v>0</v>
          </cell>
          <cell r="K4061">
            <v>0</v>
          </cell>
          <cell r="L4061">
            <v>0</v>
          </cell>
          <cell r="M4061">
            <v>974</v>
          </cell>
          <cell r="N4061">
            <v>974</v>
          </cell>
          <cell r="O4061">
            <v>0</v>
          </cell>
          <cell r="P4061">
            <v>4049</v>
          </cell>
          <cell r="Q4061">
            <v>4049</v>
          </cell>
          <cell r="R4061">
            <v>0</v>
          </cell>
          <cell r="S4061">
            <v>0</v>
          </cell>
          <cell r="T4061">
            <v>0</v>
          </cell>
          <cell r="U4061">
            <v>0</v>
          </cell>
          <cell r="V4061">
            <v>0</v>
          </cell>
          <cell r="W4061">
            <v>0</v>
          </cell>
        </row>
        <row r="4062">
          <cell r="A4062" t="str">
            <v>450340</v>
          </cell>
          <cell r="B4062" t="str">
            <v>1254</v>
          </cell>
          <cell r="C4062" t="str">
            <v>12</v>
          </cell>
          <cell r="D4062" t="str">
            <v>47</v>
          </cell>
          <cell r="E4062">
            <v>36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0</v>
          </cell>
          <cell r="N4062">
            <v>0</v>
          </cell>
          <cell r="O4062">
            <v>0</v>
          </cell>
          <cell r="P4062">
            <v>0</v>
          </cell>
          <cell r="Q4062">
            <v>0</v>
          </cell>
          <cell r="R4062">
            <v>0</v>
          </cell>
          <cell r="S4062">
            <v>0</v>
          </cell>
          <cell r="T4062">
            <v>0</v>
          </cell>
          <cell r="U4062">
            <v>0</v>
          </cell>
          <cell r="V4062">
            <v>0</v>
          </cell>
          <cell r="W4062">
            <v>0</v>
          </cell>
        </row>
        <row r="4063">
          <cell r="A4063" t="str">
            <v>450340</v>
          </cell>
          <cell r="B4063" t="str">
            <v>1254</v>
          </cell>
          <cell r="C4063" t="str">
            <v>12</v>
          </cell>
          <cell r="D4063" t="str">
            <v>47</v>
          </cell>
          <cell r="E4063">
            <v>41</v>
          </cell>
          <cell r="G4063">
            <v>0</v>
          </cell>
          <cell r="H4063">
            <v>0</v>
          </cell>
          <cell r="I4063">
            <v>0</v>
          </cell>
          <cell r="J4063">
            <v>0</v>
          </cell>
          <cell r="K4063">
            <v>0</v>
          </cell>
          <cell r="L4063">
            <v>0</v>
          </cell>
          <cell r="M4063">
            <v>0</v>
          </cell>
          <cell r="N4063">
            <v>0</v>
          </cell>
          <cell r="O4063">
            <v>0</v>
          </cell>
          <cell r="P4063">
            <v>0</v>
          </cell>
          <cell r="Q4063">
            <v>0</v>
          </cell>
          <cell r="R4063">
            <v>0</v>
          </cell>
          <cell r="S4063">
            <v>0</v>
          </cell>
          <cell r="T4063">
            <v>0</v>
          </cell>
          <cell r="U4063">
            <v>0</v>
          </cell>
          <cell r="V4063">
            <v>0</v>
          </cell>
          <cell r="W4063">
            <v>0</v>
          </cell>
        </row>
        <row r="4064">
          <cell r="A4064" t="str">
            <v>450340</v>
          </cell>
          <cell r="B4064" t="str">
            <v>1254</v>
          </cell>
          <cell r="C4064" t="str">
            <v>12</v>
          </cell>
          <cell r="D4064" t="str">
            <v>50</v>
          </cell>
          <cell r="E4064">
            <v>1</v>
          </cell>
          <cell r="G4064">
            <v>293222232</v>
          </cell>
          <cell r="H4064">
            <v>0</v>
          </cell>
          <cell r="I4064">
            <v>0</v>
          </cell>
          <cell r="J4064">
            <v>293222232</v>
          </cell>
          <cell r="K4064">
            <v>0</v>
          </cell>
          <cell r="L4064">
            <v>0</v>
          </cell>
          <cell r="M4064">
            <v>275386242</v>
          </cell>
          <cell r="N4064">
            <v>0</v>
          </cell>
          <cell r="O4064">
            <v>0</v>
          </cell>
          <cell r="P4064">
            <v>275386242</v>
          </cell>
          <cell r="Q4064">
            <v>0</v>
          </cell>
          <cell r="R4064">
            <v>0</v>
          </cell>
          <cell r="S4064">
            <v>222194181</v>
          </cell>
          <cell r="T4064">
            <v>222194181</v>
          </cell>
          <cell r="U4064">
            <v>222194181</v>
          </cell>
          <cell r="V4064">
            <v>0</v>
          </cell>
          <cell r="W4064">
            <v>0</v>
          </cell>
        </row>
        <row r="4065">
          <cell r="A4065" t="str">
            <v>450340</v>
          </cell>
          <cell r="B4065" t="str">
            <v>1254</v>
          </cell>
          <cell r="C4065" t="str">
            <v>12</v>
          </cell>
          <cell r="D4065" t="str">
            <v>50</v>
          </cell>
          <cell r="E4065">
            <v>6</v>
          </cell>
          <cell r="G4065">
            <v>22798558</v>
          </cell>
          <cell r="H4065">
            <v>23023765</v>
          </cell>
          <cell r="I4065">
            <v>23023765</v>
          </cell>
          <cell r="J4065">
            <v>319179817</v>
          </cell>
          <cell r="K4065">
            <v>322332710</v>
          </cell>
          <cell r="L4065">
            <v>322332710</v>
          </cell>
          <cell r="M4065">
            <v>17596</v>
          </cell>
          <cell r="N4065">
            <v>17596</v>
          </cell>
          <cell r="O4065">
            <v>17596</v>
          </cell>
          <cell r="P4065">
            <v>30767</v>
          </cell>
          <cell r="Q4065">
            <v>30946</v>
          </cell>
          <cell r="R4065">
            <v>30946</v>
          </cell>
          <cell r="S4065">
            <v>46417</v>
          </cell>
          <cell r="T4065">
            <v>46384</v>
          </cell>
          <cell r="U4065">
            <v>46417</v>
          </cell>
          <cell r="V4065">
            <v>0</v>
          </cell>
          <cell r="W4065">
            <v>0</v>
          </cell>
        </row>
        <row r="4066">
          <cell r="A4066" t="str">
            <v>450340</v>
          </cell>
          <cell r="B4066" t="str">
            <v>1254</v>
          </cell>
          <cell r="C4066" t="str">
            <v>12</v>
          </cell>
          <cell r="D4066" t="str">
            <v>50</v>
          </cell>
          <cell r="E4066">
            <v>11</v>
          </cell>
          <cell r="G4066">
            <v>15651</v>
          </cell>
          <cell r="H4066">
            <v>15438</v>
          </cell>
          <cell r="I4066">
            <v>15471</v>
          </cell>
          <cell r="J4066">
            <v>275386242</v>
          </cell>
          <cell r="K4066">
            <v>271642045</v>
          </cell>
          <cell r="L4066">
            <v>272233349</v>
          </cell>
          <cell r="M4066">
            <v>0</v>
          </cell>
          <cell r="N4066">
            <v>0</v>
          </cell>
          <cell r="O4066">
            <v>0</v>
          </cell>
          <cell r="P4066">
            <v>653051154</v>
          </cell>
          <cell r="Q4066">
            <v>0</v>
          </cell>
          <cell r="R4066">
            <v>0</v>
          </cell>
          <cell r="S4066">
            <v>0</v>
          </cell>
          <cell r="T4066">
            <v>0</v>
          </cell>
          <cell r="U4066">
            <v>0</v>
          </cell>
          <cell r="V4066">
            <v>0</v>
          </cell>
          <cell r="W4066">
            <v>0</v>
          </cell>
        </row>
        <row r="4067">
          <cell r="A4067" t="str">
            <v>450340</v>
          </cell>
          <cell r="B4067" t="str">
            <v>1254</v>
          </cell>
          <cell r="C4067" t="str">
            <v>12</v>
          </cell>
          <cell r="D4067" t="str">
            <v>50</v>
          </cell>
          <cell r="E4067">
            <v>16</v>
          </cell>
          <cell r="G4067">
            <v>275386242</v>
          </cell>
          <cell r="H4067">
            <v>271642045</v>
          </cell>
          <cell r="I4067">
            <v>272233349</v>
          </cell>
          <cell r="J4067">
            <v>0</v>
          </cell>
          <cell r="K4067">
            <v>3744197</v>
          </cell>
          <cell r="L4067">
            <v>0</v>
          </cell>
          <cell r="M4067">
            <v>0</v>
          </cell>
          <cell r="N4067">
            <v>0</v>
          </cell>
          <cell r="O4067">
            <v>0</v>
          </cell>
          <cell r="P4067">
            <v>0</v>
          </cell>
          <cell r="Q4067">
            <v>0</v>
          </cell>
          <cell r="R4067">
            <v>0</v>
          </cell>
          <cell r="S4067">
            <v>0</v>
          </cell>
          <cell r="T4067">
            <v>0</v>
          </cell>
          <cell r="U4067">
            <v>0</v>
          </cell>
          <cell r="V4067">
            <v>0</v>
          </cell>
          <cell r="W4067">
            <v>0</v>
          </cell>
        </row>
        <row r="4068">
          <cell r="A4068" t="str">
            <v>450340</v>
          </cell>
          <cell r="B4068" t="str">
            <v>1254</v>
          </cell>
          <cell r="C4068" t="str">
            <v>12</v>
          </cell>
          <cell r="D4068" t="str">
            <v>50</v>
          </cell>
          <cell r="E4068">
            <v>21</v>
          </cell>
          <cell r="G4068">
            <v>0</v>
          </cell>
          <cell r="H4068">
            <v>0</v>
          </cell>
          <cell r="I4068">
            <v>0</v>
          </cell>
          <cell r="J4068">
            <v>0</v>
          </cell>
          <cell r="K4068">
            <v>0</v>
          </cell>
          <cell r="L4068">
            <v>0</v>
          </cell>
          <cell r="M4068">
            <v>0</v>
          </cell>
          <cell r="N4068">
            <v>0</v>
          </cell>
          <cell r="O4068">
            <v>0</v>
          </cell>
          <cell r="P4068">
            <v>0</v>
          </cell>
          <cell r="Q4068">
            <v>0</v>
          </cell>
          <cell r="R4068">
            <v>0</v>
          </cell>
          <cell r="S4068">
            <v>0</v>
          </cell>
          <cell r="T4068">
            <v>0</v>
          </cell>
          <cell r="U4068">
            <v>0</v>
          </cell>
          <cell r="V4068">
            <v>0</v>
          </cell>
          <cell r="W4068">
            <v>0</v>
          </cell>
        </row>
        <row r="4069">
          <cell r="A4069" t="str">
            <v>450340</v>
          </cell>
          <cell r="B4069" t="str">
            <v>1254</v>
          </cell>
          <cell r="C4069" t="str">
            <v>12</v>
          </cell>
          <cell r="D4069" t="str">
            <v>31</v>
          </cell>
          <cell r="G4069">
            <v>1010001</v>
          </cell>
          <cell r="H4069">
            <v>17596</v>
          </cell>
          <cell r="I4069">
            <v>24634400</v>
          </cell>
          <cell r="J4069">
            <v>0</v>
          </cell>
          <cell r="K4069">
            <v>0</v>
          </cell>
          <cell r="L4069">
            <v>0</v>
          </cell>
          <cell r="M4069">
            <v>0</v>
          </cell>
          <cell r="N4069">
            <v>0</v>
          </cell>
          <cell r="O4069">
            <v>0</v>
          </cell>
          <cell r="P4069">
            <v>17596</v>
          </cell>
          <cell r="Q4069">
            <v>24634400</v>
          </cell>
          <cell r="R4069">
            <v>0</v>
          </cell>
          <cell r="S4069">
            <v>0</v>
          </cell>
          <cell r="T4069">
            <v>0</v>
          </cell>
          <cell r="U4069">
            <v>0</v>
          </cell>
          <cell r="V4069">
            <v>0</v>
          </cell>
          <cell r="W4069">
            <v>0</v>
          </cell>
        </row>
        <row r="4070">
          <cell r="A4070" t="str">
            <v>450340</v>
          </cell>
          <cell r="B4070" t="str">
            <v>1254</v>
          </cell>
          <cell r="C4070" t="str">
            <v>12</v>
          </cell>
          <cell r="D4070" t="str">
            <v>31</v>
          </cell>
          <cell r="G4070">
            <v>1010004</v>
          </cell>
          <cell r="H4070">
            <v>17596</v>
          </cell>
          <cell r="I4070">
            <v>9061940</v>
          </cell>
          <cell r="J4070">
            <v>0</v>
          </cell>
          <cell r="K4070">
            <v>0</v>
          </cell>
          <cell r="L4070">
            <v>0</v>
          </cell>
          <cell r="M4070">
            <v>0</v>
          </cell>
          <cell r="N4070">
            <v>0</v>
          </cell>
          <cell r="O4070">
            <v>0</v>
          </cell>
          <cell r="P4070">
            <v>17596</v>
          </cell>
          <cell r="Q4070">
            <v>9061940</v>
          </cell>
          <cell r="R4070">
            <v>0</v>
          </cell>
          <cell r="S4070">
            <v>0</v>
          </cell>
          <cell r="T4070">
            <v>0</v>
          </cell>
          <cell r="U4070">
            <v>0</v>
          </cell>
          <cell r="V4070">
            <v>0</v>
          </cell>
          <cell r="W4070">
            <v>0</v>
          </cell>
        </row>
        <row r="4071">
          <cell r="A4071" t="str">
            <v>450340</v>
          </cell>
          <cell r="B4071" t="str">
            <v>1254</v>
          </cell>
          <cell r="C4071" t="str">
            <v>12</v>
          </cell>
          <cell r="D4071" t="str">
            <v>31</v>
          </cell>
          <cell r="G4071">
            <v>1020001</v>
          </cell>
          <cell r="H4071">
            <v>1</v>
          </cell>
          <cell r="I4071">
            <v>3300000</v>
          </cell>
          <cell r="J4071">
            <v>0</v>
          </cell>
          <cell r="K4071">
            <v>0</v>
          </cell>
          <cell r="L4071">
            <v>0</v>
          </cell>
          <cell r="M4071">
            <v>0</v>
          </cell>
          <cell r="N4071">
            <v>0</v>
          </cell>
          <cell r="O4071">
            <v>0</v>
          </cell>
          <cell r="P4071">
            <v>1</v>
          </cell>
          <cell r="Q4071">
            <v>3300000</v>
          </cell>
          <cell r="R4071">
            <v>0</v>
          </cell>
          <cell r="S4071">
            <v>0</v>
          </cell>
          <cell r="T4071">
            <v>0</v>
          </cell>
          <cell r="U4071">
            <v>0</v>
          </cell>
          <cell r="V4071">
            <v>0</v>
          </cell>
          <cell r="W4071">
            <v>0</v>
          </cell>
        </row>
        <row r="4072">
          <cell r="A4072" t="str">
            <v>450340</v>
          </cell>
          <cell r="B4072" t="str">
            <v>1254</v>
          </cell>
          <cell r="C4072" t="str">
            <v>12</v>
          </cell>
          <cell r="D4072" t="str">
            <v>31</v>
          </cell>
          <cell r="G4072">
            <v>1020002</v>
          </cell>
          <cell r="H4072">
            <v>36870</v>
          </cell>
          <cell r="I4072">
            <v>16591500</v>
          </cell>
          <cell r="J4072">
            <v>0</v>
          </cell>
          <cell r="K4072">
            <v>0</v>
          </cell>
          <cell r="L4072">
            <v>0</v>
          </cell>
          <cell r="M4072">
            <v>0</v>
          </cell>
          <cell r="N4072">
            <v>0</v>
          </cell>
          <cell r="O4072">
            <v>0</v>
          </cell>
          <cell r="P4072">
            <v>36870</v>
          </cell>
          <cell r="Q4072">
            <v>16591500</v>
          </cell>
          <cell r="R4072">
            <v>0</v>
          </cell>
          <cell r="S4072">
            <v>0</v>
          </cell>
          <cell r="T4072">
            <v>0</v>
          </cell>
          <cell r="U4072">
            <v>0</v>
          </cell>
          <cell r="V4072">
            <v>0</v>
          </cell>
          <cell r="W4072">
            <v>0</v>
          </cell>
        </row>
        <row r="4073">
          <cell r="A4073" t="str">
            <v>450340</v>
          </cell>
          <cell r="B4073" t="str">
            <v>1254</v>
          </cell>
          <cell r="C4073" t="str">
            <v>12</v>
          </cell>
          <cell r="D4073" t="str">
            <v>31</v>
          </cell>
          <cell r="G4073">
            <v>1020003</v>
          </cell>
          <cell r="H4073">
            <v>42961</v>
          </cell>
          <cell r="I4073">
            <v>12029080</v>
          </cell>
          <cell r="J4073">
            <v>0</v>
          </cell>
          <cell r="K4073">
            <v>0</v>
          </cell>
          <cell r="L4073">
            <v>0</v>
          </cell>
          <cell r="M4073">
            <v>0</v>
          </cell>
          <cell r="N4073">
            <v>0</v>
          </cell>
          <cell r="O4073">
            <v>0</v>
          </cell>
          <cell r="P4073">
            <v>42961</v>
          </cell>
          <cell r="Q4073">
            <v>12029080</v>
          </cell>
          <cell r="R4073">
            <v>0</v>
          </cell>
          <cell r="S4073">
            <v>0</v>
          </cell>
          <cell r="T4073">
            <v>0</v>
          </cell>
          <cell r="U4073">
            <v>0</v>
          </cell>
          <cell r="V4073">
            <v>0</v>
          </cell>
          <cell r="W4073">
            <v>0</v>
          </cell>
        </row>
        <row r="4074">
          <cell r="A4074" t="str">
            <v>450340</v>
          </cell>
          <cell r="B4074" t="str">
            <v>1254</v>
          </cell>
          <cell r="C4074" t="str">
            <v>12</v>
          </cell>
          <cell r="D4074" t="str">
            <v>31</v>
          </cell>
          <cell r="G4074">
            <v>1020004</v>
          </cell>
          <cell r="H4074">
            <v>25393</v>
          </cell>
          <cell r="I4074">
            <v>3707378</v>
          </cell>
          <cell r="J4074">
            <v>0</v>
          </cell>
          <cell r="K4074">
            <v>0</v>
          </cell>
          <cell r="L4074">
            <v>0</v>
          </cell>
          <cell r="M4074">
            <v>0</v>
          </cell>
          <cell r="N4074">
            <v>0</v>
          </cell>
          <cell r="O4074">
            <v>0</v>
          </cell>
          <cell r="P4074">
            <v>25393</v>
          </cell>
          <cell r="Q4074">
            <v>3707378</v>
          </cell>
          <cell r="R4074">
            <v>0</v>
          </cell>
          <cell r="S4074">
            <v>0</v>
          </cell>
          <cell r="T4074">
            <v>0</v>
          </cell>
          <cell r="U4074">
            <v>0</v>
          </cell>
          <cell r="V4074">
            <v>0</v>
          </cell>
          <cell r="W4074">
            <v>0</v>
          </cell>
        </row>
        <row r="4075">
          <cell r="A4075" t="str">
            <v>450340</v>
          </cell>
          <cell r="B4075" t="str">
            <v>1254</v>
          </cell>
          <cell r="C4075" t="str">
            <v>12</v>
          </cell>
          <cell r="D4075" t="str">
            <v>31</v>
          </cell>
          <cell r="G4075">
            <v>1030001</v>
          </cell>
          <cell r="H4075">
            <v>12</v>
          </cell>
          <cell r="I4075">
            <v>3982800</v>
          </cell>
          <cell r="J4075">
            <v>0</v>
          </cell>
          <cell r="K4075">
            <v>0</v>
          </cell>
          <cell r="L4075">
            <v>0</v>
          </cell>
          <cell r="M4075">
            <v>0</v>
          </cell>
          <cell r="N4075">
            <v>0</v>
          </cell>
          <cell r="O4075">
            <v>0</v>
          </cell>
          <cell r="P4075">
            <v>12</v>
          </cell>
          <cell r="Q4075">
            <v>3982800</v>
          </cell>
          <cell r="R4075">
            <v>0</v>
          </cell>
          <cell r="S4075">
            <v>0</v>
          </cell>
          <cell r="T4075">
            <v>0</v>
          </cell>
          <cell r="U4075">
            <v>0</v>
          </cell>
          <cell r="V4075">
            <v>0</v>
          </cell>
          <cell r="W4075">
            <v>0</v>
          </cell>
        </row>
        <row r="4076">
          <cell r="A4076" t="str">
            <v>450340</v>
          </cell>
          <cell r="B4076" t="str">
            <v>1254</v>
          </cell>
          <cell r="C4076" t="str">
            <v>12</v>
          </cell>
          <cell r="D4076" t="str">
            <v>31</v>
          </cell>
          <cell r="G4076">
            <v>1050001</v>
          </cell>
          <cell r="H4076">
            <v>98</v>
          </cell>
          <cell r="I4076">
            <v>372400</v>
          </cell>
          <cell r="J4076">
            <v>0</v>
          </cell>
          <cell r="K4076">
            <v>0</v>
          </cell>
          <cell r="L4076">
            <v>0</v>
          </cell>
          <cell r="M4076">
            <v>0</v>
          </cell>
          <cell r="N4076">
            <v>0</v>
          </cell>
          <cell r="O4076">
            <v>0</v>
          </cell>
          <cell r="P4076">
            <v>98</v>
          </cell>
          <cell r="Q4076">
            <v>372400</v>
          </cell>
          <cell r="R4076">
            <v>0</v>
          </cell>
          <cell r="S4076">
            <v>0</v>
          </cell>
          <cell r="T4076">
            <v>0</v>
          </cell>
          <cell r="U4076">
            <v>0</v>
          </cell>
          <cell r="V4076">
            <v>0</v>
          </cell>
          <cell r="W4076">
            <v>0</v>
          </cell>
        </row>
        <row r="4077">
          <cell r="A4077" t="str">
            <v>450340</v>
          </cell>
          <cell r="B4077" t="str">
            <v>1254</v>
          </cell>
          <cell r="C4077" t="str">
            <v>12</v>
          </cell>
          <cell r="D4077" t="str">
            <v>31</v>
          </cell>
          <cell r="G4077">
            <v>1090001</v>
          </cell>
          <cell r="H4077">
            <v>0</v>
          </cell>
          <cell r="I4077">
            <v>87364140</v>
          </cell>
          <cell r="J4077">
            <v>0</v>
          </cell>
          <cell r="K4077">
            <v>0</v>
          </cell>
          <cell r="L4077">
            <v>0</v>
          </cell>
          <cell r="M4077">
            <v>0</v>
          </cell>
          <cell r="N4077">
            <v>0</v>
          </cell>
          <cell r="O4077">
            <v>0</v>
          </cell>
          <cell r="P4077">
            <v>0</v>
          </cell>
          <cell r="Q4077">
            <v>87364140</v>
          </cell>
          <cell r="R4077">
            <v>0</v>
          </cell>
          <cell r="S4077">
            <v>0</v>
          </cell>
          <cell r="T4077">
            <v>0</v>
          </cell>
          <cell r="U4077">
            <v>0</v>
          </cell>
          <cell r="V4077">
            <v>0</v>
          </cell>
          <cell r="W4077">
            <v>0</v>
          </cell>
        </row>
        <row r="4078">
          <cell r="A4078" t="str">
            <v>450340</v>
          </cell>
          <cell r="B4078" t="str">
            <v>1254</v>
          </cell>
          <cell r="C4078" t="str">
            <v>12</v>
          </cell>
          <cell r="D4078" t="str">
            <v>31</v>
          </cell>
          <cell r="G4078">
            <v>1100001</v>
          </cell>
          <cell r="H4078">
            <v>0</v>
          </cell>
          <cell r="I4078">
            <v>22264469</v>
          </cell>
          <cell r="J4078">
            <v>0</v>
          </cell>
          <cell r="K4078">
            <v>0</v>
          </cell>
          <cell r="L4078">
            <v>0</v>
          </cell>
          <cell r="M4078">
            <v>0</v>
          </cell>
          <cell r="N4078">
            <v>0</v>
          </cell>
          <cell r="O4078">
            <v>0</v>
          </cell>
          <cell r="P4078">
            <v>0</v>
          </cell>
          <cell r="Q4078">
            <v>22264469</v>
          </cell>
          <cell r="R4078">
            <v>0</v>
          </cell>
          <cell r="S4078">
            <v>0</v>
          </cell>
          <cell r="T4078">
            <v>0</v>
          </cell>
          <cell r="U4078">
            <v>0</v>
          </cell>
          <cell r="V4078">
            <v>0</v>
          </cell>
          <cell r="W4078">
            <v>0</v>
          </cell>
        </row>
        <row r="4079">
          <cell r="A4079" t="str">
            <v>450340</v>
          </cell>
          <cell r="B4079" t="str">
            <v>1254</v>
          </cell>
          <cell r="C4079" t="str">
            <v>12</v>
          </cell>
          <cell r="D4079" t="str">
            <v>31</v>
          </cell>
          <cell r="G4079">
            <v>1110003</v>
          </cell>
          <cell r="H4079">
            <v>18338</v>
          </cell>
          <cell r="I4079">
            <v>7243510</v>
          </cell>
          <cell r="J4079">
            <v>0</v>
          </cell>
          <cell r="K4079">
            <v>0</v>
          </cell>
          <cell r="L4079">
            <v>0</v>
          </cell>
          <cell r="M4079">
            <v>0</v>
          </cell>
          <cell r="N4079">
            <v>0</v>
          </cell>
          <cell r="O4079">
            <v>0</v>
          </cell>
          <cell r="P4079">
            <v>18338</v>
          </cell>
          <cell r="Q4079">
            <v>7243510</v>
          </cell>
          <cell r="R4079">
            <v>0</v>
          </cell>
          <cell r="S4079">
            <v>0</v>
          </cell>
          <cell r="T4079">
            <v>0</v>
          </cell>
          <cell r="U4079">
            <v>0</v>
          </cell>
          <cell r="V4079">
            <v>0</v>
          </cell>
          <cell r="W4079">
            <v>0</v>
          </cell>
        </row>
        <row r="4080">
          <cell r="A4080" t="str">
            <v>450340</v>
          </cell>
          <cell r="B4080" t="str">
            <v>1254</v>
          </cell>
          <cell r="C4080" t="str">
            <v>12</v>
          </cell>
          <cell r="D4080" t="str">
            <v>31</v>
          </cell>
          <cell r="G4080">
            <v>1110008</v>
          </cell>
          <cell r="H4080">
            <v>18338</v>
          </cell>
          <cell r="I4080">
            <v>7243510</v>
          </cell>
          <cell r="J4080">
            <v>0</v>
          </cell>
          <cell r="K4080">
            <v>0</v>
          </cell>
          <cell r="L4080">
            <v>0</v>
          </cell>
          <cell r="M4080">
            <v>0</v>
          </cell>
          <cell r="N4080">
            <v>0</v>
          </cell>
          <cell r="O4080">
            <v>0</v>
          </cell>
          <cell r="P4080">
            <v>18338</v>
          </cell>
          <cell r="Q4080">
            <v>7243510</v>
          </cell>
          <cell r="R4080">
            <v>0</v>
          </cell>
          <cell r="S4080">
            <v>0</v>
          </cell>
          <cell r="T4080">
            <v>0</v>
          </cell>
          <cell r="U4080">
            <v>0</v>
          </cell>
          <cell r="V4080">
            <v>0</v>
          </cell>
          <cell r="W4080">
            <v>0</v>
          </cell>
        </row>
        <row r="4081">
          <cell r="A4081" t="str">
            <v>450340</v>
          </cell>
          <cell r="B4081" t="str">
            <v>1254</v>
          </cell>
          <cell r="C4081" t="str">
            <v>12</v>
          </cell>
          <cell r="D4081" t="str">
            <v>31</v>
          </cell>
          <cell r="G4081">
            <v>1110012</v>
          </cell>
          <cell r="H4081">
            <v>58</v>
          </cell>
          <cell r="I4081">
            <v>4106400</v>
          </cell>
          <cell r="J4081">
            <v>0</v>
          </cell>
          <cell r="K4081">
            <v>0</v>
          </cell>
          <cell r="L4081">
            <v>0</v>
          </cell>
          <cell r="M4081">
            <v>0</v>
          </cell>
          <cell r="N4081">
            <v>0</v>
          </cell>
          <cell r="O4081">
            <v>0</v>
          </cell>
          <cell r="P4081">
            <v>60</v>
          </cell>
          <cell r="Q4081">
            <v>4248000</v>
          </cell>
          <cell r="R4081">
            <v>2</v>
          </cell>
          <cell r="S4081">
            <v>141600</v>
          </cell>
          <cell r="T4081">
            <v>0</v>
          </cell>
          <cell r="U4081">
            <v>0</v>
          </cell>
          <cell r="V4081">
            <v>0</v>
          </cell>
          <cell r="W4081">
            <v>0</v>
          </cell>
        </row>
        <row r="4082">
          <cell r="A4082" t="str">
            <v>450340</v>
          </cell>
          <cell r="B4082" t="str">
            <v>1254</v>
          </cell>
          <cell r="C4082" t="str">
            <v>12</v>
          </cell>
          <cell r="D4082" t="str">
            <v>31</v>
          </cell>
          <cell r="G4082">
            <v>1110013</v>
          </cell>
          <cell r="H4082">
            <v>33</v>
          </cell>
          <cell r="I4082">
            <v>3458400</v>
          </cell>
          <cell r="J4082">
            <v>0</v>
          </cell>
          <cell r="K4082">
            <v>0</v>
          </cell>
          <cell r="L4082">
            <v>0</v>
          </cell>
          <cell r="M4082">
            <v>0</v>
          </cell>
          <cell r="N4082">
            <v>0</v>
          </cell>
          <cell r="O4082">
            <v>0</v>
          </cell>
          <cell r="P4082">
            <v>17</v>
          </cell>
          <cell r="Q4082">
            <v>1781600</v>
          </cell>
          <cell r="R4082">
            <v>-16</v>
          </cell>
          <cell r="S4082">
            <v>-1676800</v>
          </cell>
          <cell r="T4082">
            <v>0</v>
          </cell>
          <cell r="U4082">
            <v>0</v>
          </cell>
          <cell r="V4082">
            <v>0</v>
          </cell>
          <cell r="W4082">
            <v>0</v>
          </cell>
        </row>
        <row r="4083">
          <cell r="A4083" t="str">
            <v>450340</v>
          </cell>
          <cell r="B4083" t="str">
            <v>1254</v>
          </cell>
          <cell r="C4083" t="str">
            <v>12</v>
          </cell>
          <cell r="D4083" t="str">
            <v>31</v>
          </cell>
          <cell r="G4083">
            <v>1110021</v>
          </cell>
          <cell r="H4083">
            <v>45</v>
          </cell>
          <cell r="I4083">
            <v>8865000</v>
          </cell>
          <cell r="J4083">
            <v>0</v>
          </cell>
          <cell r="K4083">
            <v>0</v>
          </cell>
          <cell r="L4083">
            <v>0</v>
          </cell>
          <cell r="M4083">
            <v>0</v>
          </cell>
          <cell r="N4083">
            <v>0</v>
          </cell>
          <cell r="O4083">
            <v>0</v>
          </cell>
          <cell r="P4083">
            <v>45</v>
          </cell>
          <cell r="Q4083">
            <v>8865000</v>
          </cell>
          <cell r="R4083">
            <v>0</v>
          </cell>
          <cell r="S4083">
            <v>0</v>
          </cell>
          <cell r="T4083">
            <v>0</v>
          </cell>
          <cell r="U4083">
            <v>0</v>
          </cell>
          <cell r="V4083">
            <v>0</v>
          </cell>
          <cell r="W4083">
            <v>0</v>
          </cell>
        </row>
        <row r="4084">
          <cell r="A4084" t="str">
            <v>450340</v>
          </cell>
          <cell r="B4084" t="str">
            <v>1254</v>
          </cell>
          <cell r="C4084" t="str">
            <v>12</v>
          </cell>
          <cell r="D4084" t="str">
            <v>31</v>
          </cell>
          <cell r="G4084">
            <v>1120004</v>
          </cell>
          <cell r="H4084">
            <v>50</v>
          </cell>
          <cell r="I4084">
            <v>40750000</v>
          </cell>
          <cell r="J4084">
            <v>0</v>
          </cell>
          <cell r="K4084">
            <v>0</v>
          </cell>
          <cell r="L4084">
            <v>0</v>
          </cell>
          <cell r="M4084">
            <v>0</v>
          </cell>
          <cell r="N4084">
            <v>0</v>
          </cell>
          <cell r="O4084">
            <v>0</v>
          </cell>
          <cell r="P4084">
            <v>50</v>
          </cell>
          <cell r="Q4084">
            <v>40750000</v>
          </cell>
          <cell r="R4084">
            <v>0</v>
          </cell>
          <cell r="S4084">
            <v>0</v>
          </cell>
          <cell r="T4084">
            <v>0</v>
          </cell>
          <cell r="U4084">
            <v>0</v>
          </cell>
          <cell r="V4084">
            <v>0</v>
          </cell>
          <cell r="W4084">
            <v>0</v>
          </cell>
        </row>
        <row r="4085">
          <cell r="A4085" t="str">
            <v>450340</v>
          </cell>
          <cell r="B4085" t="str">
            <v>1254</v>
          </cell>
          <cell r="C4085" t="str">
            <v>12</v>
          </cell>
          <cell r="D4085" t="str">
            <v>31</v>
          </cell>
          <cell r="G4085">
            <v>1120007</v>
          </cell>
          <cell r="H4085">
            <v>170</v>
          </cell>
          <cell r="I4085">
            <v>124100000</v>
          </cell>
          <cell r="J4085">
            <v>0</v>
          </cell>
          <cell r="K4085">
            <v>0</v>
          </cell>
          <cell r="L4085">
            <v>0</v>
          </cell>
          <cell r="M4085">
            <v>0</v>
          </cell>
          <cell r="N4085">
            <v>0</v>
          </cell>
          <cell r="O4085">
            <v>0</v>
          </cell>
          <cell r="P4085">
            <v>157</v>
          </cell>
          <cell r="Q4085">
            <v>114610000</v>
          </cell>
          <cell r="R4085">
            <v>-13</v>
          </cell>
          <cell r="S4085">
            <v>-9490000</v>
          </cell>
          <cell r="T4085">
            <v>0</v>
          </cell>
          <cell r="U4085">
            <v>0</v>
          </cell>
          <cell r="V4085">
            <v>0</v>
          </cell>
          <cell r="W4085">
            <v>0</v>
          </cell>
        </row>
        <row r="4086">
          <cell r="A4086" t="str">
            <v>450340</v>
          </cell>
          <cell r="B4086" t="str">
            <v>1254</v>
          </cell>
          <cell r="C4086" t="str">
            <v>12</v>
          </cell>
          <cell r="D4086" t="str">
            <v>31</v>
          </cell>
          <cell r="G4086">
            <v>1140001</v>
          </cell>
          <cell r="H4086">
            <v>38</v>
          </cell>
          <cell r="I4086">
            <v>17480000</v>
          </cell>
          <cell r="J4086">
            <v>0</v>
          </cell>
          <cell r="K4086">
            <v>0</v>
          </cell>
          <cell r="L4086">
            <v>0</v>
          </cell>
          <cell r="M4086">
            <v>0</v>
          </cell>
          <cell r="N4086">
            <v>0</v>
          </cell>
          <cell r="O4086">
            <v>0</v>
          </cell>
          <cell r="P4086">
            <v>39</v>
          </cell>
          <cell r="Q4086">
            <v>17940000</v>
          </cell>
          <cell r="R4086">
            <v>1</v>
          </cell>
          <cell r="S4086">
            <v>460000</v>
          </cell>
          <cell r="T4086">
            <v>0</v>
          </cell>
          <cell r="U4086">
            <v>0</v>
          </cell>
          <cell r="V4086">
            <v>0</v>
          </cell>
          <cell r="W4086">
            <v>0</v>
          </cell>
        </row>
        <row r="4087">
          <cell r="A4087" t="str">
            <v>450340</v>
          </cell>
          <cell r="B4087" t="str">
            <v>1254</v>
          </cell>
          <cell r="C4087" t="str">
            <v>12</v>
          </cell>
          <cell r="D4087" t="str">
            <v>31</v>
          </cell>
          <cell r="G4087">
            <v>1140003</v>
          </cell>
          <cell r="H4087">
            <v>13</v>
          </cell>
          <cell r="I4087">
            <v>650000</v>
          </cell>
          <cell r="J4087">
            <v>0</v>
          </cell>
          <cell r="K4087">
            <v>0</v>
          </cell>
          <cell r="L4087">
            <v>0</v>
          </cell>
          <cell r="M4087">
            <v>0</v>
          </cell>
          <cell r="N4087">
            <v>0</v>
          </cell>
          <cell r="O4087">
            <v>0</v>
          </cell>
          <cell r="P4087">
            <v>6</v>
          </cell>
          <cell r="Q4087">
            <v>300000</v>
          </cell>
          <cell r="R4087">
            <v>-7</v>
          </cell>
          <cell r="S4087">
            <v>-350000</v>
          </cell>
          <cell r="T4087">
            <v>0</v>
          </cell>
          <cell r="U4087">
            <v>0</v>
          </cell>
          <cell r="V4087">
            <v>0</v>
          </cell>
          <cell r="W4087">
            <v>0</v>
          </cell>
        </row>
        <row r="4088">
          <cell r="A4088" t="str">
            <v>450340</v>
          </cell>
          <cell r="B4088" t="str">
            <v>1254</v>
          </cell>
          <cell r="C4088" t="str">
            <v>12</v>
          </cell>
          <cell r="D4088" t="str">
            <v>31</v>
          </cell>
          <cell r="G4088">
            <v>1150001</v>
          </cell>
          <cell r="H4088">
            <v>557</v>
          </cell>
          <cell r="I4088">
            <v>110843000</v>
          </cell>
          <cell r="J4088">
            <v>0</v>
          </cell>
          <cell r="K4088">
            <v>0</v>
          </cell>
          <cell r="L4088">
            <v>0</v>
          </cell>
          <cell r="M4088">
            <v>0</v>
          </cell>
          <cell r="N4088">
            <v>0</v>
          </cell>
          <cell r="O4088">
            <v>0</v>
          </cell>
          <cell r="P4088">
            <v>553</v>
          </cell>
          <cell r="Q4088">
            <v>110047000</v>
          </cell>
          <cell r="R4088">
            <v>-4</v>
          </cell>
          <cell r="S4088">
            <v>-796000</v>
          </cell>
          <cell r="T4088">
            <v>0</v>
          </cell>
          <cell r="U4088">
            <v>0</v>
          </cell>
          <cell r="V4088">
            <v>0</v>
          </cell>
          <cell r="W4088">
            <v>0</v>
          </cell>
        </row>
        <row r="4089">
          <cell r="A4089" t="str">
            <v>450340</v>
          </cell>
          <cell r="B4089" t="str">
            <v>1254</v>
          </cell>
          <cell r="C4089" t="str">
            <v>12</v>
          </cell>
          <cell r="D4089" t="str">
            <v>31</v>
          </cell>
          <cell r="G4089">
            <v>1160001</v>
          </cell>
          <cell r="H4089">
            <v>724</v>
          </cell>
          <cell r="I4089">
            <v>147696000</v>
          </cell>
          <cell r="J4089">
            <v>0</v>
          </cell>
          <cell r="K4089">
            <v>0</v>
          </cell>
          <cell r="L4089">
            <v>0</v>
          </cell>
          <cell r="M4089">
            <v>0</v>
          </cell>
          <cell r="N4089">
            <v>0</v>
          </cell>
          <cell r="O4089">
            <v>0</v>
          </cell>
          <cell r="P4089">
            <v>717</v>
          </cell>
          <cell r="Q4089">
            <v>146268000</v>
          </cell>
          <cell r="R4089">
            <v>-7</v>
          </cell>
          <cell r="S4089">
            <v>-1428000</v>
          </cell>
          <cell r="T4089">
            <v>0</v>
          </cell>
          <cell r="U4089">
            <v>0</v>
          </cell>
          <cell r="V4089">
            <v>0</v>
          </cell>
          <cell r="W4089">
            <v>0</v>
          </cell>
        </row>
        <row r="4090">
          <cell r="A4090" t="str">
            <v>450340</v>
          </cell>
          <cell r="B4090" t="str">
            <v>1254</v>
          </cell>
          <cell r="C4090" t="str">
            <v>12</v>
          </cell>
          <cell r="D4090" t="str">
            <v>31</v>
          </cell>
          <cell r="G4090">
            <v>1160003</v>
          </cell>
          <cell r="H4090">
            <v>981</v>
          </cell>
          <cell r="I4090">
            <v>207972000</v>
          </cell>
          <cell r="J4090">
            <v>0</v>
          </cell>
          <cell r="K4090">
            <v>0</v>
          </cell>
          <cell r="L4090">
            <v>0</v>
          </cell>
          <cell r="M4090">
            <v>0</v>
          </cell>
          <cell r="N4090">
            <v>0</v>
          </cell>
          <cell r="O4090">
            <v>0</v>
          </cell>
          <cell r="P4090">
            <v>983</v>
          </cell>
          <cell r="Q4090">
            <v>208396000</v>
          </cell>
          <cell r="R4090">
            <v>2</v>
          </cell>
          <cell r="S4090">
            <v>424000</v>
          </cell>
          <cell r="T4090">
            <v>0</v>
          </cell>
          <cell r="U4090">
            <v>0</v>
          </cell>
          <cell r="V4090">
            <v>0</v>
          </cell>
          <cell r="W4090">
            <v>0</v>
          </cell>
        </row>
        <row r="4091">
          <cell r="A4091" t="str">
            <v>450340</v>
          </cell>
          <cell r="B4091" t="str">
            <v>1254</v>
          </cell>
          <cell r="C4091" t="str">
            <v>12</v>
          </cell>
          <cell r="D4091" t="str">
            <v>31</v>
          </cell>
          <cell r="G4091">
            <v>1160007</v>
          </cell>
          <cell r="H4091">
            <v>2271</v>
          </cell>
          <cell r="I4091">
            <v>595002000</v>
          </cell>
          <cell r="J4091">
            <v>0</v>
          </cell>
          <cell r="K4091">
            <v>0</v>
          </cell>
          <cell r="L4091">
            <v>0</v>
          </cell>
          <cell r="M4091">
            <v>0</v>
          </cell>
          <cell r="N4091">
            <v>0</v>
          </cell>
          <cell r="O4091">
            <v>0</v>
          </cell>
          <cell r="P4091">
            <v>2213</v>
          </cell>
          <cell r="Q4091">
            <v>579806000</v>
          </cell>
          <cell r="R4091">
            <v>-58</v>
          </cell>
          <cell r="S4091">
            <v>-15196000</v>
          </cell>
          <cell r="T4091">
            <v>0</v>
          </cell>
          <cell r="U4091">
            <v>0</v>
          </cell>
          <cell r="V4091">
            <v>0</v>
          </cell>
          <cell r="W4091">
            <v>0</v>
          </cell>
        </row>
        <row r="4092">
          <cell r="A4092" t="str">
            <v>450340</v>
          </cell>
          <cell r="B4092" t="str">
            <v>1254</v>
          </cell>
          <cell r="C4092" t="str">
            <v>12</v>
          </cell>
          <cell r="D4092" t="str">
            <v>31</v>
          </cell>
          <cell r="G4092">
            <v>1160013</v>
          </cell>
          <cell r="H4092">
            <v>157</v>
          </cell>
          <cell r="I4092">
            <v>82268000</v>
          </cell>
          <cell r="J4092">
            <v>0</v>
          </cell>
          <cell r="K4092">
            <v>0</v>
          </cell>
          <cell r="L4092">
            <v>-3</v>
          </cell>
          <cell r="M4092">
            <v>-1572000</v>
          </cell>
          <cell r="N4092">
            <v>-1</v>
          </cell>
          <cell r="O4092">
            <v>-524000</v>
          </cell>
          <cell r="P4092">
            <v>153</v>
          </cell>
          <cell r="Q4092">
            <v>80172000</v>
          </cell>
          <cell r="R4092">
            <v>0</v>
          </cell>
          <cell r="S4092">
            <v>0</v>
          </cell>
          <cell r="T4092">
            <v>0</v>
          </cell>
          <cell r="U4092">
            <v>0</v>
          </cell>
          <cell r="V4092">
            <v>0</v>
          </cell>
          <cell r="W4092">
            <v>0</v>
          </cell>
        </row>
        <row r="4093">
          <cell r="A4093" t="str">
            <v>450340</v>
          </cell>
          <cell r="B4093" t="str">
            <v>1254</v>
          </cell>
          <cell r="C4093" t="str">
            <v>12</v>
          </cell>
          <cell r="D4093" t="str">
            <v>31</v>
          </cell>
          <cell r="G4093">
            <v>1160017</v>
          </cell>
          <cell r="H4093">
            <v>723</v>
          </cell>
          <cell r="I4093">
            <v>151830000</v>
          </cell>
          <cell r="J4093">
            <v>0</v>
          </cell>
          <cell r="K4093">
            <v>0</v>
          </cell>
          <cell r="L4093">
            <v>0</v>
          </cell>
          <cell r="M4093">
            <v>0</v>
          </cell>
          <cell r="N4093">
            <v>0</v>
          </cell>
          <cell r="O4093">
            <v>0</v>
          </cell>
          <cell r="P4093">
            <v>748</v>
          </cell>
          <cell r="Q4093">
            <v>157080000</v>
          </cell>
          <cell r="R4093">
            <v>25</v>
          </cell>
          <cell r="S4093">
            <v>5250000</v>
          </cell>
          <cell r="T4093">
            <v>0</v>
          </cell>
          <cell r="U4093">
            <v>0</v>
          </cell>
          <cell r="V4093">
            <v>0</v>
          </cell>
          <cell r="W4093">
            <v>0</v>
          </cell>
        </row>
        <row r="4094">
          <cell r="A4094" t="str">
            <v>450340</v>
          </cell>
          <cell r="B4094" t="str">
            <v>1254</v>
          </cell>
          <cell r="C4094" t="str">
            <v>12</v>
          </cell>
          <cell r="D4094" t="str">
            <v>31</v>
          </cell>
          <cell r="G4094">
            <v>1160019</v>
          </cell>
          <cell r="H4094">
            <v>152</v>
          </cell>
          <cell r="I4094">
            <v>17024000</v>
          </cell>
          <cell r="J4094">
            <v>0</v>
          </cell>
          <cell r="K4094">
            <v>0</v>
          </cell>
          <cell r="L4094">
            <v>0</v>
          </cell>
          <cell r="M4094">
            <v>0</v>
          </cell>
          <cell r="N4094">
            <v>0</v>
          </cell>
          <cell r="O4094">
            <v>0</v>
          </cell>
          <cell r="P4094">
            <v>158</v>
          </cell>
          <cell r="Q4094">
            <v>17696000</v>
          </cell>
          <cell r="R4094">
            <v>6</v>
          </cell>
          <cell r="S4094">
            <v>672000</v>
          </cell>
          <cell r="T4094">
            <v>0</v>
          </cell>
          <cell r="U4094">
            <v>0</v>
          </cell>
          <cell r="V4094">
            <v>0</v>
          </cell>
          <cell r="W4094">
            <v>0</v>
          </cell>
        </row>
        <row r="4095">
          <cell r="A4095" t="str">
            <v>450340</v>
          </cell>
          <cell r="B4095" t="str">
            <v>1254</v>
          </cell>
          <cell r="C4095" t="str">
            <v>12</v>
          </cell>
          <cell r="D4095" t="str">
            <v>31</v>
          </cell>
          <cell r="G4095">
            <v>1160020</v>
          </cell>
          <cell r="H4095">
            <v>325</v>
          </cell>
          <cell r="I4095">
            <v>50960000</v>
          </cell>
          <cell r="J4095">
            <v>0</v>
          </cell>
          <cell r="K4095">
            <v>0</v>
          </cell>
          <cell r="L4095">
            <v>0</v>
          </cell>
          <cell r="M4095">
            <v>0</v>
          </cell>
          <cell r="N4095">
            <v>0</v>
          </cell>
          <cell r="O4095">
            <v>0</v>
          </cell>
          <cell r="P4095">
            <v>329</v>
          </cell>
          <cell r="Q4095">
            <v>51587200</v>
          </cell>
          <cell r="R4095">
            <v>4</v>
          </cell>
          <cell r="S4095">
            <v>627200</v>
          </cell>
          <cell r="T4095">
            <v>0</v>
          </cell>
          <cell r="U4095">
            <v>0</v>
          </cell>
          <cell r="V4095">
            <v>0</v>
          </cell>
          <cell r="W4095">
            <v>0</v>
          </cell>
        </row>
        <row r="4096">
          <cell r="A4096" t="str">
            <v>450340</v>
          </cell>
          <cell r="B4096" t="str">
            <v>1254</v>
          </cell>
          <cell r="C4096" t="str">
            <v>12</v>
          </cell>
          <cell r="D4096" t="str">
            <v>31</v>
          </cell>
          <cell r="G4096">
            <v>1160021</v>
          </cell>
          <cell r="H4096">
            <v>137</v>
          </cell>
          <cell r="I4096">
            <v>9206400</v>
          </cell>
          <cell r="J4096">
            <v>0</v>
          </cell>
          <cell r="K4096">
            <v>0</v>
          </cell>
          <cell r="L4096">
            <v>0</v>
          </cell>
          <cell r="M4096">
            <v>0</v>
          </cell>
          <cell r="N4096">
            <v>0</v>
          </cell>
          <cell r="O4096">
            <v>0</v>
          </cell>
          <cell r="P4096">
            <v>145</v>
          </cell>
          <cell r="Q4096">
            <v>9744000</v>
          </cell>
          <cell r="R4096">
            <v>8</v>
          </cell>
          <cell r="S4096">
            <v>537600</v>
          </cell>
          <cell r="T4096">
            <v>0</v>
          </cell>
          <cell r="U4096">
            <v>0</v>
          </cell>
          <cell r="V4096">
            <v>0</v>
          </cell>
          <cell r="W4096">
            <v>0</v>
          </cell>
        </row>
        <row r="4097">
          <cell r="A4097" t="str">
            <v>450340</v>
          </cell>
          <cell r="B4097" t="str">
            <v>1254</v>
          </cell>
          <cell r="C4097" t="str">
            <v>12</v>
          </cell>
          <cell r="D4097" t="str">
            <v>31</v>
          </cell>
          <cell r="G4097">
            <v>1160022</v>
          </cell>
          <cell r="H4097">
            <v>87</v>
          </cell>
          <cell r="I4097">
            <v>1948800</v>
          </cell>
          <cell r="J4097">
            <v>0</v>
          </cell>
          <cell r="K4097">
            <v>0</v>
          </cell>
          <cell r="L4097">
            <v>0</v>
          </cell>
          <cell r="M4097">
            <v>0</v>
          </cell>
          <cell r="N4097">
            <v>0</v>
          </cell>
          <cell r="O4097">
            <v>0</v>
          </cell>
          <cell r="P4097">
            <v>97</v>
          </cell>
          <cell r="Q4097">
            <v>2172800</v>
          </cell>
          <cell r="R4097">
            <v>10</v>
          </cell>
          <cell r="S4097">
            <v>224000</v>
          </cell>
          <cell r="T4097">
            <v>0</v>
          </cell>
          <cell r="U4097">
            <v>0</v>
          </cell>
          <cell r="V4097">
            <v>0</v>
          </cell>
          <cell r="W4097">
            <v>0</v>
          </cell>
        </row>
        <row r="4098">
          <cell r="A4098" t="str">
            <v>450340</v>
          </cell>
          <cell r="B4098" t="str">
            <v>1254</v>
          </cell>
          <cell r="C4098" t="str">
            <v>12</v>
          </cell>
          <cell r="D4098" t="str">
            <v>31</v>
          </cell>
          <cell r="G4098">
            <v>1170001</v>
          </cell>
          <cell r="H4098">
            <v>3</v>
          </cell>
          <cell r="I4098">
            <v>1392000</v>
          </cell>
          <cell r="J4098">
            <v>0</v>
          </cell>
          <cell r="K4098">
            <v>0</v>
          </cell>
          <cell r="L4098">
            <v>0</v>
          </cell>
          <cell r="M4098">
            <v>0</v>
          </cell>
          <cell r="N4098">
            <v>0</v>
          </cell>
          <cell r="O4098">
            <v>0</v>
          </cell>
          <cell r="P4098">
            <v>3</v>
          </cell>
          <cell r="Q4098">
            <v>1392000</v>
          </cell>
          <cell r="R4098">
            <v>0</v>
          </cell>
          <cell r="S4098">
            <v>0</v>
          </cell>
          <cell r="T4098">
            <v>0</v>
          </cell>
          <cell r="U4098">
            <v>0</v>
          </cell>
          <cell r="V4098">
            <v>0</v>
          </cell>
          <cell r="W4098">
            <v>0</v>
          </cell>
        </row>
        <row r="4099">
          <cell r="A4099" t="str">
            <v>450340</v>
          </cell>
          <cell r="B4099" t="str">
            <v>1254</v>
          </cell>
          <cell r="C4099" t="str">
            <v>12</v>
          </cell>
          <cell r="D4099" t="str">
            <v>31</v>
          </cell>
          <cell r="G4099">
            <v>1170002</v>
          </cell>
          <cell r="H4099">
            <v>14</v>
          </cell>
          <cell r="I4099">
            <v>6496000</v>
          </cell>
          <cell r="J4099">
            <v>0</v>
          </cell>
          <cell r="K4099">
            <v>0</v>
          </cell>
          <cell r="L4099">
            <v>0</v>
          </cell>
          <cell r="M4099">
            <v>0</v>
          </cell>
          <cell r="N4099">
            <v>0</v>
          </cell>
          <cell r="O4099">
            <v>0</v>
          </cell>
          <cell r="P4099">
            <v>14</v>
          </cell>
          <cell r="Q4099">
            <v>6496000</v>
          </cell>
          <cell r="R4099">
            <v>0</v>
          </cell>
          <cell r="S4099">
            <v>0</v>
          </cell>
          <cell r="T4099">
            <v>0</v>
          </cell>
          <cell r="U4099">
            <v>0</v>
          </cell>
          <cell r="V4099">
            <v>0</v>
          </cell>
          <cell r="W4099">
            <v>0</v>
          </cell>
        </row>
        <row r="4100">
          <cell r="A4100" t="str">
            <v>450340</v>
          </cell>
          <cell r="B4100" t="str">
            <v>1254</v>
          </cell>
          <cell r="C4100" t="str">
            <v>12</v>
          </cell>
          <cell r="D4100" t="str">
            <v>31</v>
          </cell>
          <cell r="G4100">
            <v>1170004</v>
          </cell>
          <cell r="H4100">
            <v>10</v>
          </cell>
          <cell r="I4100">
            <v>4640000</v>
          </cell>
          <cell r="J4100">
            <v>0</v>
          </cell>
          <cell r="K4100">
            <v>0</v>
          </cell>
          <cell r="L4100">
            <v>0</v>
          </cell>
          <cell r="M4100">
            <v>0</v>
          </cell>
          <cell r="N4100">
            <v>0</v>
          </cell>
          <cell r="O4100">
            <v>0</v>
          </cell>
          <cell r="P4100">
            <v>10</v>
          </cell>
          <cell r="Q4100">
            <v>4640000</v>
          </cell>
          <cell r="R4100">
            <v>0</v>
          </cell>
          <cell r="S4100">
            <v>0</v>
          </cell>
          <cell r="T4100">
            <v>0</v>
          </cell>
          <cell r="U4100">
            <v>0</v>
          </cell>
          <cell r="V4100">
            <v>0</v>
          </cell>
          <cell r="W4100">
            <v>0</v>
          </cell>
        </row>
        <row r="4101">
          <cell r="A4101" t="str">
            <v>450340</v>
          </cell>
          <cell r="B4101" t="str">
            <v>1254</v>
          </cell>
          <cell r="C4101" t="str">
            <v>12</v>
          </cell>
          <cell r="D4101" t="str">
            <v>31</v>
          </cell>
          <cell r="G4101">
            <v>1170008</v>
          </cell>
          <cell r="H4101">
            <v>17</v>
          </cell>
          <cell r="I4101">
            <v>7888000</v>
          </cell>
          <cell r="J4101">
            <v>0</v>
          </cell>
          <cell r="K4101">
            <v>0</v>
          </cell>
          <cell r="L4101">
            <v>0</v>
          </cell>
          <cell r="M4101">
            <v>0</v>
          </cell>
          <cell r="N4101">
            <v>0</v>
          </cell>
          <cell r="O4101">
            <v>0</v>
          </cell>
          <cell r="P4101">
            <v>17</v>
          </cell>
          <cell r="Q4101">
            <v>7888000</v>
          </cell>
          <cell r="R4101">
            <v>0</v>
          </cell>
          <cell r="S4101">
            <v>0</v>
          </cell>
          <cell r="T4101">
            <v>0</v>
          </cell>
          <cell r="U4101">
            <v>0</v>
          </cell>
          <cell r="V4101">
            <v>0</v>
          </cell>
          <cell r="W4101">
            <v>0</v>
          </cell>
        </row>
        <row r="4102">
          <cell r="A4102" t="str">
            <v>450340</v>
          </cell>
          <cell r="B4102" t="str">
            <v>1254</v>
          </cell>
          <cell r="C4102" t="str">
            <v>12</v>
          </cell>
          <cell r="D4102" t="str">
            <v>31</v>
          </cell>
          <cell r="G4102">
            <v>1170010</v>
          </cell>
          <cell r="H4102">
            <v>3</v>
          </cell>
          <cell r="I4102">
            <v>1392000</v>
          </cell>
          <cell r="J4102">
            <v>0</v>
          </cell>
          <cell r="K4102">
            <v>0</v>
          </cell>
          <cell r="L4102">
            <v>0</v>
          </cell>
          <cell r="M4102">
            <v>0</v>
          </cell>
          <cell r="N4102">
            <v>0</v>
          </cell>
          <cell r="O4102">
            <v>0</v>
          </cell>
          <cell r="P4102">
            <v>3</v>
          </cell>
          <cell r="Q4102">
            <v>1392000</v>
          </cell>
          <cell r="R4102">
            <v>0</v>
          </cell>
          <cell r="S4102">
            <v>0</v>
          </cell>
          <cell r="T4102">
            <v>0</v>
          </cell>
          <cell r="U4102">
            <v>0</v>
          </cell>
          <cell r="V4102">
            <v>0</v>
          </cell>
          <cell r="W4102">
            <v>0</v>
          </cell>
        </row>
        <row r="4103">
          <cell r="A4103" t="str">
            <v>450340</v>
          </cell>
          <cell r="B4103" t="str">
            <v>1254</v>
          </cell>
          <cell r="C4103" t="str">
            <v>12</v>
          </cell>
          <cell r="D4103" t="str">
            <v>31</v>
          </cell>
          <cell r="G4103">
            <v>1170027</v>
          </cell>
          <cell r="H4103">
            <v>1</v>
          </cell>
          <cell r="I4103">
            <v>417600</v>
          </cell>
          <cell r="J4103">
            <v>0</v>
          </cell>
          <cell r="K4103">
            <v>0</v>
          </cell>
          <cell r="L4103">
            <v>0</v>
          </cell>
          <cell r="M4103">
            <v>0</v>
          </cell>
          <cell r="N4103">
            <v>0</v>
          </cell>
          <cell r="O4103">
            <v>0</v>
          </cell>
          <cell r="P4103">
            <v>2</v>
          </cell>
          <cell r="Q4103">
            <v>835200</v>
          </cell>
          <cell r="R4103">
            <v>1</v>
          </cell>
          <cell r="S4103">
            <v>417600</v>
          </cell>
          <cell r="T4103">
            <v>0</v>
          </cell>
          <cell r="U4103">
            <v>0</v>
          </cell>
          <cell r="V4103">
            <v>0</v>
          </cell>
          <cell r="W4103">
            <v>0</v>
          </cell>
        </row>
        <row r="4104">
          <cell r="A4104" t="str">
            <v>450340</v>
          </cell>
          <cell r="B4104" t="str">
            <v>1254</v>
          </cell>
          <cell r="C4104" t="str">
            <v>12</v>
          </cell>
          <cell r="D4104" t="str">
            <v>31</v>
          </cell>
          <cell r="G4104">
            <v>1170028</v>
          </cell>
          <cell r="H4104">
            <v>3</v>
          </cell>
          <cell r="I4104">
            <v>1252800</v>
          </cell>
          <cell r="J4104">
            <v>0</v>
          </cell>
          <cell r="K4104">
            <v>0</v>
          </cell>
          <cell r="L4104">
            <v>0</v>
          </cell>
          <cell r="M4104">
            <v>0</v>
          </cell>
          <cell r="N4104">
            <v>0</v>
          </cell>
          <cell r="O4104">
            <v>0</v>
          </cell>
          <cell r="P4104">
            <v>5</v>
          </cell>
          <cell r="Q4104">
            <v>2088000</v>
          </cell>
          <cell r="R4104">
            <v>2</v>
          </cell>
          <cell r="S4104">
            <v>835200</v>
          </cell>
          <cell r="T4104">
            <v>0</v>
          </cell>
          <cell r="U4104">
            <v>0</v>
          </cell>
          <cell r="V4104">
            <v>0</v>
          </cell>
          <cell r="W4104">
            <v>0</v>
          </cell>
        </row>
        <row r="4105">
          <cell r="A4105" t="str">
            <v>450340</v>
          </cell>
          <cell r="B4105" t="str">
            <v>1254</v>
          </cell>
          <cell r="C4105" t="str">
            <v>12</v>
          </cell>
          <cell r="D4105" t="str">
            <v>31</v>
          </cell>
          <cell r="G4105">
            <v>1170030</v>
          </cell>
          <cell r="H4105">
            <v>4</v>
          </cell>
          <cell r="I4105">
            <v>1670400</v>
          </cell>
          <cell r="J4105">
            <v>0</v>
          </cell>
          <cell r="K4105">
            <v>0</v>
          </cell>
          <cell r="L4105">
            <v>0</v>
          </cell>
          <cell r="M4105">
            <v>0</v>
          </cell>
          <cell r="N4105">
            <v>0</v>
          </cell>
          <cell r="O4105">
            <v>0</v>
          </cell>
          <cell r="P4105">
            <v>8</v>
          </cell>
          <cell r="Q4105">
            <v>3340800</v>
          </cell>
          <cell r="R4105">
            <v>4</v>
          </cell>
          <cell r="S4105">
            <v>1670400</v>
          </cell>
          <cell r="T4105">
            <v>0</v>
          </cell>
          <cell r="U4105">
            <v>0</v>
          </cell>
          <cell r="V4105">
            <v>0</v>
          </cell>
          <cell r="W4105">
            <v>0</v>
          </cell>
        </row>
        <row r="4106">
          <cell r="A4106" t="str">
            <v>450340</v>
          </cell>
          <cell r="B4106" t="str">
            <v>1254</v>
          </cell>
          <cell r="C4106" t="str">
            <v>12</v>
          </cell>
          <cell r="D4106" t="str">
            <v>31</v>
          </cell>
          <cell r="G4106">
            <v>1170039</v>
          </cell>
          <cell r="H4106">
            <v>2</v>
          </cell>
          <cell r="I4106">
            <v>742400</v>
          </cell>
          <cell r="J4106">
            <v>0</v>
          </cell>
          <cell r="K4106">
            <v>0</v>
          </cell>
          <cell r="L4106">
            <v>0</v>
          </cell>
          <cell r="M4106">
            <v>0</v>
          </cell>
          <cell r="N4106">
            <v>0</v>
          </cell>
          <cell r="O4106">
            <v>0</v>
          </cell>
          <cell r="P4106">
            <v>0</v>
          </cell>
          <cell r="Q4106">
            <v>0</v>
          </cell>
          <cell r="R4106">
            <v>-2</v>
          </cell>
          <cell r="S4106">
            <v>-742400</v>
          </cell>
          <cell r="T4106">
            <v>0</v>
          </cell>
          <cell r="U4106">
            <v>0</v>
          </cell>
          <cell r="V4106">
            <v>0</v>
          </cell>
          <cell r="W4106">
            <v>0</v>
          </cell>
        </row>
        <row r="4107">
          <cell r="A4107" t="str">
            <v>450340</v>
          </cell>
          <cell r="B4107" t="str">
            <v>1254</v>
          </cell>
          <cell r="C4107" t="str">
            <v>12</v>
          </cell>
          <cell r="D4107" t="str">
            <v>31</v>
          </cell>
          <cell r="G4107">
            <v>1170041</v>
          </cell>
          <cell r="H4107">
            <v>2</v>
          </cell>
          <cell r="I4107">
            <v>742400</v>
          </cell>
          <cell r="J4107">
            <v>0</v>
          </cell>
          <cell r="K4107">
            <v>0</v>
          </cell>
          <cell r="L4107">
            <v>0</v>
          </cell>
          <cell r="M4107">
            <v>0</v>
          </cell>
          <cell r="N4107">
            <v>0</v>
          </cell>
          <cell r="O4107">
            <v>0</v>
          </cell>
          <cell r="P4107">
            <v>0</v>
          </cell>
          <cell r="Q4107">
            <v>0</v>
          </cell>
          <cell r="R4107">
            <v>-2</v>
          </cell>
          <cell r="S4107">
            <v>-742400</v>
          </cell>
          <cell r="T4107">
            <v>0</v>
          </cell>
          <cell r="U4107">
            <v>0</v>
          </cell>
          <cell r="V4107">
            <v>0</v>
          </cell>
          <cell r="W4107">
            <v>0</v>
          </cell>
        </row>
        <row r="4108">
          <cell r="A4108" t="str">
            <v>450340</v>
          </cell>
          <cell r="B4108" t="str">
            <v>1254</v>
          </cell>
          <cell r="C4108" t="str">
            <v>12</v>
          </cell>
          <cell r="D4108" t="str">
            <v>31</v>
          </cell>
          <cell r="G4108">
            <v>1170045</v>
          </cell>
          <cell r="H4108">
            <v>13</v>
          </cell>
          <cell r="I4108">
            <v>4825600</v>
          </cell>
          <cell r="J4108">
            <v>0</v>
          </cell>
          <cell r="K4108">
            <v>0</v>
          </cell>
          <cell r="L4108">
            <v>0</v>
          </cell>
          <cell r="M4108">
            <v>0</v>
          </cell>
          <cell r="N4108">
            <v>-4</v>
          </cell>
          <cell r="O4108">
            <v>-1484800</v>
          </cell>
          <cell r="P4108">
            <v>9</v>
          </cell>
          <cell r="Q4108">
            <v>3340800</v>
          </cell>
          <cell r="R4108">
            <v>0</v>
          </cell>
          <cell r="S4108">
            <v>0</v>
          </cell>
          <cell r="T4108">
            <v>0</v>
          </cell>
          <cell r="U4108">
            <v>0</v>
          </cell>
          <cell r="V4108">
            <v>0</v>
          </cell>
          <cell r="W4108">
            <v>0</v>
          </cell>
        </row>
        <row r="4109">
          <cell r="A4109" t="str">
            <v>450340</v>
          </cell>
          <cell r="B4109" t="str">
            <v>1254</v>
          </cell>
          <cell r="C4109" t="str">
            <v>12</v>
          </cell>
          <cell r="D4109" t="str">
            <v>31</v>
          </cell>
          <cell r="G4109">
            <v>1170047</v>
          </cell>
          <cell r="H4109">
            <v>5</v>
          </cell>
          <cell r="I4109">
            <v>1856000</v>
          </cell>
          <cell r="J4109">
            <v>0</v>
          </cell>
          <cell r="K4109">
            <v>0</v>
          </cell>
          <cell r="L4109">
            <v>0</v>
          </cell>
          <cell r="M4109">
            <v>0</v>
          </cell>
          <cell r="N4109">
            <v>0</v>
          </cell>
          <cell r="O4109">
            <v>0</v>
          </cell>
          <cell r="P4109">
            <v>6</v>
          </cell>
          <cell r="Q4109">
            <v>2227200</v>
          </cell>
          <cell r="R4109">
            <v>1</v>
          </cell>
          <cell r="S4109">
            <v>371200</v>
          </cell>
          <cell r="T4109">
            <v>0</v>
          </cell>
          <cell r="U4109">
            <v>0</v>
          </cell>
          <cell r="V4109">
            <v>0</v>
          </cell>
          <cell r="W4109">
            <v>0</v>
          </cell>
        </row>
        <row r="4110">
          <cell r="A4110" t="str">
            <v>450340</v>
          </cell>
          <cell r="B4110" t="str">
            <v>1254</v>
          </cell>
          <cell r="C4110" t="str">
            <v>12</v>
          </cell>
          <cell r="D4110" t="str">
            <v>31</v>
          </cell>
          <cell r="G4110">
            <v>1190003</v>
          </cell>
          <cell r="H4110">
            <v>74</v>
          </cell>
          <cell r="I4110">
            <v>23532000</v>
          </cell>
          <cell r="J4110">
            <v>0</v>
          </cell>
          <cell r="K4110">
            <v>0</v>
          </cell>
          <cell r="L4110">
            <v>0</v>
          </cell>
          <cell r="M4110">
            <v>0</v>
          </cell>
          <cell r="N4110">
            <v>-2</v>
          </cell>
          <cell r="O4110">
            <v>-636000</v>
          </cell>
          <cell r="P4110">
            <v>72</v>
          </cell>
          <cell r="Q4110">
            <v>22896000</v>
          </cell>
          <cell r="R4110">
            <v>0</v>
          </cell>
          <cell r="S4110">
            <v>0</v>
          </cell>
          <cell r="T4110">
            <v>0</v>
          </cell>
          <cell r="U4110">
            <v>0</v>
          </cell>
          <cell r="V4110">
            <v>0</v>
          </cell>
          <cell r="W4110">
            <v>0</v>
          </cell>
        </row>
        <row r="4111">
          <cell r="A4111" t="str">
            <v>450340</v>
          </cell>
          <cell r="B4111" t="str">
            <v>1254</v>
          </cell>
          <cell r="C4111" t="str">
            <v>12</v>
          </cell>
          <cell r="D4111" t="str">
            <v>31</v>
          </cell>
          <cell r="G4111">
            <v>1190004</v>
          </cell>
          <cell r="H4111">
            <v>156</v>
          </cell>
          <cell r="I4111">
            <v>113880000</v>
          </cell>
          <cell r="J4111">
            <v>0</v>
          </cell>
          <cell r="K4111">
            <v>0</v>
          </cell>
          <cell r="L4111">
            <v>-3</v>
          </cell>
          <cell r="M4111">
            <v>-2190000</v>
          </cell>
          <cell r="N4111">
            <v>0</v>
          </cell>
          <cell r="O4111">
            <v>0</v>
          </cell>
          <cell r="P4111">
            <v>153</v>
          </cell>
          <cell r="Q4111">
            <v>111690000</v>
          </cell>
          <cell r="R4111">
            <v>0</v>
          </cell>
          <cell r="S4111">
            <v>0</v>
          </cell>
          <cell r="T4111">
            <v>0</v>
          </cell>
          <cell r="U4111">
            <v>0</v>
          </cell>
          <cell r="V4111">
            <v>0</v>
          </cell>
          <cell r="W4111">
            <v>0</v>
          </cell>
        </row>
        <row r="4112">
          <cell r="A4112" t="str">
            <v>450340</v>
          </cell>
          <cell r="B4112" t="str">
            <v>1254</v>
          </cell>
          <cell r="C4112" t="str">
            <v>12</v>
          </cell>
          <cell r="D4112" t="str">
            <v>31</v>
          </cell>
          <cell r="G4112">
            <v>1200001</v>
          </cell>
          <cell r="H4112">
            <v>688</v>
          </cell>
          <cell r="I4112">
            <v>15824000</v>
          </cell>
          <cell r="J4112">
            <v>0</v>
          </cell>
          <cell r="K4112">
            <v>0</v>
          </cell>
          <cell r="L4112">
            <v>0</v>
          </cell>
          <cell r="M4112">
            <v>0</v>
          </cell>
          <cell r="N4112">
            <v>0</v>
          </cell>
          <cell r="O4112">
            <v>0</v>
          </cell>
          <cell r="P4112">
            <v>757</v>
          </cell>
          <cell r="Q4112">
            <v>17411000</v>
          </cell>
          <cell r="R4112">
            <v>69</v>
          </cell>
          <cell r="S4112">
            <v>1587000</v>
          </cell>
          <cell r="T4112">
            <v>0</v>
          </cell>
          <cell r="U4112">
            <v>0</v>
          </cell>
          <cell r="V4112">
            <v>0</v>
          </cell>
          <cell r="W4112">
            <v>0</v>
          </cell>
        </row>
        <row r="4113">
          <cell r="A4113" t="str">
            <v>450340</v>
          </cell>
          <cell r="B4113" t="str">
            <v>1254</v>
          </cell>
          <cell r="C4113" t="str">
            <v>12</v>
          </cell>
          <cell r="D4113" t="str">
            <v>31</v>
          </cell>
          <cell r="G4113">
            <v>1200002</v>
          </cell>
          <cell r="H4113">
            <v>122</v>
          </cell>
          <cell r="I4113">
            <v>3928400</v>
          </cell>
          <cell r="J4113">
            <v>0</v>
          </cell>
          <cell r="K4113">
            <v>0</v>
          </cell>
          <cell r="L4113">
            <v>0</v>
          </cell>
          <cell r="M4113">
            <v>0</v>
          </cell>
          <cell r="N4113">
            <v>0</v>
          </cell>
          <cell r="O4113">
            <v>0</v>
          </cell>
          <cell r="P4113">
            <v>119</v>
          </cell>
          <cell r="Q4113">
            <v>3831800</v>
          </cell>
          <cell r="R4113">
            <v>-3</v>
          </cell>
          <cell r="S4113">
            <v>-96600</v>
          </cell>
          <cell r="T4113">
            <v>0</v>
          </cell>
          <cell r="U4113">
            <v>0</v>
          </cell>
          <cell r="V4113">
            <v>0</v>
          </cell>
          <cell r="W4113">
            <v>0</v>
          </cell>
        </row>
        <row r="4114">
          <cell r="A4114" t="str">
            <v>450340</v>
          </cell>
          <cell r="B4114" t="str">
            <v>1254</v>
          </cell>
          <cell r="C4114" t="str">
            <v>12</v>
          </cell>
          <cell r="D4114" t="str">
            <v>31</v>
          </cell>
          <cell r="G4114">
            <v>1200003</v>
          </cell>
          <cell r="H4114">
            <v>152</v>
          </cell>
          <cell r="I4114">
            <v>3116000</v>
          </cell>
          <cell r="J4114">
            <v>0</v>
          </cell>
          <cell r="K4114">
            <v>0</v>
          </cell>
          <cell r="L4114">
            <v>0</v>
          </cell>
          <cell r="M4114">
            <v>0</v>
          </cell>
          <cell r="N4114">
            <v>0</v>
          </cell>
          <cell r="O4114">
            <v>0</v>
          </cell>
          <cell r="P4114">
            <v>135</v>
          </cell>
          <cell r="Q4114">
            <v>2767500</v>
          </cell>
          <cell r="R4114">
            <v>-17</v>
          </cell>
          <cell r="S4114">
            <v>-348500</v>
          </cell>
          <cell r="T4114">
            <v>0</v>
          </cell>
          <cell r="U4114">
            <v>0</v>
          </cell>
          <cell r="V4114">
            <v>0</v>
          </cell>
          <cell r="W4114">
            <v>0</v>
          </cell>
        </row>
        <row r="4115">
          <cell r="A4115" t="str">
            <v>450340</v>
          </cell>
          <cell r="B4115" t="str">
            <v>1254</v>
          </cell>
          <cell r="C4115" t="str">
            <v>12</v>
          </cell>
          <cell r="D4115" t="str">
            <v>31</v>
          </cell>
          <cell r="G4115">
            <v>1200011</v>
          </cell>
          <cell r="H4115">
            <v>26</v>
          </cell>
          <cell r="I4115">
            <v>585000</v>
          </cell>
          <cell r="J4115">
            <v>0</v>
          </cell>
          <cell r="K4115">
            <v>0</v>
          </cell>
          <cell r="L4115">
            <v>0</v>
          </cell>
          <cell r="M4115">
            <v>0</v>
          </cell>
          <cell r="N4115">
            <v>0</v>
          </cell>
          <cell r="O4115">
            <v>0</v>
          </cell>
          <cell r="P4115">
            <v>24</v>
          </cell>
          <cell r="Q4115">
            <v>540000</v>
          </cell>
          <cell r="R4115">
            <v>-2</v>
          </cell>
          <cell r="S4115">
            <v>-45000</v>
          </cell>
          <cell r="T4115">
            <v>0</v>
          </cell>
          <cell r="U4115">
            <v>0</v>
          </cell>
          <cell r="V4115">
            <v>0</v>
          </cell>
          <cell r="W4115">
            <v>0</v>
          </cell>
        </row>
        <row r="4116">
          <cell r="A4116" t="str">
            <v>450340</v>
          </cell>
          <cell r="B4116" t="str">
            <v>1254</v>
          </cell>
          <cell r="C4116" t="str">
            <v>12</v>
          </cell>
          <cell r="D4116" t="str">
            <v>31</v>
          </cell>
          <cell r="G4116">
            <v>1200015</v>
          </cell>
          <cell r="H4116">
            <v>33</v>
          </cell>
          <cell r="I4116">
            <v>2359500</v>
          </cell>
          <cell r="J4116">
            <v>0</v>
          </cell>
          <cell r="K4116">
            <v>0</v>
          </cell>
          <cell r="L4116">
            <v>0</v>
          </cell>
          <cell r="M4116">
            <v>0</v>
          </cell>
          <cell r="N4116">
            <v>0</v>
          </cell>
          <cell r="O4116">
            <v>0</v>
          </cell>
          <cell r="P4116">
            <v>32</v>
          </cell>
          <cell r="Q4116">
            <v>2288000</v>
          </cell>
          <cell r="R4116">
            <v>-1</v>
          </cell>
          <cell r="S4116">
            <v>-71500</v>
          </cell>
          <cell r="T4116">
            <v>0</v>
          </cell>
          <cell r="U4116">
            <v>0</v>
          </cell>
          <cell r="V4116">
            <v>0</v>
          </cell>
          <cell r="W4116">
            <v>0</v>
          </cell>
        </row>
        <row r="4117">
          <cell r="A4117" t="str">
            <v>450340</v>
          </cell>
          <cell r="B4117" t="str">
            <v>1254</v>
          </cell>
          <cell r="C4117" t="str">
            <v>12</v>
          </cell>
          <cell r="D4117" t="str">
            <v>31</v>
          </cell>
          <cell r="G4117">
            <v>1200016</v>
          </cell>
          <cell r="H4117">
            <v>5490</v>
          </cell>
          <cell r="I4117">
            <v>3952800</v>
          </cell>
          <cell r="J4117">
            <v>0</v>
          </cell>
          <cell r="K4117">
            <v>0</v>
          </cell>
          <cell r="L4117">
            <v>-3</v>
          </cell>
          <cell r="M4117">
            <v>-2160</v>
          </cell>
          <cell r="N4117">
            <v>-5</v>
          </cell>
          <cell r="O4117">
            <v>-3600</v>
          </cell>
          <cell r="P4117">
            <v>5448</v>
          </cell>
          <cell r="Q4117">
            <v>3922560</v>
          </cell>
          <cell r="R4117">
            <v>-34</v>
          </cell>
          <cell r="S4117">
            <v>-24480</v>
          </cell>
          <cell r="T4117">
            <v>0</v>
          </cell>
          <cell r="U4117">
            <v>0</v>
          </cell>
          <cell r="V4117">
            <v>0</v>
          </cell>
          <cell r="W4117">
            <v>0</v>
          </cell>
        </row>
        <row r="4118">
          <cell r="A4118" t="str">
            <v>450340</v>
          </cell>
          <cell r="B4118" t="str">
            <v>1254</v>
          </cell>
          <cell r="C4118" t="str">
            <v>12</v>
          </cell>
          <cell r="D4118" t="str">
            <v>31</v>
          </cell>
          <cell r="G4118">
            <v>1210001</v>
          </cell>
          <cell r="H4118">
            <v>32</v>
          </cell>
          <cell r="I4118">
            <v>480000</v>
          </cell>
          <cell r="J4118">
            <v>0</v>
          </cell>
          <cell r="K4118">
            <v>0</v>
          </cell>
          <cell r="L4118">
            <v>0</v>
          </cell>
          <cell r="M4118">
            <v>0</v>
          </cell>
          <cell r="N4118">
            <v>0</v>
          </cell>
          <cell r="O4118">
            <v>0</v>
          </cell>
          <cell r="P4118">
            <v>35</v>
          </cell>
          <cell r="Q4118">
            <v>525000</v>
          </cell>
          <cell r="R4118">
            <v>3</v>
          </cell>
          <cell r="S4118">
            <v>45000</v>
          </cell>
          <cell r="T4118">
            <v>0</v>
          </cell>
          <cell r="U4118">
            <v>0</v>
          </cell>
          <cell r="V4118">
            <v>0</v>
          </cell>
          <cell r="W4118">
            <v>0</v>
          </cell>
        </row>
        <row r="4119">
          <cell r="A4119" t="str">
            <v>450340</v>
          </cell>
          <cell r="B4119" t="str">
            <v>1254</v>
          </cell>
          <cell r="C4119" t="str">
            <v>12</v>
          </cell>
          <cell r="D4119" t="str">
            <v>31</v>
          </cell>
          <cell r="G4119">
            <v>1210002</v>
          </cell>
          <cell r="H4119">
            <v>131</v>
          </cell>
          <cell r="I4119">
            <v>1965000</v>
          </cell>
          <cell r="J4119">
            <v>0</v>
          </cell>
          <cell r="K4119">
            <v>0</v>
          </cell>
          <cell r="L4119">
            <v>0</v>
          </cell>
          <cell r="M4119">
            <v>0</v>
          </cell>
          <cell r="N4119">
            <v>0</v>
          </cell>
          <cell r="O4119">
            <v>0</v>
          </cell>
          <cell r="P4119">
            <v>144</v>
          </cell>
          <cell r="Q4119">
            <v>2160000</v>
          </cell>
          <cell r="R4119">
            <v>13</v>
          </cell>
          <cell r="S4119">
            <v>195000</v>
          </cell>
          <cell r="T4119">
            <v>0</v>
          </cell>
          <cell r="U4119">
            <v>0</v>
          </cell>
          <cell r="V4119">
            <v>0</v>
          </cell>
          <cell r="W4119">
            <v>0</v>
          </cell>
        </row>
        <row r="4120">
          <cell r="A4120" t="str">
            <v>450340</v>
          </cell>
          <cell r="B4120" t="str">
            <v>1254</v>
          </cell>
          <cell r="C4120" t="str">
            <v>12</v>
          </cell>
          <cell r="D4120" t="str">
            <v>31</v>
          </cell>
          <cell r="G4120">
            <v>1210003</v>
          </cell>
          <cell r="H4120">
            <v>257</v>
          </cell>
          <cell r="I4120">
            <v>3855000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269</v>
          </cell>
          <cell r="Q4120">
            <v>4035000</v>
          </cell>
          <cell r="R4120">
            <v>12</v>
          </cell>
          <cell r="S4120">
            <v>180000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</row>
        <row r="4121">
          <cell r="A4121" t="str">
            <v>450340</v>
          </cell>
          <cell r="B4121" t="str">
            <v>1254</v>
          </cell>
          <cell r="C4121" t="str">
            <v>12</v>
          </cell>
          <cell r="D4121" t="str">
            <v>31</v>
          </cell>
          <cell r="G4121">
            <v>1210004</v>
          </cell>
          <cell r="H4121">
            <v>1459</v>
          </cell>
          <cell r="I4121">
            <v>21885000</v>
          </cell>
          <cell r="J4121">
            <v>0</v>
          </cell>
          <cell r="K4121">
            <v>0</v>
          </cell>
          <cell r="L4121">
            <v>0</v>
          </cell>
          <cell r="M4121">
            <v>0</v>
          </cell>
          <cell r="N4121">
            <v>0</v>
          </cell>
          <cell r="O4121">
            <v>0</v>
          </cell>
          <cell r="P4121">
            <v>1391</v>
          </cell>
          <cell r="Q4121">
            <v>20865000</v>
          </cell>
          <cell r="R4121">
            <v>-68</v>
          </cell>
          <cell r="S4121">
            <v>-1020000</v>
          </cell>
          <cell r="T4121">
            <v>0</v>
          </cell>
          <cell r="U4121">
            <v>0</v>
          </cell>
          <cell r="V4121">
            <v>0</v>
          </cell>
          <cell r="W4121">
            <v>0</v>
          </cell>
        </row>
        <row r="4122">
          <cell r="A4122" t="str">
            <v>450340</v>
          </cell>
          <cell r="B4122" t="str">
            <v>1254</v>
          </cell>
          <cell r="C4122" t="str">
            <v>12</v>
          </cell>
          <cell r="D4122" t="str">
            <v>31</v>
          </cell>
          <cell r="G4122">
            <v>1210005</v>
          </cell>
          <cell r="H4122">
            <v>553</v>
          </cell>
          <cell r="I4122">
            <v>8295000</v>
          </cell>
          <cell r="J4122">
            <v>0</v>
          </cell>
          <cell r="K4122">
            <v>0</v>
          </cell>
          <cell r="L4122">
            <v>0</v>
          </cell>
          <cell r="M4122">
            <v>0</v>
          </cell>
          <cell r="N4122">
            <v>0</v>
          </cell>
          <cell r="O4122">
            <v>0</v>
          </cell>
          <cell r="P4122">
            <v>589</v>
          </cell>
          <cell r="Q4122">
            <v>8835000</v>
          </cell>
          <cell r="R4122">
            <v>36</v>
          </cell>
          <cell r="S4122">
            <v>540000</v>
          </cell>
          <cell r="T4122">
            <v>0</v>
          </cell>
          <cell r="U4122">
            <v>0</v>
          </cell>
          <cell r="V4122">
            <v>0</v>
          </cell>
          <cell r="W4122">
            <v>0</v>
          </cell>
        </row>
        <row r="4123">
          <cell r="A4123" t="str">
            <v>450340</v>
          </cell>
          <cell r="B4123" t="str">
            <v>1254</v>
          </cell>
          <cell r="C4123" t="str">
            <v>12</v>
          </cell>
          <cell r="D4123" t="str">
            <v>31</v>
          </cell>
          <cell r="G4123">
            <v>1210007</v>
          </cell>
          <cell r="H4123">
            <v>38</v>
          </cell>
          <cell r="I4123">
            <v>1710000</v>
          </cell>
          <cell r="J4123">
            <v>0</v>
          </cell>
          <cell r="K4123">
            <v>0</v>
          </cell>
          <cell r="L4123">
            <v>0</v>
          </cell>
          <cell r="M4123">
            <v>0</v>
          </cell>
          <cell r="N4123">
            <v>0</v>
          </cell>
          <cell r="O4123">
            <v>0</v>
          </cell>
          <cell r="P4123">
            <v>39</v>
          </cell>
          <cell r="Q4123">
            <v>1755000</v>
          </cell>
          <cell r="R4123">
            <v>1</v>
          </cell>
          <cell r="S4123">
            <v>45000</v>
          </cell>
          <cell r="T4123">
            <v>0</v>
          </cell>
          <cell r="U4123">
            <v>0</v>
          </cell>
          <cell r="V4123">
            <v>0</v>
          </cell>
          <cell r="W4123">
            <v>0</v>
          </cell>
        </row>
        <row r="4124">
          <cell r="A4124" t="str">
            <v>450340</v>
          </cell>
          <cell r="B4124" t="str">
            <v>1254</v>
          </cell>
          <cell r="C4124" t="str">
            <v>12</v>
          </cell>
          <cell r="D4124" t="str">
            <v>31</v>
          </cell>
          <cell r="G4124">
            <v>1210008</v>
          </cell>
          <cell r="H4124">
            <v>29</v>
          </cell>
          <cell r="I4124">
            <v>1305000</v>
          </cell>
          <cell r="J4124">
            <v>0</v>
          </cell>
          <cell r="K4124">
            <v>0</v>
          </cell>
          <cell r="L4124">
            <v>0</v>
          </cell>
          <cell r="M4124">
            <v>0</v>
          </cell>
          <cell r="N4124">
            <v>0</v>
          </cell>
          <cell r="O4124">
            <v>0</v>
          </cell>
          <cell r="P4124">
            <v>28</v>
          </cell>
          <cell r="Q4124">
            <v>1260000</v>
          </cell>
          <cell r="R4124">
            <v>-1</v>
          </cell>
          <cell r="S4124">
            <v>-45000</v>
          </cell>
          <cell r="T4124">
            <v>0</v>
          </cell>
          <cell r="U4124">
            <v>0</v>
          </cell>
          <cell r="V4124">
            <v>0</v>
          </cell>
          <cell r="W4124">
            <v>0</v>
          </cell>
        </row>
        <row r="4125">
          <cell r="A4125" t="str">
            <v>450340</v>
          </cell>
          <cell r="B4125" t="str">
            <v>1254</v>
          </cell>
          <cell r="C4125" t="str">
            <v>12</v>
          </cell>
          <cell r="D4125" t="str">
            <v>31</v>
          </cell>
          <cell r="G4125">
            <v>1220001</v>
          </cell>
          <cell r="H4125">
            <v>35</v>
          </cell>
          <cell r="I4125">
            <v>1925000</v>
          </cell>
          <cell r="J4125">
            <v>0</v>
          </cell>
          <cell r="K4125">
            <v>0</v>
          </cell>
          <cell r="L4125">
            <v>0</v>
          </cell>
          <cell r="M4125">
            <v>0</v>
          </cell>
          <cell r="N4125">
            <v>0</v>
          </cell>
          <cell r="O4125">
            <v>0</v>
          </cell>
          <cell r="P4125">
            <v>47</v>
          </cell>
          <cell r="Q4125">
            <v>2585000</v>
          </cell>
          <cell r="R4125">
            <v>12</v>
          </cell>
          <cell r="S4125">
            <v>660000</v>
          </cell>
          <cell r="T4125">
            <v>0</v>
          </cell>
          <cell r="U4125">
            <v>0</v>
          </cell>
          <cell r="V4125">
            <v>0</v>
          </cell>
          <cell r="W4125">
            <v>0</v>
          </cell>
        </row>
        <row r="4126">
          <cell r="A4126" t="str">
            <v>450340</v>
          </cell>
          <cell r="B4126" t="str">
            <v>1254</v>
          </cell>
          <cell r="C4126" t="str">
            <v>12</v>
          </cell>
          <cell r="D4126" t="str">
            <v>31</v>
          </cell>
          <cell r="G4126">
            <v>1220002</v>
          </cell>
          <cell r="H4126">
            <v>112</v>
          </cell>
          <cell r="I4126">
            <v>6160000</v>
          </cell>
          <cell r="J4126">
            <v>0</v>
          </cell>
          <cell r="K4126">
            <v>0</v>
          </cell>
          <cell r="L4126">
            <v>0</v>
          </cell>
          <cell r="M4126">
            <v>0</v>
          </cell>
          <cell r="N4126">
            <v>0</v>
          </cell>
          <cell r="O4126">
            <v>0</v>
          </cell>
          <cell r="P4126">
            <v>105</v>
          </cell>
          <cell r="Q4126">
            <v>5775000</v>
          </cell>
          <cell r="R4126">
            <v>-7</v>
          </cell>
          <cell r="S4126">
            <v>-385000</v>
          </cell>
          <cell r="T4126">
            <v>0</v>
          </cell>
          <cell r="U4126">
            <v>0</v>
          </cell>
          <cell r="V4126">
            <v>0</v>
          </cell>
          <cell r="W4126">
            <v>0</v>
          </cell>
        </row>
        <row r="4127">
          <cell r="A4127" t="str">
            <v>450340</v>
          </cell>
          <cell r="B4127" t="str">
            <v>1254</v>
          </cell>
          <cell r="C4127" t="str">
            <v>12</v>
          </cell>
          <cell r="D4127" t="str">
            <v>31</v>
          </cell>
          <cell r="G4127">
            <v>1220003</v>
          </cell>
          <cell r="H4127">
            <v>146</v>
          </cell>
          <cell r="I4127">
            <v>8030000</v>
          </cell>
          <cell r="J4127">
            <v>0</v>
          </cell>
          <cell r="K4127">
            <v>0</v>
          </cell>
          <cell r="L4127">
            <v>0</v>
          </cell>
          <cell r="M4127">
            <v>0</v>
          </cell>
          <cell r="N4127">
            <v>0</v>
          </cell>
          <cell r="O4127">
            <v>0</v>
          </cell>
          <cell r="P4127">
            <v>144</v>
          </cell>
          <cell r="Q4127">
            <v>7920000</v>
          </cell>
          <cell r="R4127">
            <v>-2</v>
          </cell>
          <cell r="S4127">
            <v>-110000</v>
          </cell>
          <cell r="T4127">
            <v>0</v>
          </cell>
          <cell r="U4127">
            <v>0</v>
          </cell>
          <cell r="V4127">
            <v>0</v>
          </cell>
          <cell r="W4127">
            <v>0</v>
          </cell>
        </row>
        <row r="4128">
          <cell r="A4128" t="str">
            <v>450340</v>
          </cell>
          <cell r="B4128" t="str">
            <v>1254</v>
          </cell>
          <cell r="C4128" t="str">
            <v>12</v>
          </cell>
          <cell r="D4128" t="str">
            <v>31</v>
          </cell>
          <cell r="G4128">
            <v>1220004</v>
          </cell>
          <cell r="H4128">
            <v>42</v>
          </cell>
          <cell r="I4128">
            <v>2310000</v>
          </cell>
          <cell r="J4128">
            <v>0</v>
          </cell>
          <cell r="K4128">
            <v>0</v>
          </cell>
          <cell r="L4128">
            <v>0</v>
          </cell>
          <cell r="M4128">
            <v>0</v>
          </cell>
          <cell r="N4128">
            <v>0</v>
          </cell>
          <cell r="O4128">
            <v>0</v>
          </cell>
          <cell r="P4128">
            <v>43</v>
          </cell>
          <cell r="Q4128">
            <v>2365000</v>
          </cell>
          <cell r="R4128">
            <v>1</v>
          </cell>
          <cell r="S4128">
            <v>55000</v>
          </cell>
          <cell r="T4128">
            <v>0</v>
          </cell>
          <cell r="U4128">
            <v>0</v>
          </cell>
          <cell r="V4128">
            <v>0</v>
          </cell>
          <cell r="W4128">
            <v>0</v>
          </cell>
        </row>
        <row r="4129">
          <cell r="A4129" t="str">
            <v>450340</v>
          </cell>
          <cell r="B4129" t="str">
            <v>1254</v>
          </cell>
          <cell r="C4129" t="str">
            <v>12</v>
          </cell>
          <cell r="D4129" t="str">
            <v>31</v>
          </cell>
          <cell r="G4129">
            <v>1220005</v>
          </cell>
          <cell r="H4129">
            <v>4</v>
          </cell>
          <cell r="I4129">
            <v>220000</v>
          </cell>
          <cell r="J4129">
            <v>0</v>
          </cell>
          <cell r="K4129">
            <v>0</v>
          </cell>
          <cell r="L4129">
            <v>0</v>
          </cell>
          <cell r="M4129">
            <v>0</v>
          </cell>
          <cell r="N4129">
            <v>0</v>
          </cell>
          <cell r="O4129">
            <v>0</v>
          </cell>
          <cell r="P4129">
            <v>2</v>
          </cell>
          <cell r="Q4129">
            <v>110000</v>
          </cell>
          <cell r="R4129">
            <v>-2</v>
          </cell>
          <cell r="S4129">
            <v>-110000</v>
          </cell>
          <cell r="T4129">
            <v>0</v>
          </cell>
          <cell r="U4129">
            <v>0</v>
          </cell>
          <cell r="V4129">
            <v>0</v>
          </cell>
          <cell r="W4129">
            <v>0</v>
          </cell>
        </row>
        <row r="4130">
          <cell r="A4130" t="str">
            <v>450340</v>
          </cell>
          <cell r="B4130" t="str">
            <v>1254</v>
          </cell>
          <cell r="C4130" t="str">
            <v>12</v>
          </cell>
          <cell r="D4130" t="str">
            <v>31</v>
          </cell>
          <cell r="G4130">
            <v>1220006</v>
          </cell>
          <cell r="H4130">
            <v>80</v>
          </cell>
          <cell r="I4130">
            <v>4400000</v>
          </cell>
          <cell r="J4130">
            <v>0</v>
          </cell>
          <cell r="K4130">
            <v>0</v>
          </cell>
          <cell r="L4130">
            <v>0</v>
          </cell>
          <cell r="M4130">
            <v>0</v>
          </cell>
          <cell r="N4130">
            <v>0</v>
          </cell>
          <cell r="O4130">
            <v>0</v>
          </cell>
          <cell r="P4130">
            <v>86</v>
          </cell>
          <cell r="Q4130">
            <v>4730000</v>
          </cell>
          <cell r="R4130">
            <v>6</v>
          </cell>
          <cell r="S4130">
            <v>330000</v>
          </cell>
          <cell r="T4130">
            <v>0</v>
          </cell>
          <cell r="U4130">
            <v>0</v>
          </cell>
          <cell r="V4130">
            <v>0</v>
          </cell>
          <cell r="W4130">
            <v>0</v>
          </cell>
        </row>
        <row r="4131">
          <cell r="A4131" t="str">
            <v>450340</v>
          </cell>
          <cell r="B4131" t="str">
            <v>1254</v>
          </cell>
          <cell r="C4131" t="str">
            <v>12</v>
          </cell>
          <cell r="D4131" t="str">
            <v>31</v>
          </cell>
          <cell r="G4131">
            <v>1220007</v>
          </cell>
          <cell r="H4131">
            <v>123</v>
          </cell>
          <cell r="I4131">
            <v>6765000</v>
          </cell>
          <cell r="J4131">
            <v>0</v>
          </cell>
          <cell r="K4131">
            <v>0</v>
          </cell>
          <cell r="L4131">
            <v>0</v>
          </cell>
          <cell r="M4131">
            <v>0</v>
          </cell>
          <cell r="N4131">
            <v>0</v>
          </cell>
          <cell r="O4131">
            <v>0</v>
          </cell>
          <cell r="P4131">
            <v>126</v>
          </cell>
          <cell r="Q4131">
            <v>6930000</v>
          </cell>
          <cell r="R4131">
            <v>3</v>
          </cell>
          <cell r="S4131">
            <v>165000</v>
          </cell>
          <cell r="T4131">
            <v>0</v>
          </cell>
          <cell r="U4131">
            <v>0</v>
          </cell>
          <cell r="V4131">
            <v>0</v>
          </cell>
          <cell r="W4131">
            <v>0</v>
          </cell>
        </row>
        <row r="4132">
          <cell r="A4132" t="str">
            <v>450340</v>
          </cell>
          <cell r="B4132" t="str">
            <v>1254</v>
          </cell>
          <cell r="C4132" t="str">
            <v>12</v>
          </cell>
          <cell r="D4132" t="str">
            <v>31</v>
          </cell>
          <cell r="G4132">
            <v>1220008</v>
          </cell>
          <cell r="H4132">
            <v>141</v>
          </cell>
          <cell r="I4132">
            <v>7755000</v>
          </cell>
          <cell r="J4132">
            <v>0</v>
          </cell>
          <cell r="K4132">
            <v>0</v>
          </cell>
          <cell r="L4132">
            <v>0</v>
          </cell>
          <cell r="M4132">
            <v>0</v>
          </cell>
          <cell r="N4132">
            <v>0</v>
          </cell>
          <cell r="O4132">
            <v>0</v>
          </cell>
          <cell r="P4132">
            <v>169</v>
          </cell>
          <cell r="Q4132">
            <v>9295000</v>
          </cell>
          <cell r="R4132">
            <v>28</v>
          </cell>
          <cell r="S4132">
            <v>1540000</v>
          </cell>
          <cell r="T4132">
            <v>0</v>
          </cell>
          <cell r="U4132">
            <v>0</v>
          </cell>
          <cell r="V4132">
            <v>0</v>
          </cell>
          <cell r="W4132">
            <v>0</v>
          </cell>
        </row>
        <row r="4133">
          <cell r="A4133" t="str">
            <v>450340</v>
          </cell>
          <cell r="B4133" t="str">
            <v>1254</v>
          </cell>
          <cell r="C4133" t="str">
            <v>12</v>
          </cell>
          <cell r="D4133" t="str">
            <v>31</v>
          </cell>
          <cell r="G4133">
            <v>1220101</v>
          </cell>
          <cell r="H4133">
            <v>359</v>
          </cell>
          <cell r="I4133">
            <v>3590000</v>
          </cell>
          <cell r="J4133">
            <v>0</v>
          </cell>
          <cell r="K4133">
            <v>0</v>
          </cell>
          <cell r="L4133">
            <v>0</v>
          </cell>
          <cell r="M4133">
            <v>0</v>
          </cell>
          <cell r="N4133">
            <v>0</v>
          </cell>
          <cell r="O4133">
            <v>0</v>
          </cell>
          <cell r="P4133">
            <v>370</v>
          </cell>
          <cell r="Q4133">
            <v>3700000</v>
          </cell>
          <cell r="R4133">
            <v>11</v>
          </cell>
          <cell r="S4133">
            <v>110000</v>
          </cell>
          <cell r="T4133">
            <v>0</v>
          </cell>
          <cell r="U4133">
            <v>0</v>
          </cell>
          <cell r="V4133">
            <v>0</v>
          </cell>
          <cell r="W4133">
            <v>0</v>
          </cell>
        </row>
        <row r="4134">
          <cell r="A4134" t="str">
            <v>450340</v>
          </cell>
          <cell r="B4134" t="str">
            <v>1254</v>
          </cell>
          <cell r="C4134" t="str">
            <v>12</v>
          </cell>
          <cell r="D4134" t="str">
            <v>31</v>
          </cell>
          <cell r="G4134">
            <v>1220102</v>
          </cell>
          <cell r="H4134">
            <v>476</v>
          </cell>
          <cell r="I4134">
            <v>4760000</v>
          </cell>
          <cell r="J4134">
            <v>0</v>
          </cell>
          <cell r="K4134">
            <v>0</v>
          </cell>
          <cell r="L4134">
            <v>0</v>
          </cell>
          <cell r="M4134">
            <v>0</v>
          </cell>
          <cell r="N4134">
            <v>0</v>
          </cell>
          <cell r="O4134">
            <v>0</v>
          </cell>
          <cell r="P4134">
            <v>436</v>
          </cell>
          <cell r="Q4134">
            <v>4360000</v>
          </cell>
          <cell r="R4134">
            <v>-40</v>
          </cell>
          <cell r="S4134">
            <v>-400000</v>
          </cell>
          <cell r="T4134">
            <v>0</v>
          </cell>
          <cell r="U4134">
            <v>0</v>
          </cell>
          <cell r="V4134">
            <v>0</v>
          </cell>
          <cell r="W4134">
            <v>0</v>
          </cell>
        </row>
        <row r="4135">
          <cell r="A4135" t="str">
            <v>450340</v>
          </cell>
          <cell r="B4135" t="str">
            <v>1254</v>
          </cell>
          <cell r="C4135" t="str">
            <v>12</v>
          </cell>
          <cell r="D4135" t="str">
            <v>31</v>
          </cell>
          <cell r="G4135">
            <v>1220103</v>
          </cell>
          <cell r="H4135">
            <v>1061</v>
          </cell>
          <cell r="I4135">
            <v>10610000</v>
          </cell>
          <cell r="J4135">
            <v>0</v>
          </cell>
          <cell r="K4135">
            <v>0</v>
          </cell>
          <cell r="L4135">
            <v>0</v>
          </cell>
          <cell r="M4135">
            <v>0</v>
          </cell>
          <cell r="N4135">
            <v>0</v>
          </cell>
          <cell r="O4135">
            <v>0</v>
          </cell>
          <cell r="P4135">
            <v>1020</v>
          </cell>
          <cell r="Q4135">
            <v>10200000</v>
          </cell>
          <cell r="R4135">
            <v>-41</v>
          </cell>
          <cell r="S4135">
            <v>-410000</v>
          </cell>
          <cell r="T4135">
            <v>0</v>
          </cell>
          <cell r="U4135">
            <v>0</v>
          </cell>
          <cell r="V4135">
            <v>0</v>
          </cell>
          <cell r="W4135">
            <v>0</v>
          </cell>
        </row>
        <row r="4136">
          <cell r="A4136" t="str">
            <v>450340</v>
          </cell>
          <cell r="B4136" t="str">
            <v>1254</v>
          </cell>
          <cell r="C4136" t="str">
            <v>12</v>
          </cell>
          <cell r="D4136" t="str">
            <v>31</v>
          </cell>
          <cell r="G4136">
            <v>1220104</v>
          </cell>
          <cell r="H4136">
            <v>297</v>
          </cell>
          <cell r="I4136">
            <v>2970000</v>
          </cell>
          <cell r="J4136">
            <v>0</v>
          </cell>
          <cell r="K4136">
            <v>0</v>
          </cell>
          <cell r="L4136">
            <v>0</v>
          </cell>
          <cell r="M4136">
            <v>0</v>
          </cell>
          <cell r="N4136">
            <v>0</v>
          </cell>
          <cell r="O4136">
            <v>0</v>
          </cell>
          <cell r="P4136">
            <v>341</v>
          </cell>
          <cell r="Q4136">
            <v>3410000</v>
          </cell>
          <cell r="R4136">
            <v>44</v>
          </cell>
          <cell r="S4136">
            <v>440000</v>
          </cell>
          <cell r="T4136">
            <v>0</v>
          </cell>
          <cell r="U4136">
            <v>0</v>
          </cell>
          <cell r="V4136">
            <v>0</v>
          </cell>
          <cell r="W4136">
            <v>0</v>
          </cell>
        </row>
        <row r="4137">
          <cell r="A4137" t="str">
            <v>450340</v>
          </cell>
          <cell r="B4137" t="str">
            <v>1254</v>
          </cell>
          <cell r="C4137" t="str">
            <v>12</v>
          </cell>
          <cell r="D4137" t="str">
            <v>31</v>
          </cell>
          <cell r="G4137">
            <v>1230001</v>
          </cell>
          <cell r="H4137">
            <v>17596</v>
          </cell>
          <cell r="I4137">
            <v>20516936</v>
          </cell>
          <cell r="J4137">
            <v>0</v>
          </cell>
          <cell r="K4137">
            <v>0</v>
          </cell>
          <cell r="L4137">
            <v>0</v>
          </cell>
          <cell r="M4137">
            <v>0</v>
          </cell>
          <cell r="N4137">
            <v>0</v>
          </cell>
          <cell r="O4137">
            <v>0</v>
          </cell>
          <cell r="P4137">
            <v>17596</v>
          </cell>
          <cell r="Q4137">
            <v>20516936</v>
          </cell>
          <cell r="R4137">
            <v>0</v>
          </cell>
          <cell r="S4137">
            <v>0</v>
          </cell>
          <cell r="T4137">
            <v>0</v>
          </cell>
          <cell r="U4137">
            <v>0</v>
          </cell>
          <cell r="V4137">
            <v>0</v>
          </cell>
          <cell r="W4137">
            <v>0</v>
          </cell>
        </row>
        <row r="4138">
          <cell r="A4138" t="str">
            <v>450340</v>
          </cell>
          <cell r="B4138" t="str">
            <v>1254</v>
          </cell>
          <cell r="C4138" t="str">
            <v>12</v>
          </cell>
          <cell r="D4138" t="str">
            <v>31</v>
          </cell>
          <cell r="G4138">
            <v>9999999</v>
          </cell>
          <cell r="H4138">
            <v>213513</v>
          </cell>
          <cell r="I4138">
            <v>2091954963</v>
          </cell>
          <cell r="J4138">
            <v>0</v>
          </cell>
          <cell r="K4138">
            <v>0</v>
          </cell>
          <cell r="L4138">
            <v>-9</v>
          </cell>
          <cell r="M4138">
            <v>-3764160</v>
          </cell>
          <cell r="N4138">
            <v>-12</v>
          </cell>
          <cell r="O4138">
            <v>-2648400</v>
          </cell>
          <cell r="P4138">
            <v>213488</v>
          </cell>
          <cell r="Q4138">
            <v>2082056143</v>
          </cell>
          <cell r="R4138">
            <v>-4</v>
          </cell>
          <cell r="S4138">
            <v>-3486260</v>
          </cell>
          <cell r="T4138">
            <v>0</v>
          </cell>
          <cell r="U4138">
            <v>0</v>
          </cell>
          <cell r="V4138">
            <v>0</v>
          </cell>
          <cell r="W4138">
            <v>0</v>
          </cell>
        </row>
        <row r="4139">
          <cell r="A4139" t="str">
            <v>450340</v>
          </cell>
          <cell r="B4139" t="str">
            <v>1254</v>
          </cell>
          <cell r="C4139" t="str">
            <v>12</v>
          </cell>
          <cell r="D4139" t="str">
            <v>48</v>
          </cell>
          <cell r="G4139">
            <v>1010001</v>
          </cell>
          <cell r="H4139">
            <v>17596</v>
          </cell>
          <cell r="I4139">
            <v>24634400</v>
          </cell>
          <cell r="J4139">
            <v>0</v>
          </cell>
          <cell r="K4139">
            <v>0</v>
          </cell>
          <cell r="L4139">
            <v>0</v>
          </cell>
          <cell r="M4139">
            <v>0</v>
          </cell>
          <cell r="N4139">
            <v>0</v>
          </cell>
          <cell r="O4139">
            <v>0</v>
          </cell>
          <cell r="P4139">
            <v>17596</v>
          </cell>
          <cell r="Q4139">
            <v>24634400</v>
          </cell>
          <cell r="R4139">
            <v>0</v>
          </cell>
          <cell r="S4139">
            <v>0</v>
          </cell>
          <cell r="T4139">
            <v>0</v>
          </cell>
          <cell r="U4139">
            <v>0</v>
          </cell>
          <cell r="V4139">
            <v>0</v>
          </cell>
          <cell r="W4139">
            <v>0</v>
          </cell>
        </row>
        <row r="4140">
          <cell r="A4140" t="str">
            <v>450340</v>
          </cell>
          <cell r="B4140" t="str">
            <v>1254</v>
          </cell>
          <cell r="C4140" t="str">
            <v>12</v>
          </cell>
          <cell r="D4140" t="str">
            <v>48</v>
          </cell>
          <cell r="G4140">
            <v>1010004</v>
          </cell>
          <cell r="H4140">
            <v>17596</v>
          </cell>
          <cell r="I4140">
            <v>9061940</v>
          </cell>
          <cell r="J4140">
            <v>0</v>
          </cell>
          <cell r="K4140">
            <v>0</v>
          </cell>
          <cell r="L4140">
            <v>0</v>
          </cell>
          <cell r="M4140">
            <v>0</v>
          </cell>
          <cell r="N4140">
            <v>0</v>
          </cell>
          <cell r="O4140">
            <v>0</v>
          </cell>
          <cell r="P4140">
            <v>17596</v>
          </cell>
          <cell r="Q4140">
            <v>9061940</v>
          </cell>
          <cell r="R4140">
            <v>0</v>
          </cell>
          <cell r="S4140">
            <v>0</v>
          </cell>
          <cell r="T4140">
            <v>0</v>
          </cell>
          <cell r="U4140">
            <v>0</v>
          </cell>
          <cell r="V4140">
            <v>0</v>
          </cell>
          <cell r="W4140">
            <v>0</v>
          </cell>
        </row>
        <row r="4141">
          <cell r="A4141" t="str">
            <v>450340</v>
          </cell>
          <cell r="B4141" t="str">
            <v>1254</v>
          </cell>
          <cell r="C4141" t="str">
            <v>12</v>
          </cell>
          <cell r="D4141" t="str">
            <v>48</v>
          </cell>
          <cell r="G4141">
            <v>1020001</v>
          </cell>
          <cell r="H4141">
            <v>1</v>
          </cell>
          <cell r="I4141">
            <v>3300000</v>
          </cell>
          <cell r="J4141">
            <v>0</v>
          </cell>
          <cell r="K4141">
            <v>0</v>
          </cell>
          <cell r="L4141">
            <v>0</v>
          </cell>
          <cell r="M4141">
            <v>0</v>
          </cell>
          <cell r="N4141">
            <v>0</v>
          </cell>
          <cell r="O4141">
            <v>0</v>
          </cell>
          <cell r="P4141">
            <v>1</v>
          </cell>
          <cell r="Q4141">
            <v>3300000</v>
          </cell>
          <cell r="R4141">
            <v>0</v>
          </cell>
          <cell r="S4141">
            <v>0</v>
          </cell>
          <cell r="T4141">
            <v>0</v>
          </cell>
          <cell r="U4141">
            <v>0</v>
          </cell>
          <cell r="V4141">
            <v>0</v>
          </cell>
          <cell r="W4141">
            <v>0</v>
          </cell>
        </row>
        <row r="4142">
          <cell r="A4142" t="str">
            <v>450340</v>
          </cell>
          <cell r="B4142" t="str">
            <v>1254</v>
          </cell>
          <cell r="C4142" t="str">
            <v>12</v>
          </cell>
          <cell r="D4142" t="str">
            <v>48</v>
          </cell>
          <cell r="G4142">
            <v>1020002</v>
          </cell>
          <cell r="H4142">
            <v>36870</v>
          </cell>
          <cell r="I4142">
            <v>16591500</v>
          </cell>
          <cell r="J4142">
            <v>0</v>
          </cell>
          <cell r="K4142">
            <v>0</v>
          </cell>
          <cell r="L4142">
            <v>0</v>
          </cell>
          <cell r="M4142">
            <v>0</v>
          </cell>
          <cell r="N4142">
            <v>0</v>
          </cell>
          <cell r="O4142">
            <v>0</v>
          </cell>
          <cell r="P4142">
            <v>36870</v>
          </cell>
          <cell r="Q4142">
            <v>16591500</v>
          </cell>
          <cell r="R4142">
            <v>0</v>
          </cell>
          <cell r="S4142">
            <v>0</v>
          </cell>
          <cell r="T4142">
            <v>0</v>
          </cell>
          <cell r="U4142">
            <v>0</v>
          </cell>
          <cell r="V4142">
            <v>0</v>
          </cell>
          <cell r="W4142">
            <v>0</v>
          </cell>
        </row>
        <row r="4143">
          <cell r="A4143" t="str">
            <v>450340</v>
          </cell>
          <cell r="B4143" t="str">
            <v>1254</v>
          </cell>
          <cell r="C4143" t="str">
            <v>12</v>
          </cell>
          <cell r="D4143" t="str">
            <v>48</v>
          </cell>
          <cell r="G4143">
            <v>1020003</v>
          </cell>
          <cell r="H4143">
            <v>42961</v>
          </cell>
          <cell r="I4143">
            <v>12029080</v>
          </cell>
          <cell r="J4143">
            <v>0</v>
          </cell>
          <cell r="K4143">
            <v>0</v>
          </cell>
          <cell r="L4143">
            <v>0</v>
          </cell>
          <cell r="M4143">
            <v>0</v>
          </cell>
          <cell r="N4143">
            <v>0</v>
          </cell>
          <cell r="O4143">
            <v>0</v>
          </cell>
          <cell r="P4143">
            <v>42961</v>
          </cell>
          <cell r="Q4143">
            <v>12029080</v>
          </cell>
          <cell r="R4143">
            <v>0</v>
          </cell>
          <cell r="S4143">
            <v>0</v>
          </cell>
          <cell r="T4143">
            <v>0</v>
          </cell>
          <cell r="U4143">
            <v>0</v>
          </cell>
          <cell r="V4143">
            <v>0</v>
          </cell>
          <cell r="W4143">
            <v>0</v>
          </cell>
        </row>
        <row r="4144">
          <cell r="A4144" t="str">
            <v>450340</v>
          </cell>
          <cell r="B4144" t="str">
            <v>1254</v>
          </cell>
          <cell r="C4144" t="str">
            <v>12</v>
          </cell>
          <cell r="D4144" t="str">
            <v>48</v>
          </cell>
          <cell r="G4144">
            <v>1020004</v>
          </cell>
          <cell r="H4144">
            <v>25393</v>
          </cell>
          <cell r="I4144">
            <v>3707378</v>
          </cell>
          <cell r="J4144">
            <v>0</v>
          </cell>
          <cell r="K4144">
            <v>0</v>
          </cell>
          <cell r="L4144">
            <v>0</v>
          </cell>
          <cell r="M4144">
            <v>0</v>
          </cell>
          <cell r="N4144">
            <v>0</v>
          </cell>
          <cell r="O4144">
            <v>0</v>
          </cell>
          <cell r="P4144">
            <v>25393</v>
          </cell>
          <cell r="Q4144">
            <v>3707378</v>
          </cell>
          <cell r="R4144">
            <v>0</v>
          </cell>
          <cell r="S4144">
            <v>0</v>
          </cell>
          <cell r="T4144">
            <v>0</v>
          </cell>
          <cell r="U4144">
            <v>0</v>
          </cell>
          <cell r="V4144">
            <v>0</v>
          </cell>
          <cell r="W4144">
            <v>0</v>
          </cell>
        </row>
        <row r="4145">
          <cell r="A4145" t="str">
            <v>450340</v>
          </cell>
          <cell r="B4145" t="str">
            <v>1254</v>
          </cell>
          <cell r="C4145" t="str">
            <v>12</v>
          </cell>
          <cell r="D4145" t="str">
            <v>48</v>
          </cell>
          <cell r="G4145">
            <v>1030001</v>
          </cell>
          <cell r="H4145">
            <v>12</v>
          </cell>
          <cell r="I4145">
            <v>3982800</v>
          </cell>
          <cell r="J4145">
            <v>0</v>
          </cell>
          <cell r="K4145">
            <v>0</v>
          </cell>
          <cell r="L4145">
            <v>0</v>
          </cell>
          <cell r="M4145">
            <v>0</v>
          </cell>
          <cell r="N4145">
            <v>0</v>
          </cell>
          <cell r="O4145">
            <v>0</v>
          </cell>
          <cell r="P4145">
            <v>12</v>
          </cell>
          <cell r="Q4145">
            <v>3982800</v>
          </cell>
          <cell r="R4145">
            <v>0</v>
          </cell>
          <cell r="S4145">
            <v>0</v>
          </cell>
          <cell r="T4145">
            <v>0</v>
          </cell>
          <cell r="U4145">
            <v>0</v>
          </cell>
          <cell r="V4145">
            <v>0</v>
          </cell>
          <cell r="W4145">
            <v>0</v>
          </cell>
        </row>
        <row r="4146">
          <cell r="A4146" t="str">
            <v>450340</v>
          </cell>
          <cell r="B4146" t="str">
            <v>1254</v>
          </cell>
          <cell r="C4146" t="str">
            <v>12</v>
          </cell>
          <cell r="D4146" t="str">
            <v>48</v>
          </cell>
          <cell r="G4146">
            <v>1050001</v>
          </cell>
          <cell r="H4146">
            <v>98</v>
          </cell>
          <cell r="I4146">
            <v>372400</v>
          </cell>
          <cell r="J4146">
            <v>0</v>
          </cell>
          <cell r="K4146">
            <v>0</v>
          </cell>
          <cell r="L4146">
            <v>0</v>
          </cell>
          <cell r="M4146">
            <v>0</v>
          </cell>
          <cell r="N4146">
            <v>0</v>
          </cell>
          <cell r="O4146">
            <v>0</v>
          </cell>
          <cell r="P4146">
            <v>98</v>
          </cell>
          <cell r="Q4146">
            <v>372400</v>
          </cell>
          <cell r="R4146">
            <v>0</v>
          </cell>
          <cell r="S4146">
            <v>0</v>
          </cell>
          <cell r="T4146">
            <v>0</v>
          </cell>
          <cell r="U4146">
            <v>0</v>
          </cell>
          <cell r="V4146">
            <v>0</v>
          </cell>
          <cell r="W4146">
            <v>0</v>
          </cell>
        </row>
        <row r="4147">
          <cell r="A4147" t="str">
            <v>450340</v>
          </cell>
          <cell r="B4147" t="str">
            <v>1254</v>
          </cell>
          <cell r="C4147" t="str">
            <v>12</v>
          </cell>
          <cell r="D4147" t="str">
            <v>48</v>
          </cell>
          <cell r="G4147">
            <v>1090001</v>
          </cell>
          <cell r="H4147">
            <v>0</v>
          </cell>
          <cell r="I4147">
            <v>87364140</v>
          </cell>
          <cell r="J4147">
            <v>0</v>
          </cell>
          <cell r="K4147">
            <v>0</v>
          </cell>
          <cell r="L4147">
            <v>0</v>
          </cell>
          <cell r="M4147">
            <v>0</v>
          </cell>
          <cell r="N4147">
            <v>0</v>
          </cell>
          <cell r="O4147">
            <v>0</v>
          </cell>
          <cell r="P4147">
            <v>0</v>
          </cell>
          <cell r="Q4147">
            <v>87364140</v>
          </cell>
          <cell r="R4147">
            <v>0</v>
          </cell>
          <cell r="S4147">
            <v>0</v>
          </cell>
          <cell r="T4147">
            <v>0</v>
          </cell>
          <cell r="U4147">
            <v>0</v>
          </cell>
          <cell r="V4147">
            <v>0</v>
          </cell>
          <cell r="W4147">
            <v>0</v>
          </cell>
        </row>
        <row r="4148">
          <cell r="A4148" t="str">
            <v>450340</v>
          </cell>
          <cell r="B4148" t="str">
            <v>1254</v>
          </cell>
          <cell r="C4148" t="str">
            <v>12</v>
          </cell>
          <cell r="D4148" t="str">
            <v>48</v>
          </cell>
          <cell r="G4148">
            <v>1100001</v>
          </cell>
          <cell r="H4148">
            <v>0</v>
          </cell>
          <cell r="I4148">
            <v>22264469</v>
          </cell>
          <cell r="J4148">
            <v>0</v>
          </cell>
          <cell r="K4148">
            <v>0</v>
          </cell>
          <cell r="L4148">
            <v>0</v>
          </cell>
          <cell r="M4148">
            <v>0</v>
          </cell>
          <cell r="N4148">
            <v>0</v>
          </cell>
          <cell r="O4148">
            <v>0</v>
          </cell>
          <cell r="P4148">
            <v>0</v>
          </cell>
          <cell r="Q4148">
            <v>22264469</v>
          </cell>
          <cell r="R4148">
            <v>0</v>
          </cell>
          <cell r="S4148">
            <v>0</v>
          </cell>
          <cell r="T4148">
            <v>0</v>
          </cell>
          <cell r="U4148">
            <v>0</v>
          </cell>
          <cell r="V4148">
            <v>0</v>
          </cell>
          <cell r="W4148">
            <v>0</v>
          </cell>
        </row>
        <row r="4149">
          <cell r="A4149" t="str">
            <v>450340</v>
          </cell>
          <cell r="B4149" t="str">
            <v>1254</v>
          </cell>
          <cell r="C4149" t="str">
            <v>12</v>
          </cell>
          <cell r="D4149" t="str">
            <v>48</v>
          </cell>
          <cell r="G4149">
            <v>1110003</v>
          </cell>
          <cell r="H4149">
            <v>0</v>
          </cell>
          <cell r="I4149">
            <v>0</v>
          </cell>
          <cell r="J4149">
            <v>18338</v>
          </cell>
          <cell r="K4149">
            <v>7243510</v>
          </cell>
          <cell r="L4149">
            <v>0</v>
          </cell>
          <cell r="M4149">
            <v>0</v>
          </cell>
          <cell r="N4149">
            <v>0</v>
          </cell>
          <cell r="O4149">
            <v>0</v>
          </cell>
          <cell r="P4149">
            <v>18338</v>
          </cell>
          <cell r="Q4149">
            <v>7243510</v>
          </cell>
          <cell r="R4149">
            <v>0</v>
          </cell>
          <cell r="S4149">
            <v>0</v>
          </cell>
          <cell r="T4149">
            <v>0</v>
          </cell>
          <cell r="U4149">
            <v>0</v>
          </cell>
          <cell r="V4149">
            <v>0</v>
          </cell>
          <cell r="W4149">
            <v>0</v>
          </cell>
        </row>
        <row r="4150">
          <cell r="A4150" t="str">
            <v>450340</v>
          </cell>
          <cell r="B4150" t="str">
            <v>1254</v>
          </cell>
          <cell r="C4150" t="str">
            <v>12</v>
          </cell>
          <cell r="D4150" t="str">
            <v>48</v>
          </cell>
          <cell r="G4150">
            <v>1110008</v>
          </cell>
          <cell r="H4150">
            <v>0</v>
          </cell>
          <cell r="I4150">
            <v>0</v>
          </cell>
          <cell r="J4150">
            <v>18338</v>
          </cell>
          <cell r="K4150">
            <v>7243510</v>
          </cell>
          <cell r="L4150">
            <v>0</v>
          </cell>
          <cell r="M4150">
            <v>0</v>
          </cell>
          <cell r="N4150">
            <v>0</v>
          </cell>
          <cell r="O4150">
            <v>0</v>
          </cell>
          <cell r="P4150">
            <v>18338</v>
          </cell>
          <cell r="Q4150">
            <v>7243510</v>
          </cell>
          <cell r="R4150">
            <v>0</v>
          </cell>
          <cell r="S4150">
            <v>0</v>
          </cell>
          <cell r="T4150">
            <v>0</v>
          </cell>
          <cell r="U4150">
            <v>0</v>
          </cell>
          <cell r="V4150">
            <v>0</v>
          </cell>
          <cell r="W4150">
            <v>0</v>
          </cell>
        </row>
        <row r="4151">
          <cell r="A4151" t="str">
            <v>450340</v>
          </cell>
          <cell r="B4151" t="str">
            <v>1254</v>
          </cell>
          <cell r="C4151" t="str">
            <v>12</v>
          </cell>
          <cell r="D4151" t="str">
            <v>48</v>
          </cell>
          <cell r="G4151">
            <v>1110012</v>
          </cell>
          <cell r="H4151">
            <v>58</v>
          </cell>
          <cell r="I4151">
            <v>4106400</v>
          </cell>
          <cell r="J4151">
            <v>0</v>
          </cell>
          <cell r="K4151">
            <v>0</v>
          </cell>
          <cell r="L4151">
            <v>0</v>
          </cell>
          <cell r="M4151">
            <v>0</v>
          </cell>
          <cell r="N4151">
            <v>0</v>
          </cell>
          <cell r="O4151">
            <v>0</v>
          </cell>
          <cell r="P4151">
            <v>58</v>
          </cell>
          <cell r="Q4151">
            <v>4106400</v>
          </cell>
          <cell r="R4151">
            <v>0</v>
          </cell>
          <cell r="S4151">
            <v>0</v>
          </cell>
          <cell r="T4151">
            <v>0</v>
          </cell>
          <cell r="U4151">
            <v>0</v>
          </cell>
          <cell r="V4151">
            <v>0</v>
          </cell>
          <cell r="W4151">
            <v>0</v>
          </cell>
        </row>
        <row r="4152">
          <cell r="A4152" t="str">
            <v>450340</v>
          </cell>
          <cell r="B4152" t="str">
            <v>1254</v>
          </cell>
          <cell r="C4152" t="str">
            <v>12</v>
          </cell>
          <cell r="D4152" t="str">
            <v>48</v>
          </cell>
          <cell r="G4152">
            <v>1110013</v>
          </cell>
          <cell r="H4152">
            <v>33</v>
          </cell>
          <cell r="I4152">
            <v>3458400</v>
          </cell>
          <cell r="J4152">
            <v>0</v>
          </cell>
          <cell r="K4152">
            <v>0</v>
          </cell>
          <cell r="L4152">
            <v>0</v>
          </cell>
          <cell r="M4152">
            <v>0</v>
          </cell>
          <cell r="N4152">
            <v>0</v>
          </cell>
          <cell r="O4152">
            <v>0</v>
          </cell>
          <cell r="P4152">
            <v>33</v>
          </cell>
          <cell r="Q4152">
            <v>3458400</v>
          </cell>
          <cell r="R4152">
            <v>0</v>
          </cell>
          <cell r="S4152">
            <v>0</v>
          </cell>
          <cell r="T4152">
            <v>0</v>
          </cell>
          <cell r="U4152">
            <v>0</v>
          </cell>
          <cell r="V4152">
            <v>0</v>
          </cell>
          <cell r="W4152">
            <v>0</v>
          </cell>
        </row>
        <row r="4153">
          <cell r="A4153" t="str">
            <v>450340</v>
          </cell>
          <cell r="B4153" t="str">
            <v>1254</v>
          </cell>
          <cell r="C4153" t="str">
            <v>12</v>
          </cell>
          <cell r="D4153" t="str">
            <v>48</v>
          </cell>
          <cell r="G4153">
            <v>1110021</v>
          </cell>
          <cell r="H4153">
            <v>45</v>
          </cell>
          <cell r="I4153">
            <v>8865000</v>
          </cell>
          <cell r="J4153">
            <v>0</v>
          </cell>
          <cell r="K4153">
            <v>0</v>
          </cell>
          <cell r="L4153">
            <v>0</v>
          </cell>
          <cell r="M4153">
            <v>0</v>
          </cell>
          <cell r="N4153">
            <v>0</v>
          </cell>
          <cell r="O4153">
            <v>0</v>
          </cell>
          <cell r="P4153">
            <v>45</v>
          </cell>
          <cell r="Q4153">
            <v>8865000</v>
          </cell>
          <cell r="R4153">
            <v>0</v>
          </cell>
          <cell r="S4153">
            <v>0</v>
          </cell>
          <cell r="T4153">
            <v>0</v>
          </cell>
          <cell r="U4153">
            <v>0</v>
          </cell>
          <cell r="V4153">
            <v>0</v>
          </cell>
          <cell r="W4153">
            <v>0</v>
          </cell>
        </row>
        <row r="4154">
          <cell r="A4154" t="str">
            <v>450340</v>
          </cell>
          <cell r="B4154" t="str">
            <v>1254</v>
          </cell>
          <cell r="C4154" t="str">
            <v>12</v>
          </cell>
          <cell r="D4154" t="str">
            <v>48</v>
          </cell>
          <cell r="G4154">
            <v>1120004</v>
          </cell>
          <cell r="H4154">
            <v>50</v>
          </cell>
          <cell r="I4154">
            <v>40750000</v>
          </cell>
          <cell r="J4154">
            <v>0</v>
          </cell>
          <cell r="K4154">
            <v>0</v>
          </cell>
          <cell r="L4154">
            <v>0</v>
          </cell>
          <cell r="M4154">
            <v>0</v>
          </cell>
          <cell r="N4154">
            <v>0</v>
          </cell>
          <cell r="O4154">
            <v>0</v>
          </cell>
          <cell r="P4154">
            <v>50</v>
          </cell>
          <cell r="Q4154">
            <v>40750000</v>
          </cell>
          <cell r="R4154">
            <v>0</v>
          </cell>
          <cell r="S4154">
            <v>0</v>
          </cell>
          <cell r="T4154">
            <v>0</v>
          </cell>
          <cell r="U4154">
            <v>0</v>
          </cell>
          <cell r="V4154">
            <v>0</v>
          </cell>
          <cell r="W4154">
            <v>0</v>
          </cell>
        </row>
        <row r="4155">
          <cell r="A4155" t="str">
            <v>450340</v>
          </cell>
          <cell r="B4155" t="str">
            <v>1254</v>
          </cell>
          <cell r="C4155" t="str">
            <v>12</v>
          </cell>
          <cell r="D4155" t="str">
            <v>48</v>
          </cell>
          <cell r="G4155">
            <v>1120007</v>
          </cell>
          <cell r="H4155">
            <v>170</v>
          </cell>
          <cell r="I4155">
            <v>124100000</v>
          </cell>
          <cell r="J4155">
            <v>0</v>
          </cell>
          <cell r="K4155">
            <v>0</v>
          </cell>
          <cell r="L4155">
            <v>0</v>
          </cell>
          <cell r="M4155">
            <v>0</v>
          </cell>
          <cell r="N4155">
            <v>0</v>
          </cell>
          <cell r="O4155">
            <v>0</v>
          </cell>
          <cell r="P4155">
            <v>170</v>
          </cell>
          <cell r="Q4155">
            <v>124100000</v>
          </cell>
          <cell r="R4155">
            <v>0</v>
          </cell>
          <cell r="S4155">
            <v>0</v>
          </cell>
          <cell r="T4155">
            <v>0</v>
          </cell>
          <cell r="U4155">
            <v>0</v>
          </cell>
          <cell r="V4155">
            <v>0</v>
          </cell>
          <cell r="W4155">
            <v>0</v>
          </cell>
        </row>
        <row r="4156">
          <cell r="A4156" t="str">
            <v>450340</v>
          </cell>
          <cell r="B4156" t="str">
            <v>1254</v>
          </cell>
          <cell r="C4156" t="str">
            <v>12</v>
          </cell>
          <cell r="D4156" t="str">
            <v>48</v>
          </cell>
          <cell r="G4156">
            <v>1140001</v>
          </cell>
          <cell r="H4156">
            <v>38</v>
          </cell>
          <cell r="I4156">
            <v>17480000</v>
          </cell>
          <cell r="J4156">
            <v>0</v>
          </cell>
          <cell r="K4156">
            <v>0</v>
          </cell>
          <cell r="L4156">
            <v>0</v>
          </cell>
          <cell r="M4156">
            <v>0</v>
          </cell>
          <cell r="N4156">
            <v>0</v>
          </cell>
          <cell r="O4156">
            <v>0</v>
          </cell>
          <cell r="P4156">
            <v>38</v>
          </cell>
          <cell r="Q4156">
            <v>17480000</v>
          </cell>
          <cell r="R4156">
            <v>0</v>
          </cell>
          <cell r="S4156">
            <v>0</v>
          </cell>
          <cell r="T4156">
            <v>0</v>
          </cell>
          <cell r="U4156">
            <v>0</v>
          </cell>
          <cell r="V4156">
            <v>0</v>
          </cell>
          <cell r="W4156">
            <v>0</v>
          </cell>
        </row>
        <row r="4157">
          <cell r="A4157" t="str">
            <v>450340</v>
          </cell>
          <cell r="B4157" t="str">
            <v>1254</v>
          </cell>
          <cell r="C4157" t="str">
            <v>12</v>
          </cell>
          <cell r="D4157" t="str">
            <v>48</v>
          </cell>
          <cell r="G4157">
            <v>1140003</v>
          </cell>
          <cell r="H4157">
            <v>13</v>
          </cell>
          <cell r="I4157">
            <v>650000</v>
          </cell>
          <cell r="J4157">
            <v>0</v>
          </cell>
          <cell r="K4157">
            <v>0</v>
          </cell>
          <cell r="L4157">
            <v>0</v>
          </cell>
          <cell r="M4157">
            <v>0</v>
          </cell>
          <cell r="N4157">
            <v>0</v>
          </cell>
          <cell r="O4157">
            <v>0</v>
          </cell>
          <cell r="P4157">
            <v>13</v>
          </cell>
          <cell r="Q4157">
            <v>650000</v>
          </cell>
          <cell r="R4157">
            <v>0</v>
          </cell>
          <cell r="S4157">
            <v>0</v>
          </cell>
          <cell r="T4157">
            <v>0</v>
          </cell>
          <cell r="U4157">
            <v>0</v>
          </cell>
          <cell r="V4157">
            <v>0</v>
          </cell>
          <cell r="W4157">
            <v>0</v>
          </cell>
        </row>
        <row r="4158">
          <cell r="A4158" t="str">
            <v>450340</v>
          </cell>
          <cell r="B4158" t="str">
            <v>1254</v>
          </cell>
          <cell r="C4158" t="str">
            <v>12</v>
          </cell>
          <cell r="D4158" t="str">
            <v>48</v>
          </cell>
          <cell r="G4158">
            <v>1150001</v>
          </cell>
          <cell r="H4158">
            <v>557</v>
          </cell>
          <cell r="I4158">
            <v>110843000</v>
          </cell>
          <cell r="J4158">
            <v>0</v>
          </cell>
          <cell r="K4158">
            <v>0</v>
          </cell>
          <cell r="L4158">
            <v>0</v>
          </cell>
          <cell r="M4158">
            <v>0</v>
          </cell>
          <cell r="N4158">
            <v>0</v>
          </cell>
          <cell r="O4158">
            <v>0</v>
          </cell>
          <cell r="P4158">
            <v>557</v>
          </cell>
          <cell r="Q4158">
            <v>110843000</v>
          </cell>
          <cell r="R4158">
            <v>0</v>
          </cell>
          <cell r="S4158">
            <v>0</v>
          </cell>
          <cell r="T4158">
            <v>0</v>
          </cell>
          <cell r="U4158">
            <v>0</v>
          </cell>
          <cell r="V4158">
            <v>0</v>
          </cell>
          <cell r="W4158">
            <v>0</v>
          </cell>
        </row>
        <row r="4159">
          <cell r="A4159" t="str">
            <v>450340</v>
          </cell>
          <cell r="B4159" t="str">
            <v>1254</v>
          </cell>
          <cell r="C4159" t="str">
            <v>12</v>
          </cell>
          <cell r="D4159" t="str">
            <v>48</v>
          </cell>
          <cell r="G4159">
            <v>1160001</v>
          </cell>
          <cell r="H4159">
            <v>724</v>
          </cell>
          <cell r="I4159">
            <v>147696000</v>
          </cell>
          <cell r="J4159">
            <v>0</v>
          </cell>
          <cell r="K4159">
            <v>0</v>
          </cell>
          <cell r="L4159">
            <v>0</v>
          </cell>
          <cell r="M4159">
            <v>0</v>
          </cell>
          <cell r="N4159">
            <v>0</v>
          </cell>
          <cell r="O4159">
            <v>0</v>
          </cell>
          <cell r="P4159">
            <v>724</v>
          </cell>
          <cell r="Q4159">
            <v>147696000</v>
          </cell>
          <cell r="R4159">
            <v>0</v>
          </cell>
          <cell r="S4159">
            <v>0</v>
          </cell>
          <cell r="T4159">
            <v>0</v>
          </cell>
          <cell r="U4159">
            <v>0</v>
          </cell>
          <cell r="V4159">
            <v>0</v>
          </cell>
          <cell r="W4159">
            <v>0</v>
          </cell>
        </row>
        <row r="4160">
          <cell r="A4160" t="str">
            <v>450340</v>
          </cell>
          <cell r="B4160" t="str">
            <v>1254</v>
          </cell>
          <cell r="C4160" t="str">
            <v>12</v>
          </cell>
          <cell r="D4160" t="str">
            <v>48</v>
          </cell>
          <cell r="G4160">
            <v>1160003</v>
          </cell>
          <cell r="H4160">
            <v>981</v>
          </cell>
          <cell r="I4160">
            <v>207972000</v>
          </cell>
          <cell r="J4160">
            <v>0</v>
          </cell>
          <cell r="K4160">
            <v>0</v>
          </cell>
          <cell r="L4160">
            <v>0</v>
          </cell>
          <cell r="M4160">
            <v>0</v>
          </cell>
          <cell r="N4160">
            <v>0</v>
          </cell>
          <cell r="O4160">
            <v>0</v>
          </cell>
          <cell r="P4160">
            <v>981</v>
          </cell>
          <cell r="Q4160">
            <v>207972000</v>
          </cell>
          <cell r="R4160">
            <v>0</v>
          </cell>
          <cell r="S4160">
            <v>0</v>
          </cell>
          <cell r="T4160">
            <v>0</v>
          </cell>
          <cell r="U4160">
            <v>0</v>
          </cell>
          <cell r="V4160">
            <v>0</v>
          </cell>
          <cell r="W4160">
            <v>0</v>
          </cell>
        </row>
        <row r="4161">
          <cell r="A4161" t="str">
            <v>450340</v>
          </cell>
          <cell r="B4161" t="str">
            <v>1254</v>
          </cell>
          <cell r="C4161" t="str">
            <v>12</v>
          </cell>
          <cell r="D4161" t="str">
            <v>48</v>
          </cell>
          <cell r="G4161">
            <v>1160007</v>
          </cell>
          <cell r="H4161">
            <v>2271</v>
          </cell>
          <cell r="I4161">
            <v>595002000</v>
          </cell>
          <cell r="J4161">
            <v>0</v>
          </cell>
          <cell r="K4161">
            <v>0</v>
          </cell>
          <cell r="L4161">
            <v>0</v>
          </cell>
          <cell r="M4161">
            <v>0</v>
          </cell>
          <cell r="N4161">
            <v>0</v>
          </cell>
          <cell r="O4161">
            <v>0</v>
          </cell>
          <cell r="P4161">
            <v>2271</v>
          </cell>
          <cell r="Q4161">
            <v>595002000</v>
          </cell>
          <cell r="R4161">
            <v>0</v>
          </cell>
          <cell r="S4161">
            <v>0</v>
          </cell>
          <cell r="T4161">
            <v>0</v>
          </cell>
          <cell r="U4161">
            <v>0</v>
          </cell>
          <cell r="V4161">
            <v>0</v>
          </cell>
          <cell r="W4161">
            <v>0</v>
          </cell>
        </row>
        <row r="4162">
          <cell r="A4162" t="str">
            <v>450340</v>
          </cell>
          <cell r="B4162" t="str">
            <v>1254</v>
          </cell>
          <cell r="C4162" t="str">
            <v>12</v>
          </cell>
          <cell r="D4162" t="str">
            <v>48</v>
          </cell>
          <cell r="G4162">
            <v>1160013</v>
          </cell>
          <cell r="H4162">
            <v>157</v>
          </cell>
          <cell r="I4162">
            <v>82268000</v>
          </cell>
          <cell r="J4162">
            <v>0</v>
          </cell>
          <cell r="K4162">
            <v>0</v>
          </cell>
          <cell r="L4162">
            <v>0</v>
          </cell>
          <cell r="M4162">
            <v>0</v>
          </cell>
          <cell r="N4162">
            <v>0</v>
          </cell>
          <cell r="O4162">
            <v>0</v>
          </cell>
          <cell r="P4162">
            <v>157</v>
          </cell>
          <cell r="Q4162">
            <v>82268000</v>
          </cell>
          <cell r="R4162">
            <v>0</v>
          </cell>
          <cell r="S4162">
            <v>0</v>
          </cell>
          <cell r="T4162">
            <v>0</v>
          </cell>
          <cell r="U4162">
            <v>0</v>
          </cell>
          <cell r="V4162">
            <v>0</v>
          </cell>
          <cell r="W4162">
            <v>0</v>
          </cell>
        </row>
        <row r="4163">
          <cell r="A4163" t="str">
            <v>450340</v>
          </cell>
          <cell r="B4163" t="str">
            <v>1254</v>
          </cell>
          <cell r="C4163" t="str">
            <v>12</v>
          </cell>
          <cell r="D4163" t="str">
            <v>48</v>
          </cell>
          <cell r="G4163">
            <v>1160017</v>
          </cell>
          <cell r="H4163">
            <v>723</v>
          </cell>
          <cell r="I4163">
            <v>151830000</v>
          </cell>
          <cell r="J4163">
            <v>0</v>
          </cell>
          <cell r="K4163">
            <v>0</v>
          </cell>
          <cell r="L4163">
            <v>0</v>
          </cell>
          <cell r="M4163">
            <v>0</v>
          </cell>
          <cell r="N4163">
            <v>0</v>
          </cell>
          <cell r="O4163">
            <v>0</v>
          </cell>
          <cell r="P4163">
            <v>723</v>
          </cell>
          <cell r="Q4163">
            <v>151830000</v>
          </cell>
          <cell r="R4163">
            <v>0</v>
          </cell>
          <cell r="S4163">
            <v>0</v>
          </cell>
          <cell r="T4163">
            <v>0</v>
          </cell>
          <cell r="U4163">
            <v>0</v>
          </cell>
          <cell r="V4163">
            <v>0</v>
          </cell>
          <cell r="W4163">
            <v>0</v>
          </cell>
        </row>
        <row r="4164">
          <cell r="A4164" t="str">
            <v>450340</v>
          </cell>
          <cell r="B4164" t="str">
            <v>1254</v>
          </cell>
          <cell r="C4164" t="str">
            <v>12</v>
          </cell>
          <cell r="D4164" t="str">
            <v>48</v>
          </cell>
          <cell r="G4164">
            <v>1160019</v>
          </cell>
          <cell r="H4164">
            <v>152</v>
          </cell>
          <cell r="I4164">
            <v>17024000</v>
          </cell>
          <cell r="J4164">
            <v>0</v>
          </cell>
          <cell r="K4164">
            <v>0</v>
          </cell>
          <cell r="L4164">
            <v>0</v>
          </cell>
          <cell r="M4164">
            <v>0</v>
          </cell>
          <cell r="N4164">
            <v>0</v>
          </cell>
          <cell r="O4164">
            <v>0</v>
          </cell>
          <cell r="P4164">
            <v>152</v>
          </cell>
          <cell r="Q4164">
            <v>17024000</v>
          </cell>
          <cell r="R4164">
            <v>0</v>
          </cell>
          <cell r="S4164">
            <v>0</v>
          </cell>
          <cell r="T4164">
            <v>0</v>
          </cell>
          <cell r="U4164">
            <v>0</v>
          </cell>
          <cell r="V4164">
            <v>0</v>
          </cell>
          <cell r="W4164">
            <v>0</v>
          </cell>
        </row>
        <row r="4165">
          <cell r="A4165" t="str">
            <v>450340</v>
          </cell>
          <cell r="B4165" t="str">
            <v>1254</v>
          </cell>
          <cell r="C4165" t="str">
            <v>12</v>
          </cell>
          <cell r="D4165" t="str">
            <v>48</v>
          </cell>
          <cell r="G4165">
            <v>1160020</v>
          </cell>
          <cell r="H4165">
            <v>325</v>
          </cell>
          <cell r="I4165">
            <v>50960000</v>
          </cell>
          <cell r="J4165">
            <v>0</v>
          </cell>
          <cell r="K4165">
            <v>0</v>
          </cell>
          <cell r="L4165">
            <v>0</v>
          </cell>
          <cell r="M4165">
            <v>0</v>
          </cell>
          <cell r="N4165">
            <v>0</v>
          </cell>
          <cell r="O4165">
            <v>0</v>
          </cell>
          <cell r="P4165">
            <v>325</v>
          </cell>
          <cell r="Q4165">
            <v>50960000</v>
          </cell>
          <cell r="R4165">
            <v>0</v>
          </cell>
          <cell r="S4165">
            <v>0</v>
          </cell>
          <cell r="T4165">
            <v>0</v>
          </cell>
          <cell r="U4165">
            <v>0</v>
          </cell>
          <cell r="V4165">
            <v>0</v>
          </cell>
          <cell r="W4165">
            <v>0</v>
          </cell>
        </row>
        <row r="4166">
          <cell r="A4166" t="str">
            <v>450340</v>
          </cell>
          <cell r="B4166" t="str">
            <v>1254</v>
          </cell>
          <cell r="C4166" t="str">
            <v>12</v>
          </cell>
          <cell r="D4166" t="str">
            <v>48</v>
          </cell>
          <cell r="G4166">
            <v>1160021</v>
          </cell>
          <cell r="H4166">
            <v>137</v>
          </cell>
          <cell r="I4166">
            <v>9206400</v>
          </cell>
          <cell r="J4166">
            <v>0</v>
          </cell>
          <cell r="K4166">
            <v>0</v>
          </cell>
          <cell r="L4166">
            <v>0</v>
          </cell>
          <cell r="M4166">
            <v>0</v>
          </cell>
          <cell r="N4166">
            <v>0</v>
          </cell>
          <cell r="O4166">
            <v>0</v>
          </cell>
          <cell r="P4166">
            <v>137</v>
          </cell>
          <cell r="Q4166">
            <v>9206400</v>
          </cell>
          <cell r="R4166">
            <v>0</v>
          </cell>
          <cell r="S4166">
            <v>0</v>
          </cell>
          <cell r="T4166">
            <v>0</v>
          </cell>
          <cell r="U4166">
            <v>0</v>
          </cell>
          <cell r="V4166">
            <v>0</v>
          </cell>
          <cell r="W4166">
            <v>0</v>
          </cell>
        </row>
        <row r="4167">
          <cell r="A4167" t="str">
            <v>450340</v>
          </cell>
          <cell r="B4167" t="str">
            <v>1254</v>
          </cell>
          <cell r="C4167" t="str">
            <v>12</v>
          </cell>
          <cell r="D4167" t="str">
            <v>48</v>
          </cell>
          <cell r="G4167">
            <v>1160022</v>
          </cell>
          <cell r="H4167">
            <v>87</v>
          </cell>
          <cell r="I4167">
            <v>1948800</v>
          </cell>
          <cell r="J4167">
            <v>0</v>
          </cell>
          <cell r="K4167">
            <v>0</v>
          </cell>
          <cell r="L4167">
            <v>0</v>
          </cell>
          <cell r="M4167">
            <v>0</v>
          </cell>
          <cell r="N4167">
            <v>0</v>
          </cell>
          <cell r="O4167">
            <v>0</v>
          </cell>
          <cell r="P4167">
            <v>87</v>
          </cell>
          <cell r="Q4167">
            <v>1948800</v>
          </cell>
          <cell r="R4167">
            <v>0</v>
          </cell>
          <cell r="S4167">
            <v>0</v>
          </cell>
          <cell r="T4167">
            <v>0</v>
          </cell>
          <cell r="U4167">
            <v>0</v>
          </cell>
          <cell r="V4167">
            <v>0</v>
          </cell>
          <cell r="W4167">
            <v>0</v>
          </cell>
        </row>
        <row r="4168">
          <cell r="A4168" t="str">
            <v>450340</v>
          </cell>
          <cell r="B4168" t="str">
            <v>1254</v>
          </cell>
          <cell r="C4168" t="str">
            <v>12</v>
          </cell>
          <cell r="D4168" t="str">
            <v>48</v>
          </cell>
          <cell r="G4168">
            <v>1170001</v>
          </cell>
          <cell r="H4168">
            <v>4</v>
          </cell>
          <cell r="I4168">
            <v>1856000</v>
          </cell>
          <cell r="J4168">
            <v>-1</v>
          </cell>
          <cell r="K4168">
            <v>-464000</v>
          </cell>
          <cell r="L4168">
            <v>0</v>
          </cell>
          <cell r="M4168">
            <v>0</v>
          </cell>
          <cell r="N4168">
            <v>0</v>
          </cell>
          <cell r="O4168">
            <v>0</v>
          </cell>
          <cell r="P4168">
            <v>3</v>
          </cell>
          <cell r="Q4168">
            <v>1392000</v>
          </cell>
          <cell r="R4168">
            <v>0</v>
          </cell>
          <cell r="S4168">
            <v>0</v>
          </cell>
          <cell r="T4168">
            <v>0</v>
          </cell>
          <cell r="U4168">
            <v>0</v>
          </cell>
          <cell r="V4168">
            <v>0</v>
          </cell>
          <cell r="W4168">
            <v>0</v>
          </cell>
        </row>
        <row r="4169">
          <cell r="A4169" t="str">
            <v>450340</v>
          </cell>
          <cell r="B4169" t="str">
            <v>1254</v>
          </cell>
          <cell r="C4169" t="str">
            <v>12</v>
          </cell>
          <cell r="D4169" t="str">
            <v>48</v>
          </cell>
          <cell r="G4169">
            <v>1170002</v>
          </cell>
          <cell r="H4169">
            <v>19</v>
          </cell>
          <cell r="I4169">
            <v>8816000</v>
          </cell>
          <cell r="J4169">
            <v>-5</v>
          </cell>
          <cell r="K4169">
            <v>-2320000</v>
          </cell>
          <cell r="L4169">
            <v>0</v>
          </cell>
          <cell r="M4169">
            <v>0</v>
          </cell>
          <cell r="N4169">
            <v>0</v>
          </cell>
          <cell r="O4169">
            <v>0</v>
          </cell>
          <cell r="P4169">
            <v>14</v>
          </cell>
          <cell r="Q4169">
            <v>6496000</v>
          </cell>
          <cell r="R4169">
            <v>0</v>
          </cell>
          <cell r="S4169">
            <v>0</v>
          </cell>
          <cell r="T4169">
            <v>0</v>
          </cell>
          <cell r="U4169">
            <v>0</v>
          </cell>
          <cell r="V4169">
            <v>0</v>
          </cell>
          <cell r="W4169">
            <v>0</v>
          </cell>
        </row>
        <row r="4170">
          <cell r="A4170" t="str">
            <v>450340</v>
          </cell>
          <cell r="B4170" t="str">
            <v>1254</v>
          </cell>
          <cell r="C4170" t="str">
            <v>12</v>
          </cell>
          <cell r="D4170" t="str">
            <v>48</v>
          </cell>
          <cell r="G4170">
            <v>1170004</v>
          </cell>
          <cell r="H4170">
            <v>16</v>
          </cell>
          <cell r="I4170">
            <v>7424000</v>
          </cell>
          <cell r="J4170">
            <v>-6</v>
          </cell>
          <cell r="K4170">
            <v>-2784000</v>
          </cell>
          <cell r="L4170">
            <v>0</v>
          </cell>
          <cell r="M4170">
            <v>0</v>
          </cell>
          <cell r="N4170">
            <v>0</v>
          </cell>
          <cell r="O4170">
            <v>0</v>
          </cell>
          <cell r="P4170">
            <v>10</v>
          </cell>
          <cell r="Q4170">
            <v>4640000</v>
          </cell>
          <cell r="R4170">
            <v>0</v>
          </cell>
          <cell r="S4170">
            <v>0</v>
          </cell>
          <cell r="T4170">
            <v>0</v>
          </cell>
          <cell r="U4170">
            <v>0</v>
          </cell>
          <cell r="V4170">
            <v>0</v>
          </cell>
          <cell r="W4170">
            <v>0</v>
          </cell>
        </row>
        <row r="4171">
          <cell r="A4171" t="str">
            <v>450340</v>
          </cell>
          <cell r="B4171" t="str">
            <v>1254</v>
          </cell>
          <cell r="C4171" t="str">
            <v>12</v>
          </cell>
          <cell r="D4171" t="str">
            <v>48</v>
          </cell>
          <cell r="G4171">
            <v>1170008</v>
          </cell>
          <cell r="H4171">
            <v>31</v>
          </cell>
          <cell r="I4171">
            <v>14384000</v>
          </cell>
          <cell r="J4171">
            <v>-14</v>
          </cell>
          <cell r="K4171">
            <v>-6496000</v>
          </cell>
          <cell r="L4171">
            <v>0</v>
          </cell>
          <cell r="M4171">
            <v>0</v>
          </cell>
          <cell r="N4171">
            <v>0</v>
          </cell>
          <cell r="O4171">
            <v>0</v>
          </cell>
          <cell r="P4171">
            <v>17</v>
          </cell>
          <cell r="Q4171">
            <v>7888000</v>
          </cell>
          <cell r="R4171">
            <v>0</v>
          </cell>
          <cell r="S4171">
            <v>0</v>
          </cell>
          <cell r="T4171">
            <v>0</v>
          </cell>
          <cell r="U4171">
            <v>0</v>
          </cell>
          <cell r="V4171">
            <v>0</v>
          </cell>
          <cell r="W4171">
            <v>0</v>
          </cell>
        </row>
        <row r="4172">
          <cell r="A4172" t="str">
            <v>450340</v>
          </cell>
          <cell r="B4172" t="str">
            <v>1254</v>
          </cell>
          <cell r="C4172" t="str">
            <v>12</v>
          </cell>
          <cell r="D4172" t="str">
            <v>48</v>
          </cell>
          <cell r="G4172">
            <v>1170010</v>
          </cell>
          <cell r="H4172">
            <v>8</v>
          </cell>
          <cell r="I4172">
            <v>3712000</v>
          </cell>
          <cell r="J4172">
            <v>-5</v>
          </cell>
          <cell r="K4172">
            <v>-2320000</v>
          </cell>
          <cell r="L4172">
            <v>0</v>
          </cell>
          <cell r="M4172">
            <v>0</v>
          </cell>
          <cell r="N4172">
            <v>0</v>
          </cell>
          <cell r="O4172">
            <v>0</v>
          </cell>
          <cell r="P4172">
            <v>3</v>
          </cell>
          <cell r="Q4172">
            <v>1392000</v>
          </cell>
          <cell r="R4172">
            <v>0</v>
          </cell>
          <cell r="S4172">
            <v>0</v>
          </cell>
          <cell r="T4172">
            <v>0</v>
          </cell>
          <cell r="U4172">
            <v>0</v>
          </cell>
          <cell r="V4172">
            <v>0</v>
          </cell>
          <cell r="W4172">
            <v>0</v>
          </cell>
        </row>
        <row r="4173">
          <cell r="A4173" t="str">
            <v>450340</v>
          </cell>
          <cell r="B4173" t="str">
            <v>1254</v>
          </cell>
          <cell r="C4173" t="str">
            <v>12</v>
          </cell>
          <cell r="D4173" t="str">
            <v>48</v>
          </cell>
          <cell r="G4173">
            <v>1170027</v>
          </cell>
          <cell r="H4173">
            <v>0</v>
          </cell>
          <cell r="I4173">
            <v>0</v>
          </cell>
          <cell r="J4173">
            <v>1</v>
          </cell>
          <cell r="K4173">
            <v>417600</v>
          </cell>
          <cell r="L4173">
            <v>0</v>
          </cell>
          <cell r="M4173">
            <v>0</v>
          </cell>
          <cell r="N4173">
            <v>0</v>
          </cell>
          <cell r="O4173">
            <v>0</v>
          </cell>
          <cell r="P4173">
            <v>1</v>
          </cell>
          <cell r="Q4173">
            <v>417600</v>
          </cell>
          <cell r="R4173">
            <v>0</v>
          </cell>
          <cell r="S4173">
            <v>0</v>
          </cell>
          <cell r="T4173">
            <v>0</v>
          </cell>
          <cell r="U4173">
            <v>0</v>
          </cell>
          <cell r="V4173">
            <v>0</v>
          </cell>
          <cell r="W4173">
            <v>0</v>
          </cell>
        </row>
        <row r="4174">
          <cell r="A4174" t="str">
            <v>450340</v>
          </cell>
          <cell r="B4174" t="str">
            <v>1254</v>
          </cell>
          <cell r="C4174" t="str">
            <v>12</v>
          </cell>
          <cell r="D4174" t="str">
            <v>48</v>
          </cell>
          <cell r="G4174">
            <v>1170028</v>
          </cell>
          <cell r="H4174">
            <v>0</v>
          </cell>
          <cell r="I4174">
            <v>0</v>
          </cell>
          <cell r="J4174">
            <v>3</v>
          </cell>
          <cell r="K4174">
            <v>1252800</v>
          </cell>
          <cell r="L4174">
            <v>0</v>
          </cell>
          <cell r="M4174">
            <v>0</v>
          </cell>
          <cell r="N4174">
            <v>0</v>
          </cell>
          <cell r="O4174">
            <v>0</v>
          </cell>
          <cell r="P4174">
            <v>3</v>
          </cell>
          <cell r="Q4174">
            <v>1252800</v>
          </cell>
          <cell r="R4174">
            <v>0</v>
          </cell>
          <cell r="S4174">
            <v>0</v>
          </cell>
          <cell r="T4174">
            <v>0</v>
          </cell>
          <cell r="U4174">
            <v>0</v>
          </cell>
          <cell r="V4174">
            <v>0</v>
          </cell>
          <cell r="W4174">
            <v>0</v>
          </cell>
        </row>
        <row r="4175">
          <cell r="A4175" t="str">
            <v>450340</v>
          </cell>
          <cell r="B4175" t="str">
            <v>1254</v>
          </cell>
          <cell r="C4175" t="str">
            <v>12</v>
          </cell>
          <cell r="D4175" t="str">
            <v>48</v>
          </cell>
          <cell r="G4175">
            <v>1170030</v>
          </cell>
          <cell r="H4175">
            <v>0</v>
          </cell>
          <cell r="I4175">
            <v>0</v>
          </cell>
          <cell r="J4175">
            <v>4</v>
          </cell>
          <cell r="K4175">
            <v>1670400</v>
          </cell>
          <cell r="L4175">
            <v>0</v>
          </cell>
          <cell r="M4175">
            <v>0</v>
          </cell>
          <cell r="N4175">
            <v>0</v>
          </cell>
          <cell r="O4175">
            <v>0</v>
          </cell>
          <cell r="P4175">
            <v>4</v>
          </cell>
          <cell r="Q4175">
            <v>1670400</v>
          </cell>
          <cell r="R4175">
            <v>0</v>
          </cell>
          <cell r="S4175">
            <v>0</v>
          </cell>
          <cell r="T4175">
            <v>0</v>
          </cell>
          <cell r="U4175">
            <v>0</v>
          </cell>
          <cell r="V4175">
            <v>0</v>
          </cell>
          <cell r="W4175">
            <v>0</v>
          </cell>
        </row>
        <row r="4176">
          <cell r="A4176" t="str">
            <v>450340</v>
          </cell>
          <cell r="B4176" t="str">
            <v>1254</v>
          </cell>
          <cell r="C4176" t="str">
            <v>12</v>
          </cell>
          <cell r="D4176" t="str">
            <v>48</v>
          </cell>
          <cell r="G4176">
            <v>1170039</v>
          </cell>
          <cell r="H4176">
            <v>0</v>
          </cell>
          <cell r="I4176">
            <v>0</v>
          </cell>
          <cell r="J4176">
            <v>2</v>
          </cell>
          <cell r="K4176">
            <v>742400</v>
          </cell>
          <cell r="L4176">
            <v>0</v>
          </cell>
          <cell r="M4176">
            <v>0</v>
          </cell>
          <cell r="N4176">
            <v>0</v>
          </cell>
          <cell r="O4176">
            <v>0</v>
          </cell>
          <cell r="P4176">
            <v>2</v>
          </cell>
          <cell r="Q4176">
            <v>742400</v>
          </cell>
          <cell r="R4176">
            <v>0</v>
          </cell>
          <cell r="S4176">
            <v>0</v>
          </cell>
          <cell r="T4176">
            <v>0</v>
          </cell>
          <cell r="U4176">
            <v>0</v>
          </cell>
          <cell r="V4176">
            <v>0</v>
          </cell>
          <cell r="W4176">
            <v>0</v>
          </cell>
        </row>
        <row r="4177">
          <cell r="A4177" t="str">
            <v>450340</v>
          </cell>
          <cell r="B4177" t="str">
            <v>1254</v>
          </cell>
          <cell r="C4177" t="str">
            <v>12</v>
          </cell>
          <cell r="D4177" t="str">
            <v>48</v>
          </cell>
          <cell r="G4177">
            <v>1170041</v>
          </cell>
          <cell r="H4177">
            <v>0</v>
          </cell>
          <cell r="I4177">
            <v>0</v>
          </cell>
          <cell r="J4177">
            <v>2</v>
          </cell>
          <cell r="K4177">
            <v>742400</v>
          </cell>
          <cell r="L4177">
            <v>0</v>
          </cell>
          <cell r="M4177">
            <v>0</v>
          </cell>
          <cell r="N4177">
            <v>0</v>
          </cell>
          <cell r="O4177">
            <v>0</v>
          </cell>
          <cell r="P4177">
            <v>2</v>
          </cell>
          <cell r="Q4177">
            <v>742400</v>
          </cell>
          <cell r="R4177">
            <v>0</v>
          </cell>
          <cell r="S4177">
            <v>0</v>
          </cell>
          <cell r="T4177">
            <v>0</v>
          </cell>
          <cell r="U4177">
            <v>0</v>
          </cell>
          <cell r="V4177">
            <v>0</v>
          </cell>
          <cell r="W4177">
            <v>0</v>
          </cell>
        </row>
        <row r="4178">
          <cell r="A4178" t="str">
            <v>450340</v>
          </cell>
          <cell r="B4178" t="str">
            <v>1254</v>
          </cell>
          <cell r="C4178" t="str">
            <v>12</v>
          </cell>
          <cell r="D4178" t="str">
            <v>48</v>
          </cell>
          <cell r="G4178">
            <v>1170045</v>
          </cell>
          <cell r="H4178">
            <v>0</v>
          </cell>
          <cell r="I4178">
            <v>0</v>
          </cell>
          <cell r="J4178">
            <v>13</v>
          </cell>
          <cell r="K4178">
            <v>4825600</v>
          </cell>
          <cell r="L4178">
            <v>0</v>
          </cell>
          <cell r="M4178">
            <v>0</v>
          </cell>
          <cell r="N4178">
            <v>0</v>
          </cell>
          <cell r="O4178">
            <v>0</v>
          </cell>
          <cell r="P4178">
            <v>13</v>
          </cell>
          <cell r="Q4178">
            <v>4825600</v>
          </cell>
          <cell r="R4178">
            <v>0</v>
          </cell>
          <cell r="S4178">
            <v>0</v>
          </cell>
          <cell r="T4178">
            <v>0</v>
          </cell>
          <cell r="U4178">
            <v>0</v>
          </cell>
          <cell r="V4178">
            <v>0</v>
          </cell>
          <cell r="W4178">
            <v>0</v>
          </cell>
        </row>
        <row r="4179">
          <cell r="A4179" t="str">
            <v>450340</v>
          </cell>
          <cell r="B4179" t="str">
            <v>1254</v>
          </cell>
          <cell r="C4179" t="str">
            <v>12</v>
          </cell>
          <cell r="D4179" t="str">
            <v>48</v>
          </cell>
          <cell r="G4179">
            <v>1170047</v>
          </cell>
          <cell r="H4179">
            <v>0</v>
          </cell>
          <cell r="I4179">
            <v>0</v>
          </cell>
          <cell r="J4179">
            <v>5</v>
          </cell>
          <cell r="K4179">
            <v>1856000</v>
          </cell>
          <cell r="L4179">
            <v>0</v>
          </cell>
          <cell r="M4179">
            <v>0</v>
          </cell>
          <cell r="N4179">
            <v>0</v>
          </cell>
          <cell r="O4179">
            <v>0</v>
          </cell>
          <cell r="P4179">
            <v>5</v>
          </cell>
          <cell r="Q4179">
            <v>1856000</v>
          </cell>
          <cell r="R4179">
            <v>0</v>
          </cell>
          <cell r="S4179">
            <v>0</v>
          </cell>
          <cell r="T4179">
            <v>0</v>
          </cell>
          <cell r="U4179">
            <v>0</v>
          </cell>
          <cell r="V4179">
            <v>0</v>
          </cell>
          <cell r="W4179">
            <v>0</v>
          </cell>
        </row>
        <row r="4180">
          <cell r="A4180" t="str">
            <v>450340</v>
          </cell>
          <cell r="B4180" t="str">
            <v>1254</v>
          </cell>
          <cell r="C4180" t="str">
            <v>12</v>
          </cell>
          <cell r="D4180" t="str">
            <v>48</v>
          </cell>
          <cell r="G4180">
            <v>1190003</v>
          </cell>
          <cell r="H4180">
            <v>74</v>
          </cell>
          <cell r="I4180">
            <v>23532000</v>
          </cell>
          <cell r="J4180">
            <v>0</v>
          </cell>
          <cell r="K4180">
            <v>0</v>
          </cell>
          <cell r="L4180">
            <v>0</v>
          </cell>
          <cell r="M4180">
            <v>0</v>
          </cell>
          <cell r="N4180">
            <v>0</v>
          </cell>
          <cell r="O4180">
            <v>0</v>
          </cell>
          <cell r="P4180">
            <v>74</v>
          </cell>
          <cell r="Q4180">
            <v>23532000</v>
          </cell>
          <cell r="R4180">
            <v>0</v>
          </cell>
          <cell r="S4180">
            <v>0</v>
          </cell>
          <cell r="T4180">
            <v>0</v>
          </cell>
          <cell r="U4180">
            <v>0</v>
          </cell>
          <cell r="V4180">
            <v>0</v>
          </cell>
          <cell r="W4180">
            <v>0</v>
          </cell>
        </row>
        <row r="4181">
          <cell r="A4181" t="str">
            <v>450340</v>
          </cell>
          <cell r="B4181" t="str">
            <v>1254</v>
          </cell>
          <cell r="C4181" t="str">
            <v>12</v>
          </cell>
          <cell r="D4181" t="str">
            <v>48</v>
          </cell>
          <cell r="G4181">
            <v>1190004</v>
          </cell>
          <cell r="H4181">
            <v>156</v>
          </cell>
          <cell r="I4181">
            <v>113880000</v>
          </cell>
          <cell r="J4181">
            <v>0</v>
          </cell>
          <cell r="K4181">
            <v>0</v>
          </cell>
          <cell r="L4181">
            <v>0</v>
          </cell>
          <cell r="M4181">
            <v>0</v>
          </cell>
          <cell r="N4181">
            <v>0</v>
          </cell>
          <cell r="O4181">
            <v>0</v>
          </cell>
          <cell r="P4181">
            <v>156</v>
          </cell>
          <cell r="Q4181">
            <v>113880000</v>
          </cell>
          <cell r="R4181">
            <v>0</v>
          </cell>
          <cell r="S4181">
            <v>0</v>
          </cell>
          <cell r="T4181">
            <v>0</v>
          </cell>
          <cell r="U4181">
            <v>0</v>
          </cell>
          <cell r="V4181">
            <v>0</v>
          </cell>
          <cell r="W4181">
            <v>0</v>
          </cell>
        </row>
        <row r="4182">
          <cell r="A4182" t="str">
            <v>450340</v>
          </cell>
          <cell r="B4182" t="str">
            <v>1254</v>
          </cell>
          <cell r="C4182" t="str">
            <v>12</v>
          </cell>
          <cell r="D4182" t="str">
            <v>48</v>
          </cell>
          <cell r="G4182">
            <v>1200001</v>
          </cell>
          <cell r="H4182">
            <v>688</v>
          </cell>
          <cell r="I4182">
            <v>15824000</v>
          </cell>
          <cell r="J4182">
            <v>0</v>
          </cell>
          <cell r="K4182">
            <v>0</v>
          </cell>
          <cell r="L4182">
            <v>0</v>
          </cell>
          <cell r="M4182">
            <v>0</v>
          </cell>
          <cell r="N4182">
            <v>0</v>
          </cell>
          <cell r="O4182">
            <v>0</v>
          </cell>
          <cell r="P4182">
            <v>688</v>
          </cell>
          <cell r="Q4182">
            <v>15824000</v>
          </cell>
          <cell r="R4182">
            <v>0</v>
          </cell>
          <cell r="S4182">
            <v>0</v>
          </cell>
          <cell r="T4182">
            <v>0</v>
          </cell>
          <cell r="U4182">
            <v>0</v>
          </cell>
          <cell r="V4182">
            <v>0</v>
          </cell>
          <cell r="W4182">
            <v>0</v>
          </cell>
        </row>
        <row r="4183">
          <cell r="A4183" t="str">
            <v>450340</v>
          </cell>
          <cell r="B4183" t="str">
            <v>1254</v>
          </cell>
          <cell r="C4183" t="str">
            <v>12</v>
          </cell>
          <cell r="D4183" t="str">
            <v>48</v>
          </cell>
          <cell r="G4183">
            <v>1200002</v>
          </cell>
          <cell r="H4183">
            <v>122</v>
          </cell>
          <cell r="I4183">
            <v>3928400</v>
          </cell>
          <cell r="J4183">
            <v>0</v>
          </cell>
          <cell r="K4183">
            <v>0</v>
          </cell>
          <cell r="L4183">
            <v>0</v>
          </cell>
          <cell r="M4183">
            <v>0</v>
          </cell>
          <cell r="N4183">
            <v>0</v>
          </cell>
          <cell r="O4183">
            <v>0</v>
          </cell>
          <cell r="P4183">
            <v>122</v>
          </cell>
          <cell r="Q4183">
            <v>3928400</v>
          </cell>
          <cell r="R4183">
            <v>0</v>
          </cell>
          <cell r="S4183">
            <v>0</v>
          </cell>
          <cell r="T4183">
            <v>0</v>
          </cell>
          <cell r="U4183">
            <v>0</v>
          </cell>
          <cell r="V4183">
            <v>0</v>
          </cell>
          <cell r="W4183">
            <v>0</v>
          </cell>
        </row>
        <row r="4184">
          <cell r="A4184" t="str">
            <v>450340</v>
          </cell>
          <cell r="B4184" t="str">
            <v>1254</v>
          </cell>
          <cell r="C4184" t="str">
            <v>12</v>
          </cell>
          <cell r="D4184" t="str">
            <v>48</v>
          </cell>
          <cell r="G4184">
            <v>1200003</v>
          </cell>
          <cell r="H4184">
            <v>152</v>
          </cell>
          <cell r="I4184">
            <v>3116000</v>
          </cell>
          <cell r="J4184">
            <v>0</v>
          </cell>
          <cell r="K4184">
            <v>0</v>
          </cell>
          <cell r="L4184">
            <v>0</v>
          </cell>
          <cell r="M4184">
            <v>0</v>
          </cell>
          <cell r="N4184">
            <v>0</v>
          </cell>
          <cell r="O4184">
            <v>0</v>
          </cell>
          <cell r="P4184">
            <v>152</v>
          </cell>
          <cell r="Q4184">
            <v>3116000</v>
          </cell>
          <cell r="R4184">
            <v>0</v>
          </cell>
          <cell r="S4184">
            <v>0</v>
          </cell>
          <cell r="T4184">
            <v>0</v>
          </cell>
          <cell r="U4184">
            <v>0</v>
          </cell>
          <cell r="V4184">
            <v>0</v>
          </cell>
          <cell r="W4184">
            <v>0</v>
          </cell>
        </row>
        <row r="4185">
          <cell r="A4185" t="str">
            <v>450340</v>
          </cell>
          <cell r="B4185" t="str">
            <v>1254</v>
          </cell>
          <cell r="C4185" t="str">
            <v>12</v>
          </cell>
          <cell r="D4185" t="str">
            <v>48</v>
          </cell>
          <cell r="G4185">
            <v>1200011</v>
          </cell>
          <cell r="H4185">
            <v>26</v>
          </cell>
          <cell r="I4185">
            <v>585000</v>
          </cell>
          <cell r="J4185">
            <v>0</v>
          </cell>
          <cell r="K4185">
            <v>0</v>
          </cell>
          <cell r="L4185">
            <v>0</v>
          </cell>
          <cell r="M4185">
            <v>0</v>
          </cell>
          <cell r="N4185">
            <v>0</v>
          </cell>
          <cell r="O4185">
            <v>0</v>
          </cell>
          <cell r="P4185">
            <v>26</v>
          </cell>
          <cell r="Q4185">
            <v>585000</v>
          </cell>
          <cell r="R4185">
            <v>0</v>
          </cell>
          <cell r="S4185">
            <v>0</v>
          </cell>
          <cell r="T4185">
            <v>0</v>
          </cell>
          <cell r="U4185">
            <v>0</v>
          </cell>
          <cell r="V4185">
            <v>0</v>
          </cell>
          <cell r="W4185">
            <v>0</v>
          </cell>
        </row>
        <row r="4186">
          <cell r="A4186" t="str">
            <v>450340</v>
          </cell>
          <cell r="B4186" t="str">
            <v>1254</v>
          </cell>
          <cell r="C4186" t="str">
            <v>12</v>
          </cell>
          <cell r="D4186" t="str">
            <v>48</v>
          </cell>
          <cell r="G4186">
            <v>1200015</v>
          </cell>
          <cell r="H4186">
            <v>33</v>
          </cell>
          <cell r="I4186">
            <v>2359500</v>
          </cell>
          <cell r="J4186">
            <v>0</v>
          </cell>
          <cell r="K4186">
            <v>0</v>
          </cell>
          <cell r="L4186">
            <v>0</v>
          </cell>
          <cell r="M4186">
            <v>0</v>
          </cell>
          <cell r="N4186">
            <v>0</v>
          </cell>
          <cell r="O4186">
            <v>0</v>
          </cell>
          <cell r="P4186">
            <v>33</v>
          </cell>
          <cell r="Q4186">
            <v>2359500</v>
          </cell>
          <cell r="R4186">
            <v>0</v>
          </cell>
          <cell r="S4186">
            <v>0</v>
          </cell>
          <cell r="T4186">
            <v>0</v>
          </cell>
          <cell r="U4186">
            <v>0</v>
          </cell>
          <cell r="V4186">
            <v>0</v>
          </cell>
          <cell r="W4186">
            <v>0</v>
          </cell>
        </row>
        <row r="4187">
          <cell r="A4187" t="str">
            <v>450340</v>
          </cell>
          <cell r="B4187" t="str">
            <v>1254</v>
          </cell>
          <cell r="C4187" t="str">
            <v>12</v>
          </cell>
          <cell r="D4187" t="str">
            <v>48</v>
          </cell>
          <cell r="G4187">
            <v>1200016</v>
          </cell>
          <cell r="H4187">
            <v>5491</v>
          </cell>
          <cell r="I4187">
            <v>3953520</v>
          </cell>
          <cell r="J4187">
            <v>-1</v>
          </cell>
          <cell r="K4187">
            <v>-720</v>
          </cell>
          <cell r="L4187">
            <v>0</v>
          </cell>
          <cell r="M4187">
            <v>0</v>
          </cell>
          <cell r="N4187">
            <v>0</v>
          </cell>
          <cell r="O4187">
            <v>0</v>
          </cell>
          <cell r="P4187">
            <v>5490</v>
          </cell>
          <cell r="Q4187">
            <v>3952800</v>
          </cell>
          <cell r="R4187">
            <v>0</v>
          </cell>
          <cell r="S4187">
            <v>0</v>
          </cell>
          <cell r="T4187">
            <v>0</v>
          </cell>
          <cell r="U4187">
            <v>0</v>
          </cell>
          <cell r="V4187">
            <v>0</v>
          </cell>
          <cell r="W4187">
            <v>0</v>
          </cell>
        </row>
        <row r="4188">
          <cell r="A4188" t="str">
            <v>450340</v>
          </cell>
          <cell r="B4188" t="str">
            <v>1254</v>
          </cell>
          <cell r="C4188" t="str">
            <v>12</v>
          </cell>
          <cell r="D4188" t="str">
            <v>48</v>
          </cell>
          <cell r="G4188">
            <v>1210001</v>
          </cell>
          <cell r="H4188">
            <v>32</v>
          </cell>
          <cell r="I4188">
            <v>480000</v>
          </cell>
          <cell r="J4188">
            <v>0</v>
          </cell>
          <cell r="K4188">
            <v>0</v>
          </cell>
          <cell r="L4188">
            <v>0</v>
          </cell>
          <cell r="M4188">
            <v>0</v>
          </cell>
          <cell r="N4188">
            <v>0</v>
          </cell>
          <cell r="O4188">
            <v>0</v>
          </cell>
          <cell r="P4188">
            <v>32</v>
          </cell>
          <cell r="Q4188">
            <v>480000</v>
          </cell>
          <cell r="R4188">
            <v>0</v>
          </cell>
          <cell r="S4188">
            <v>0</v>
          </cell>
          <cell r="T4188">
            <v>0</v>
          </cell>
          <cell r="U4188">
            <v>0</v>
          </cell>
          <cell r="V4188">
            <v>0</v>
          </cell>
          <cell r="W4188">
            <v>0</v>
          </cell>
        </row>
        <row r="4189">
          <cell r="A4189" t="str">
            <v>450340</v>
          </cell>
          <cell r="B4189" t="str">
            <v>1254</v>
          </cell>
          <cell r="C4189" t="str">
            <v>12</v>
          </cell>
          <cell r="D4189" t="str">
            <v>48</v>
          </cell>
          <cell r="G4189">
            <v>1210002</v>
          </cell>
          <cell r="H4189">
            <v>131</v>
          </cell>
          <cell r="I4189">
            <v>1965000</v>
          </cell>
          <cell r="J4189">
            <v>0</v>
          </cell>
          <cell r="K4189">
            <v>0</v>
          </cell>
          <cell r="L4189">
            <v>0</v>
          </cell>
          <cell r="M4189">
            <v>0</v>
          </cell>
          <cell r="N4189">
            <v>0</v>
          </cell>
          <cell r="O4189">
            <v>0</v>
          </cell>
          <cell r="P4189">
            <v>131</v>
          </cell>
          <cell r="Q4189">
            <v>1965000</v>
          </cell>
          <cell r="R4189">
            <v>0</v>
          </cell>
          <cell r="S4189">
            <v>0</v>
          </cell>
          <cell r="T4189">
            <v>0</v>
          </cell>
          <cell r="U4189">
            <v>0</v>
          </cell>
          <cell r="V4189">
            <v>0</v>
          </cell>
          <cell r="W4189">
            <v>0</v>
          </cell>
        </row>
        <row r="4190">
          <cell r="A4190" t="str">
            <v>450340</v>
          </cell>
          <cell r="B4190" t="str">
            <v>1254</v>
          </cell>
          <cell r="C4190" t="str">
            <v>12</v>
          </cell>
          <cell r="D4190" t="str">
            <v>48</v>
          </cell>
          <cell r="G4190">
            <v>1210003</v>
          </cell>
          <cell r="H4190">
            <v>257</v>
          </cell>
          <cell r="I4190">
            <v>3855000</v>
          </cell>
          <cell r="J4190">
            <v>0</v>
          </cell>
          <cell r="K4190">
            <v>0</v>
          </cell>
          <cell r="L4190">
            <v>0</v>
          </cell>
          <cell r="M4190">
            <v>0</v>
          </cell>
          <cell r="N4190">
            <v>0</v>
          </cell>
          <cell r="O4190">
            <v>0</v>
          </cell>
          <cell r="P4190">
            <v>257</v>
          </cell>
          <cell r="Q4190">
            <v>3855000</v>
          </cell>
          <cell r="R4190">
            <v>0</v>
          </cell>
          <cell r="S4190">
            <v>0</v>
          </cell>
          <cell r="T4190">
            <v>0</v>
          </cell>
          <cell r="U4190">
            <v>0</v>
          </cell>
          <cell r="V4190">
            <v>0</v>
          </cell>
          <cell r="W4190">
            <v>0</v>
          </cell>
        </row>
        <row r="4191">
          <cell r="A4191" t="str">
            <v>450340</v>
          </cell>
          <cell r="B4191" t="str">
            <v>1254</v>
          </cell>
          <cell r="C4191" t="str">
            <v>12</v>
          </cell>
          <cell r="D4191" t="str">
            <v>48</v>
          </cell>
          <cell r="G4191">
            <v>1210004</v>
          </cell>
          <cell r="H4191">
            <v>1459</v>
          </cell>
          <cell r="I4191">
            <v>21885000</v>
          </cell>
          <cell r="J4191">
            <v>0</v>
          </cell>
          <cell r="K4191">
            <v>0</v>
          </cell>
          <cell r="L4191">
            <v>0</v>
          </cell>
          <cell r="M4191">
            <v>0</v>
          </cell>
          <cell r="N4191">
            <v>0</v>
          </cell>
          <cell r="O4191">
            <v>0</v>
          </cell>
          <cell r="P4191">
            <v>1459</v>
          </cell>
          <cell r="Q4191">
            <v>21885000</v>
          </cell>
          <cell r="R4191">
            <v>0</v>
          </cell>
          <cell r="S4191">
            <v>0</v>
          </cell>
          <cell r="T4191">
            <v>0</v>
          </cell>
          <cell r="U4191">
            <v>0</v>
          </cell>
          <cell r="V4191">
            <v>0</v>
          </cell>
          <cell r="W4191">
            <v>0</v>
          </cell>
        </row>
        <row r="4192">
          <cell r="A4192" t="str">
            <v>450340</v>
          </cell>
          <cell r="B4192" t="str">
            <v>1254</v>
          </cell>
          <cell r="C4192" t="str">
            <v>12</v>
          </cell>
          <cell r="D4192" t="str">
            <v>48</v>
          </cell>
          <cell r="G4192">
            <v>1210005</v>
          </cell>
          <cell r="H4192">
            <v>553</v>
          </cell>
          <cell r="I4192">
            <v>8295000</v>
          </cell>
          <cell r="J4192">
            <v>0</v>
          </cell>
          <cell r="K4192">
            <v>0</v>
          </cell>
          <cell r="L4192">
            <v>0</v>
          </cell>
          <cell r="M4192">
            <v>0</v>
          </cell>
          <cell r="N4192">
            <v>0</v>
          </cell>
          <cell r="O4192">
            <v>0</v>
          </cell>
          <cell r="P4192">
            <v>553</v>
          </cell>
          <cell r="Q4192">
            <v>8295000</v>
          </cell>
          <cell r="R4192">
            <v>0</v>
          </cell>
          <cell r="S4192">
            <v>0</v>
          </cell>
          <cell r="T4192">
            <v>0</v>
          </cell>
          <cell r="U4192">
            <v>0</v>
          </cell>
          <cell r="V4192">
            <v>0</v>
          </cell>
          <cell r="W4192">
            <v>0</v>
          </cell>
        </row>
        <row r="4193">
          <cell r="A4193" t="str">
            <v>450340</v>
          </cell>
          <cell r="B4193" t="str">
            <v>1254</v>
          </cell>
          <cell r="C4193" t="str">
            <v>12</v>
          </cell>
          <cell r="D4193" t="str">
            <v>48</v>
          </cell>
          <cell r="G4193">
            <v>1210007</v>
          </cell>
          <cell r="H4193">
            <v>38</v>
          </cell>
          <cell r="I4193">
            <v>1710000</v>
          </cell>
          <cell r="J4193">
            <v>0</v>
          </cell>
          <cell r="K4193">
            <v>0</v>
          </cell>
          <cell r="L4193">
            <v>0</v>
          </cell>
          <cell r="M4193">
            <v>0</v>
          </cell>
          <cell r="N4193">
            <v>0</v>
          </cell>
          <cell r="O4193">
            <v>0</v>
          </cell>
          <cell r="P4193">
            <v>38</v>
          </cell>
          <cell r="Q4193">
            <v>1710000</v>
          </cell>
          <cell r="R4193">
            <v>0</v>
          </cell>
          <cell r="S4193">
            <v>0</v>
          </cell>
          <cell r="T4193">
            <v>0</v>
          </cell>
          <cell r="U4193">
            <v>0</v>
          </cell>
          <cell r="V4193">
            <v>0</v>
          </cell>
          <cell r="W4193">
            <v>0</v>
          </cell>
        </row>
        <row r="4194">
          <cell r="A4194" t="str">
            <v>450340</v>
          </cell>
          <cell r="B4194" t="str">
            <v>1254</v>
          </cell>
          <cell r="C4194" t="str">
            <v>12</v>
          </cell>
          <cell r="D4194" t="str">
            <v>48</v>
          </cell>
          <cell r="G4194">
            <v>1210008</v>
          </cell>
          <cell r="H4194">
            <v>29</v>
          </cell>
          <cell r="I4194">
            <v>1305000</v>
          </cell>
          <cell r="J4194">
            <v>0</v>
          </cell>
          <cell r="K4194">
            <v>0</v>
          </cell>
          <cell r="L4194">
            <v>0</v>
          </cell>
          <cell r="M4194">
            <v>0</v>
          </cell>
          <cell r="N4194">
            <v>0</v>
          </cell>
          <cell r="O4194">
            <v>0</v>
          </cell>
          <cell r="P4194">
            <v>29</v>
          </cell>
          <cell r="Q4194">
            <v>1305000</v>
          </cell>
          <cell r="R4194">
            <v>0</v>
          </cell>
          <cell r="S4194">
            <v>0</v>
          </cell>
          <cell r="T4194">
            <v>0</v>
          </cell>
          <cell r="U4194">
            <v>0</v>
          </cell>
          <cell r="V4194">
            <v>0</v>
          </cell>
          <cell r="W4194">
            <v>0</v>
          </cell>
        </row>
        <row r="4195">
          <cell r="A4195" t="str">
            <v>450340</v>
          </cell>
          <cell r="B4195" t="str">
            <v>1254</v>
          </cell>
          <cell r="C4195" t="str">
            <v>12</v>
          </cell>
          <cell r="D4195" t="str">
            <v>48</v>
          </cell>
          <cell r="G4195">
            <v>1220001</v>
          </cell>
          <cell r="H4195">
            <v>35</v>
          </cell>
          <cell r="I4195">
            <v>1925000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35</v>
          </cell>
          <cell r="Q4195">
            <v>1925000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</row>
        <row r="4196">
          <cell r="A4196" t="str">
            <v>450340</v>
          </cell>
          <cell r="B4196" t="str">
            <v>1254</v>
          </cell>
          <cell r="C4196" t="str">
            <v>12</v>
          </cell>
          <cell r="D4196" t="str">
            <v>48</v>
          </cell>
          <cell r="G4196">
            <v>1220002</v>
          </cell>
          <cell r="H4196">
            <v>253</v>
          </cell>
          <cell r="I4196">
            <v>13915000</v>
          </cell>
          <cell r="J4196">
            <v>-141</v>
          </cell>
          <cell r="K4196">
            <v>-7755000</v>
          </cell>
          <cell r="L4196">
            <v>0</v>
          </cell>
          <cell r="M4196">
            <v>0</v>
          </cell>
          <cell r="N4196">
            <v>0</v>
          </cell>
          <cell r="O4196">
            <v>0</v>
          </cell>
          <cell r="P4196">
            <v>112</v>
          </cell>
          <cell r="Q4196">
            <v>6160000</v>
          </cell>
          <cell r="R4196">
            <v>0</v>
          </cell>
          <cell r="S4196">
            <v>0</v>
          </cell>
          <cell r="T4196">
            <v>0</v>
          </cell>
          <cell r="U4196">
            <v>0</v>
          </cell>
          <cell r="V4196">
            <v>0</v>
          </cell>
          <cell r="W4196">
            <v>0</v>
          </cell>
        </row>
        <row r="4197">
          <cell r="A4197" t="str">
            <v>450340</v>
          </cell>
          <cell r="B4197" t="str">
            <v>1254</v>
          </cell>
          <cell r="C4197" t="str">
            <v>12</v>
          </cell>
          <cell r="D4197" t="str">
            <v>48</v>
          </cell>
          <cell r="G4197">
            <v>1220003</v>
          </cell>
          <cell r="H4197">
            <v>146</v>
          </cell>
          <cell r="I4197">
            <v>8030000</v>
          </cell>
          <cell r="J4197">
            <v>0</v>
          </cell>
          <cell r="K4197">
            <v>0</v>
          </cell>
          <cell r="L4197">
            <v>0</v>
          </cell>
          <cell r="M4197">
            <v>0</v>
          </cell>
          <cell r="N4197">
            <v>0</v>
          </cell>
          <cell r="O4197">
            <v>0</v>
          </cell>
          <cell r="P4197">
            <v>146</v>
          </cell>
          <cell r="Q4197">
            <v>8030000</v>
          </cell>
          <cell r="R4197">
            <v>0</v>
          </cell>
          <cell r="S4197">
            <v>0</v>
          </cell>
          <cell r="T4197">
            <v>0</v>
          </cell>
          <cell r="U4197">
            <v>0</v>
          </cell>
          <cell r="V4197">
            <v>0</v>
          </cell>
          <cell r="W4197">
            <v>0</v>
          </cell>
        </row>
        <row r="4198">
          <cell r="A4198" t="str">
            <v>450340</v>
          </cell>
          <cell r="B4198" t="str">
            <v>1254</v>
          </cell>
          <cell r="C4198" t="str">
            <v>12</v>
          </cell>
          <cell r="D4198" t="str">
            <v>48</v>
          </cell>
          <cell r="G4198">
            <v>1220004</v>
          </cell>
          <cell r="H4198">
            <v>42</v>
          </cell>
          <cell r="I4198">
            <v>2310000</v>
          </cell>
          <cell r="J4198">
            <v>0</v>
          </cell>
          <cell r="K4198">
            <v>0</v>
          </cell>
          <cell r="L4198">
            <v>0</v>
          </cell>
          <cell r="M4198">
            <v>0</v>
          </cell>
          <cell r="N4198">
            <v>0</v>
          </cell>
          <cell r="O4198">
            <v>0</v>
          </cell>
          <cell r="P4198">
            <v>42</v>
          </cell>
          <cell r="Q4198">
            <v>2310000</v>
          </cell>
          <cell r="R4198">
            <v>0</v>
          </cell>
          <cell r="S4198">
            <v>0</v>
          </cell>
          <cell r="T4198">
            <v>0</v>
          </cell>
          <cell r="U4198">
            <v>0</v>
          </cell>
          <cell r="V4198">
            <v>0</v>
          </cell>
          <cell r="W4198">
            <v>0</v>
          </cell>
        </row>
        <row r="4199">
          <cell r="A4199" t="str">
            <v>450340</v>
          </cell>
          <cell r="B4199" t="str">
            <v>1254</v>
          </cell>
          <cell r="C4199" t="str">
            <v>12</v>
          </cell>
          <cell r="D4199" t="str">
            <v>48</v>
          </cell>
          <cell r="G4199">
            <v>1220005</v>
          </cell>
          <cell r="H4199">
            <v>4</v>
          </cell>
          <cell r="I4199">
            <v>220000</v>
          </cell>
          <cell r="J4199">
            <v>0</v>
          </cell>
          <cell r="K4199">
            <v>0</v>
          </cell>
          <cell r="L4199">
            <v>0</v>
          </cell>
          <cell r="M4199">
            <v>0</v>
          </cell>
          <cell r="N4199">
            <v>0</v>
          </cell>
          <cell r="O4199">
            <v>0</v>
          </cell>
          <cell r="P4199">
            <v>4</v>
          </cell>
          <cell r="Q4199">
            <v>220000</v>
          </cell>
          <cell r="R4199">
            <v>0</v>
          </cell>
          <cell r="S4199">
            <v>0</v>
          </cell>
          <cell r="T4199">
            <v>0</v>
          </cell>
          <cell r="U4199">
            <v>0</v>
          </cell>
          <cell r="V4199">
            <v>0</v>
          </cell>
          <cell r="W4199">
            <v>0</v>
          </cell>
        </row>
        <row r="4200">
          <cell r="A4200" t="str">
            <v>450340</v>
          </cell>
          <cell r="B4200" t="str">
            <v>1254</v>
          </cell>
          <cell r="C4200" t="str">
            <v>12</v>
          </cell>
          <cell r="D4200" t="str">
            <v>48</v>
          </cell>
          <cell r="G4200">
            <v>1220006</v>
          </cell>
          <cell r="H4200">
            <v>80</v>
          </cell>
          <cell r="I4200">
            <v>4400000</v>
          </cell>
          <cell r="J4200">
            <v>0</v>
          </cell>
          <cell r="K4200">
            <v>0</v>
          </cell>
          <cell r="L4200">
            <v>0</v>
          </cell>
          <cell r="M4200">
            <v>0</v>
          </cell>
          <cell r="N4200">
            <v>0</v>
          </cell>
          <cell r="O4200">
            <v>0</v>
          </cell>
          <cell r="P4200">
            <v>80</v>
          </cell>
          <cell r="Q4200">
            <v>4400000</v>
          </cell>
          <cell r="R4200">
            <v>0</v>
          </cell>
          <cell r="S4200">
            <v>0</v>
          </cell>
          <cell r="T4200">
            <v>0</v>
          </cell>
          <cell r="U4200">
            <v>0</v>
          </cell>
          <cell r="V4200">
            <v>0</v>
          </cell>
          <cell r="W4200">
            <v>0</v>
          </cell>
        </row>
        <row r="4201">
          <cell r="A4201" t="str">
            <v>450340</v>
          </cell>
          <cell r="B4201" t="str">
            <v>1254</v>
          </cell>
          <cell r="C4201" t="str">
            <v>12</v>
          </cell>
          <cell r="D4201" t="str">
            <v>48</v>
          </cell>
          <cell r="G4201">
            <v>1220007</v>
          </cell>
          <cell r="H4201">
            <v>128</v>
          </cell>
          <cell r="I4201">
            <v>7040000</v>
          </cell>
          <cell r="J4201">
            <v>-5</v>
          </cell>
          <cell r="K4201">
            <v>-275000</v>
          </cell>
          <cell r="L4201">
            <v>0</v>
          </cell>
          <cell r="M4201">
            <v>0</v>
          </cell>
          <cell r="N4201">
            <v>0</v>
          </cell>
          <cell r="O4201">
            <v>0</v>
          </cell>
          <cell r="P4201">
            <v>123</v>
          </cell>
          <cell r="Q4201">
            <v>6765000</v>
          </cell>
          <cell r="R4201">
            <v>0</v>
          </cell>
          <cell r="S4201">
            <v>0</v>
          </cell>
          <cell r="T4201">
            <v>0</v>
          </cell>
          <cell r="U4201">
            <v>0</v>
          </cell>
          <cell r="V4201">
            <v>0</v>
          </cell>
          <cell r="W4201">
            <v>0</v>
          </cell>
        </row>
        <row r="4202">
          <cell r="A4202" t="str">
            <v>450340</v>
          </cell>
          <cell r="B4202" t="str">
            <v>1254</v>
          </cell>
          <cell r="C4202" t="str">
            <v>12</v>
          </cell>
          <cell r="D4202" t="str">
            <v>48</v>
          </cell>
          <cell r="G4202">
            <v>1220008</v>
          </cell>
          <cell r="H4202">
            <v>0</v>
          </cell>
          <cell r="I4202">
            <v>0</v>
          </cell>
          <cell r="J4202">
            <v>141</v>
          </cell>
          <cell r="K4202">
            <v>7755000</v>
          </cell>
          <cell r="L4202">
            <v>0</v>
          </cell>
          <cell r="M4202">
            <v>0</v>
          </cell>
          <cell r="N4202">
            <v>0</v>
          </cell>
          <cell r="O4202">
            <v>0</v>
          </cell>
          <cell r="P4202">
            <v>141</v>
          </cell>
          <cell r="Q4202">
            <v>7755000</v>
          </cell>
          <cell r="R4202">
            <v>0</v>
          </cell>
          <cell r="S4202">
            <v>0</v>
          </cell>
          <cell r="T4202">
            <v>0</v>
          </cell>
          <cell r="U4202">
            <v>0</v>
          </cell>
          <cell r="V4202">
            <v>0</v>
          </cell>
          <cell r="W4202">
            <v>0</v>
          </cell>
        </row>
        <row r="4203">
          <cell r="A4203" t="str">
            <v>450340</v>
          </cell>
          <cell r="B4203" t="str">
            <v>1254</v>
          </cell>
          <cell r="C4203" t="str">
            <v>12</v>
          </cell>
          <cell r="D4203" t="str">
            <v>48</v>
          </cell>
          <cell r="G4203">
            <v>1220101</v>
          </cell>
          <cell r="H4203">
            <v>359</v>
          </cell>
          <cell r="I4203">
            <v>3590000</v>
          </cell>
          <cell r="J4203">
            <v>0</v>
          </cell>
          <cell r="K4203">
            <v>0</v>
          </cell>
          <cell r="L4203">
            <v>0</v>
          </cell>
          <cell r="M4203">
            <v>0</v>
          </cell>
          <cell r="N4203">
            <v>0</v>
          </cell>
          <cell r="O4203">
            <v>0</v>
          </cell>
          <cell r="P4203">
            <v>359</v>
          </cell>
          <cell r="Q4203">
            <v>3590000</v>
          </cell>
          <cell r="R4203">
            <v>0</v>
          </cell>
          <cell r="S4203">
            <v>0</v>
          </cell>
          <cell r="T4203">
            <v>0</v>
          </cell>
          <cell r="U4203">
            <v>0</v>
          </cell>
          <cell r="V4203">
            <v>0</v>
          </cell>
          <cell r="W4203">
            <v>0</v>
          </cell>
        </row>
        <row r="4204">
          <cell r="A4204" t="str">
            <v>450340</v>
          </cell>
          <cell r="B4204" t="str">
            <v>1254</v>
          </cell>
          <cell r="C4204" t="str">
            <v>12</v>
          </cell>
          <cell r="D4204" t="str">
            <v>48</v>
          </cell>
          <cell r="G4204">
            <v>1220102</v>
          </cell>
          <cell r="H4204">
            <v>476</v>
          </cell>
          <cell r="I4204">
            <v>4760000</v>
          </cell>
          <cell r="J4204">
            <v>0</v>
          </cell>
          <cell r="K4204">
            <v>0</v>
          </cell>
          <cell r="L4204">
            <v>0</v>
          </cell>
          <cell r="M4204">
            <v>0</v>
          </cell>
          <cell r="N4204">
            <v>0</v>
          </cell>
          <cell r="O4204">
            <v>0</v>
          </cell>
          <cell r="P4204">
            <v>476</v>
          </cell>
          <cell r="Q4204">
            <v>4760000</v>
          </cell>
          <cell r="R4204">
            <v>0</v>
          </cell>
          <cell r="S4204">
            <v>0</v>
          </cell>
          <cell r="T4204">
            <v>0</v>
          </cell>
          <cell r="U4204">
            <v>0</v>
          </cell>
          <cell r="V4204">
            <v>0</v>
          </cell>
          <cell r="W4204">
            <v>0</v>
          </cell>
        </row>
        <row r="4205">
          <cell r="A4205" t="str">
            <v>450340</v>
          </cell>
          <cell r="B4205" t="str">
            <v>1254</v>
          </cell>
          <cell r="C4205" t="str">
            <v>12</v>
          </cell>
          <cell r="D4205" t="str">
            <v>48</v>
          </cell>
          <cell r="G4205">
            <v>1220103</v>
          </cell>
          <cell r="H4205">
            <v>1061</v>
          </cell>
          <cell r="I4205">
            <v>10610000</v>
          </cell>
          <cell r="J4205">
            <v>0</v>
          </cell>
          <cell r="K4205">
            <v>0</v>
          </cell>
          <cell r="L4205">
            <v>0</v>
          </cell>
          <cell r="M4205">
            <v>0</v>
          </cell>
          <cell r="N4205">
            <v>0</v>
          </cell>
          <cell r="O4205">
            <v>0</v>
          </cell>
          <cell r="P4205">
            <v>1061</v>
          </cell>
          <cell r="Q4205">
            <v>10610000</v>
          </cell>
          <cell r="R4205">
            <v>0</v>
          </cell>
          <cell r="S4205">
            <v>0</v>
          </cell>
          <cell r="T4205">
            <v>0</v>
          </cell>
          <cell r="U4205">
            <v>0</v>
          </cell>
          <cell r="V4205">
            <v>0</v>
          </cell>
          <cell r="W4205">
            <v>0</v>
          </cell>
        </row>
        <row r="4206">
          <cell r="A4206" t="str">
            <v>450340</v>
          </cell>
          <cell r="B4206" t="str">
            <v>1254</v>
          </cell>
          <cell r="C4206" t="str">
            <v>12</v>
          </cell>
          <cell r="D4206" t="str">
            <v>48</v>
          </cell>
          <cell r="G4206">
            <v>1220104</v>
          </cell>
          <cell r="H4206">
            <v>297</v>
          </cell>
          <cell r="I4206">
            <v>2970000</v>
          </cell>
          <cell r="J4206">
            <v>0</v>
          </cell>
          <cell r="K4206">
            <v>0</v>
          </cell>
          <cell r="L4206">
            <v>0</v>
          </cell>
          <cell r="M4206">
            <v>0</v>
          </cell>
          <cell r="N4206">
            <v>0</v>
          </cell>
          <cell r="O4206">
            <v>0</v>
          </cell>
          <cell r="P4206">
            <v>297</v>
          </cell>
          <cell r="Q4206">
            <v>2970000</v>
          </cell>
          <cell r="R4206">
            <v>0</v>
          </cell>
          <cell r="S4206">
            <v>0</v>
          </cell>
          <cell r="T4206">
            <v>0</v>
          </cell>
          <cell r="U4206">
            <v>0</v>
          </cell>
          <cell r="V4206">
            <v>0</v>
          </cell>
          <cell r="W4206">
            <v>0</v>
          </cell>
        </row>
        <row r="4207">
          <cell r="A4207" t="str">
            <v>450340</v>
          </cell>
          <cell r="B4207" t="str">
            <v>1254</v>
          </cell>
          <cell r="C4207" t="str">
            <v>12</v>
          </cell>
          <cell r="D4207" t="str">
            <v>48</v>
          </cell>
          <cell r="G4207">
            <v>1230001</v>
          </cell>
          <cell r="H4207">
            <v>17596</v>
          </cell>
          <cell r="I4207">
            <v>20516936</v>
          </cell>
          <cell r="J4207">
            <v>0</v>
          </cell>
          <cell r="K4207">
            <v>0</v>
          </cell>
          <cell r="L4207">
            <v>0</v>
          </cell>
          <cell r="M4207">
            <v>0</v>
          </cell>
          <cell r="N4207">
            <v>0</v>
          </cell>
          <cell r="O4207">
            <v>0</v>
          </cell>
          <cell r="P4207">
            <v>17596</v>
          </cell>
          <cell r="Q4207">
            <v>20516936</v>
          </cell>
          <cell r="R4207">
            <v>0</v>
          </cell>
          <cell r="S4207">
            <v>0</v>
          </cell>
          <cell r="T4207">
            <v>0</v>
          </cell>
          <cell r="U4207">
            <v>0</v>
          </cell>
          <cell r="V4207">
            <v>0</v>
          </cell>
          <cell r="W4207">
            <v>0</v>
          </cell>
        </row>
        <row r="4208">
          <cell r="A4208" t="str">
            <v>450340</v>
          </cell>
          <cell r="B4208" t="str">
            <v>1254</v>
          </cell>
          <cell r="C4208" t="str">
            <v>12</v>
          </cell>
          <cell r="D4208" t="str">
            <v>48</v>
          </cell>
          <cell r="G4208">
            <v>9999999</v>
          </cell>
          <cell r="H4208">
            <v>176844</v>
          </cell>
          <cell r="I4208">
            <v>2080620463</v>
          </cell>
          <cell r="J4208">
            <v>36669</v>
          </cell>
          <cell r="K4208">
            <v>11334500</v>
          </cell>
          <cell r="L4208">
            <v>0</v>
          </cell>
          <cell r="M4208">
            <v>0</v>
          </cell>
          <cell r="N4208">
            <v>0</v>
          </cell>
          <cell r="O4208">
            <v>0</v>
          </cell>
          <cell r="P4208">
            <v>213513</v>
          </cell>
          <cell r="Q4208">
            <v>2091954963</v>
          </cell>
          <cell r="R4208">
            <v>0</v>
          </cell>
          <cell r="S4208">
            <v>0</v>
          </cell>
          <cell r="T4208">
            <v>0</v>
          </cell>
          <cell r="U4208">
            <v>0</v>
          </cell>
          <cell r="V4208">
            <v>0</v>
          </cell>
          <cell r="W4208">
            <v>0</v>
          </cell>
        </row>
        <row r="4209">
          <cell r="A4209" t="str">
            <v>450340</v>
          </cell>
          <cell r="B4209" t="str">
            <v>1254</v>
          </cell>
          <cell r="C4209" t="str">
            <v>12</v>
          </cell>
          <cell r="D4209" t="str">
            <v>49</v>
          </cell>
          <cell r="G4209">
            <v>5010101</v>
          </cell>
          <cell r="H4209">
            <v>456</v>
          </cell>
          <cell r="I4209">
            <v>5335200</v>
          </cell>
          <cell r="J4209">
            <v>0</v>
          </cell>
          <cell r="K4209">
            <v>0</v>
          </cell>
          <cell r="L4209">
            <v>0</v>
          </cell>
          <cell r="M4209">
            <v>0</v>
          </cell>
          <cell r="N4209">
            <v>0</v>
          </cell>
          <cell r="O4209">
            <v>0</v>
          </cell>
          <cell r="P4209">
            <v>456</v>
          </cell>
          <cell r="Q4209">
            <v>5335200</v>
          </cell>
          <cell r="R4209">
            <v>0</v>
          </cell>
          <cell r="S4209">
            <v>0</v>
          </cell>
          <cell r="T4209">
            <v>0</v>
          </cell>
          <cell r="U4209">
            <v>0</v>
          </cell>
          <cell r="V4209">
            <v>0</v>
          </cell>
          <cell r="W4209">
            <v>0</v>
          </cell>
        </row>
        <row r="4210">
          <cell r="A4210" t="str">
            <v>450340</v>
          </cell>
          <cell r="B4210" t="str">
            <v>1254</v>
          </cell>
          <cell r="C4210" t="str">
            <v>12</v>
          </cell>
          <cell r="D4210" t="str">
            <v>49</v>
          </cell>
          <cell r="G4210">
            <v>5020301</v>
          </cell>
          <cell r="H4210">
            <v>84</v>
          </cell>
          <cell r="I4210">
            <v>789600</v>
          </cell>
          <cell r="J4210">
            <v>0</v>
          </cell>
          <cell r="K4210">
            <v>0</v>
          </cell>
          <cell r="L4210">
            <v>0</v>
          </cell>
          <cell r="M4210">
            <v>0</v>
          </cell>
          <cell r="N4210">
            <v>0</v>
          </cell>
          <cell r="O4210">
            <v>0</v>
          </cell>
          <cell r="P4210">
            <v>84</v>
          </cell>
          <cell r="Q4210">
            <v>789600</v>
          </cell>
          <cell r="R4210">
            <v>0</v>
          </cell>
          <cell r="S4210">
            <v>0</v>
          </cell>
          <cell r="T4210">
            <v>0</v>
          </cell>
          <cell r="U4210">
            <v>0</v>
          </cell>
          <cell r="V4210">
            <v>0</v>
          </cell>
          <cell r="W4210">
            <v>0</v>
          </cell>
        </row>
        <row r="4211">
          <cell r="A4211" t="str">
            <v>450340</v>
          </cell>
          <cell r="B4211" t="str">
            <v>1254</v>
          </cell>
          <cell r="C4211" t="str">
            <v>12</v>
          </cell>
          <cell r="D4211" t="str">
            <v>49</v>
          </cell>
          <cell r="G4211">
            <v>5030099</v>
          </cell>
          <cell r="H4211">
            <v>0</v>
          </cell>
          <cell r="I4211">
            <v>246436527</v>
          </cell>
          <cell r="J4211">
            <v>0</v>
          </cell>
          <cell r="K4211">
            <v>0</v>
          </cell>
          <cell r="L4211">
            <v>0</v>
          </cell>
          <cell r="M4211">
            <v>0</v>
          </cell>
          <cell r="N4211">
            <v>0</v>
          </cell>
          <cell r="O4211">
            <v>0</v>
          </cell>
          <cell r="P4211">
            <v>0</v>
          </cell>
          <cell r="Q4211">
            <v>246436527</v>
          </cell>
          <cell r="R4211">
            <v>0</v>
          </cell>
          <cell r="S4211">
            <v>0</v>
          </cell>
          <cell r="T4211">
            <v>0</v>
          </cell>
          <cell r="U4211">
            <v>0</v>
          </cell>
          <cell r="V4211">
            <v>0</v>
          </cell>
          <cell r="W4211">
            <v>0</v>
          </cell>
        </row>
        <row r="4212">
          <cell r="A4212" t="str">
            <v>450340</v>
          </cell>
          <cell r="B4212" t="str">
            <v>1254</v>
          </cell>
          <cell r="C4212" t="str">
            <v>12</v>
          </cell>
          <cell r="D4212" t="str">
            <v>49</v>
          </cell>
          <cell r="G4212">
            <v>5040002</v>
          </cell>
          <cell r="H4212">
            <v>276</v>
          </cell>
          <cell r="I4212">
            <v>1035000</v>
          </cell>
          <cell r="J4212">
            <v>0</v>
          </cell>
          <cell r="K4212">
            <v>0</v>
          </cell>
          <cell r="L4212">
            <v>0</v>
          </cell>
          <cell r="M4212">
            <v>0</v>
          </cell>
          <cell r="N4212">
            <v>0</v>
          </cell>
          <cell r="O4212">
            <v>0</v>
          </cell>
          <cell r="P4212">
            <v>276</v>
          </cell>
          <cell r="Q4212">
            <v>1035000</v>
          </cell>
          <cell r="R4212">
            <v>0</v>
          </cell>
          <cell r="S4212">
            <v>0</v>
          </cell>
          <cell r="T4212">
            <v>0</v>
          </cell>
          <cell r="U4212">
            <v>0</v>
          </cell>
          <cell r="V4212">
            <v>0</v>
          </cell>
          <cell r="W4212">
            <v>0</v>
          </cell>
        </row>
        <row r="4213">
          <cell r="A4213" t="str">
            <v>450340</v>
          </cell>
          <cell r="B4213" t="str">
            <v>1254</v>
          </cell>
          <cell r="C4213" t="str">
            <v>12</v>
          </cell>
          <cell r="D4213" t="str">
            <v>49</v>
          </cell>
          <cell r="G4213">
            <v>9999999</v>
          </cell>
          <cell r="H4213">
            <v>816</v>
          </cell>
          <cell r="I4213">
            <v>253596327</v>
          </cell>
          <cell r="J4213">
            <v>0</v>
          </cell>
          <cell r="K4213">
            <v>0</v>
          </cell>
          <cell r="L4213">
            <v>0</v>
          </cell>
          <cell r="M4213">
            <v>0</v>
          </cell>
          <cell r="N4213">
            <v>0</v>
          </cell>
          <cell r="O4213">
            <v>0</v>
          </cell>
          <cell r="P4213">
            <v>816</v>
          </cell>
          <cell r="Q4213">
            <v>253596327</v>
          </cell>
          <cell r="R4213">
            <v>0</v>
          </cell>
          <cell r="S4213">
            <v>0</v>
          </cell>
          <cell r="T4213">
            <v>0</v>
          </cell>
          <cell r="U4213">
            <v>0</v>
          </cell>
          <cell r="V4213">
            <v>0</v>
          </cell>
          <cell r="W4213">
            <v>0</v>
          </cell>
        </row>
        <row r="4214">
          <cell r="A4214" t="str">
            <v>450340</v>
          </cell>
          <cell r="B4214" t="str">
            <v>1254</v>
          </cell>
          <cell r="C4214" t="str">
            <v>12</v>
          </cell>
          <cell r="D4214" t="str">
            <v>33</v>
          </cell>
          <cell r="E4214">
            <v>1</v>
          </cell>
          <cell r="G4214">
            <v>33518</v>
          </cell>
          <cell r="H4214">
            <v>33180</v>
          </cell>
          <cell r="I4214">
            <v>338</v>
          </cell>
          <cell r="J4214">
            <v>0</v>
          </cell>
          <cell r="K4214">
            <v>5351</v>
          </cell>
          <cell r="L4214">
            <v>5351</v>
          </cell>
          <cell r="M4214">
            <v>0</v>
          </cell>
          <cell r="N4214">
            <v>0</v>
          </cell>
          <cell r="O4214">
            <v>0</v>
          </cell>
          <cell r="P4214">
            <v>0</v>
          </cell>
          <cell r="Q4214">
            <v>0</v>
          </cell>
          <cell r="R4214">
            <v>0</v>
          </cell>
          <cell r="S4214">
            <v>678</v>
          </cell>
          <cell r="T4214">
            <v>678</v>
          </cell>
          <cell r="U4214">
            <v>0</v>
          </cell>
          <cell r="V4214">
            <v>0</v>
          </cell>
          <cell r="W4214">
            <v>0</v>
          </cell>
        </row>
        <row r="4215">
          <cell r="A4215" t="str">
            <v>450340</v>
          </cell>
          <cell r="B4215" t="str">
            <v>1254</v>
          </cell>
          <cell r="C4215" t="str">
            <v>12</v>
          </cell>
          <cell r="D4215" t="str">
            <v>33</v>
          </cell>
          <cell r="E4215">
            <v>5</v>
          </cell>
          <cell r="G4215">
            <v>800</v>
          </cell>
          <cell r="H4215">
            <v>800</v>
          </cell>
          <cell r="I4215">
            <v>0</v>
          </cell>
          <cell r="J4215">
            <v>0</v>
          </cell>
          <cell r="K4215">
            <v>0</v>
          </cell>
          <cell r="L4215">
            <v>0</v>
          </cell>
          <cell r="M4215">
            <v>0</v>
          </cell>
          <cell r="N4215">
            <v>0</v>
          </cell>
          <cell r="O4215">
            <v>0</v>
          </cell>
          <cell r="P4215">
            <v>0</v>
          </cell>
          <cell r="Q4215">
            <v>0</v>
          </cell>
          <cell r="R4215">
            <v>0</v>
          </cell>
          <cell r="S4215">
            <v>597</v>
          </cell>
          <cell r="T4215">
            <v>597</v>
          </cell>
          <cell r="U4215">
            <v>0</v>
          </cell>
          <cell r="V4215">
            <v>0</v>
          </cell>
          <cell r="W4215">
            <v>0</v>
          </cell>
        </row>
        <row r="4216">
          <cell r="A4216" t="str">
            <v>450340</v>
          </cell>
          <cell r="B4216" t="str">
            <v>1254</v>
          </cell>
          <cell r="C4216" t="str">
            <v>12</v>
          </cell>
          <cell r="D4216" t="str">
            <v>33</v>
          </cell>
          <cell r="E4216">
            <v>9</v>
          </cell>
          <cell r="G4216">
            <v>0</v>
          </cell>
          <cell r="H4216">
            <v>0</v>
          </cell>
          <cell r="I4216">
            <v>0</v>
          </cell>
          <cell r="J4216">
            <v>0</v>
          </cell>
          <cell r="K4216">
            <v>42561</v>
          </cell>
          <cell r="L4216">
            <v>42561</v>
          </cell>
          <cell r="M4216">
            <v>0</v>
          </cell>
          <cell r="N4216">
            <v>0</v>
          </cell>
          <cell r="O4216">
            <v>14022</v>
          </cell>
          <cell r="P4216">
            <v>14022</v>
          </cell>
          <cell r="Q4216">
            <v>0</v>
          </cell>
          <cell r="R4216">
            <v>0</v>
          </cell>
          <cell r="S4216">
            <v>0</v>
          </cell>
          <cell r="T4216">
            <v>0</v>
          </cell>
          <cell r="U4216">
            <v>0</v>
          </cell>
          <cell r="V4216">
            <v>0</v>
          </cell>
          <cell r="W4216">
            <v>0</v>
          </cell>
        </row>
        <row r="4217">
          <cell r="A4217" t="str">
            <v>450340</v>
          </cell>
          <cell r="B4217" t="str">
            <v>1254</v>
          </cell>
          <cell r="C4217" t="str">
            <v>12</v>
          </cell>
          <cell r="D4217" t="str">
            <v>33</v>
          </cell>
          <cell r="E4217">
            <v>13</v>
          </cell>
          <cell r="G4217">
            <v>0</v>
          </cell>
          <cell r="H4217">
            <v>0</v>
          </cell>
          <cell r="I4217">
            <v>0</v>
          </cell>
          <cell r="J4217">
            <v>0</v>
          </cell>
          <cell r="K4217">
            <v>0</v>
          </cell>
          <cell r="L4217">
            <v>0</v>
          </cell>
          <cell r="M4217">
            <v>0</v>
          </cell>
          <cell r="N4217">
            <v>0</v>
          </cell>
          <cell r="O4217">
            <v>0</v>
          </cell>
          <cell r="P4217">
            <v>0</v>
          </cell>
          <cell r="Q4217">
            <v>0</v>
          </cell>
          <cell r="R4217">
            <v>0</v>
          </cell>
          <cell r="S4217">
            <v>0</v>
          </cell>
          <cell r="T4217">
            <v>0</v>
          </cell>
          <cell r="U4217">
            <v>0</v>
          </cell>
          <cell r="V4217">
            <v>0</v>
          </cell>
          <cell r="W4217">
            <v>0</v>
          </cell>
        </row>
        <row r="4218">
          <cell r="A4218" t="str">
            <v>450340</v>
          </cell>
          <cell r="B4218" t="str">
            <v>1254</v>
          </cell>
          <cell r="C4218" t="str">
            <v>12</v>
          </cell>
          <cell r="D4218" t="str">
            <v>33</v>
          </cell>
          <cell r="E4218">
            <v>17</v>
          </cell>
          <cell r="G4218">
            <v>0</v>
          </cell>
          <cell r="H4218">
            <v>0</v>
          </cell>
          <cell r="I4218">
            <v>0</v>
          </cell>
          <cell r="J4218">
            <v>0</v>
          </cell>
          <cell r="K4218">
            <v>0</v>
          </cell>
          <cell r="L4218">
            <v>0</v>
          </cell>
          <cell r="M4218">
            <v>0</v>
          </cell>
          <cell r="N4218">
            <v>0</v>
          </cell>
          <cell r="O4218">
            <v>1568</v>
          </cell>
          <cell r="P4218">
            <v>1568</v>
          </cell>
          <cell r="Q4218">
            <v>0</v>
          </cell>
          <cell r="R4218">
            <v>0</v>
          </cell>
          <cell r="S4218">
            <v>2986</v>
          </cell>
          <cell r="T4218">
            <v>2986</v>
          </cell>
          <cell r="U4218">
            <v>0</v>
          </cell>
          <cell r="V4218">
            <v>0</v>
          </cell>
          <cell r="W4218">
            <v>0</v>
          </cell>
        </row>
        <row r="4219">
          <cell r="A4219" t="str">
            <v>450340</v>
          </cell>
          <cell r="B4219" t="str">
            <v>1254</v>
          </cell>
          <cell r="C4219" t="str">
            <v>12</v>
          </cell>
          <cell r="D4219" t="str">
            <v>33</v>
          </cell>
          <cell r="E4219">
            <v>21</v>
          </cell>
          <cell r="G4219">
            <v>0</v>
          </cell>
          <cell r="H4219">
            <v>0</v>
          </cell>
          <cell r="I4219">
            <v>0</v>
          </cell>
          <cell r="J4219">
            <v>0</v>
          </cell>
          <cell r="K4219">
            <v>0</v>
          </cell>
          <cell r="L4219">
            <v>0</v>
          </cell>
          <cell r="M4219">
            <v>0</v>
          </cell>
          <cell r="N4219">
            <v>0</v>
          </cell>
          <cell r="O4219">
            <v>8043</v>
          </cell>
          <cell r="P4219">
            <v>8043</v>
          </cell>
          <cell r="Q4219">
            <v>0</v>
          </cell>
          <cell r="R4219">
            <v>0</v>
          </cell>
          <cell r="S4219">
            <v>0</v>
          </cell>
          <cell r="T4219">
            <v>0</v>
          </cell>
          <cell r="U4219">
            <v>0</v>
          </cell>
          <cell r="V4219">
            <v>0</v>
          </cell>
          <cell r="W4219">
            <v>0</v>
          </cell>
        </row>
        <row r="4220">
          <cell r="A4220" t="str">
            <v>450340</v>
          </cell>
          <cell r="B4220" t="str">
            <v>1254</v>
          </cell>
          <cell r="C4220" t="str">
            <v>12</v>
          </cell>
          <cell r="D4220" t="str">
            <v>33</v>
          </cell>
          <cell r="E4220">
            <v>25</v>
          </cell>
          <cell r="G4220">
            <v>0</v>
          </cell>
          <cell r="H4220">
            <v>0</v>
          </cell>
          <cell r="I4220">
            <v>0</v>
          </cell>
          <cell r="J4220">
            <v>0</v>
          </cell>
          <cell r="K4220">
            <v>0</v>
          </cell>
          <cell r="L4220">
            <v>0</v>
          </cell>
          <cell r="M4220">
            <v>0</v>
          </cell>
          <cell r="N4220">
            <v>0</v>
          </cell>
          <cell r="O4220">
            <v>3865</v>
          </cell>
          <cell r="P4220">
            <v>3080</v>
          </cell>
          <cell r="Q4220">
            <v>0</v>
          </cell>
          <cell r="R4220">
            <v>-785</v>
          </cell>
          <cell r="S4220">
            <v>16497</v>
          </cell>
          <cell r="T4220">
            <v>7870</v>
          </cell>
          <cell r="U4220">
            <v>8627</v>
          </cell>
          <cell r="V4220">
            <v>0</v>
          </cell>
          <cell r="W4220">
            <v>0</v>
          </cell>
        </row>
        <row r="4221">
          <cell r="A4221" t="str">
            <v>450340</v>
          </cell>
          <cell r="B4221" t="str">
            <v>1254</v>
          </cell>
          <cell r="C4221" t="str">
            <v>12</v>
          </cell>
          <cell r="D4221" t="str">
            <v>33</v>
          </cell>
          <cell r="E4221">
            <v>29</v>
          </cell>
          <cell r="G4221">
            <v>0</v>
          </cell>
          <cell r="H4221">
            <v>0</v>
          </cell>
          <cell r="I4221">
            <v>0</v>
          </cell>
          <cell r="J4221">
            <v>0</v>
          </cell>
          <cell r="K4221">
            <v>130486</v>
          </cell>
          <cell r="L4221">
            <v>120736</v>
          </cell>
          <cell r="M4221">
            <v>8965</v>
          </cell>
          <cell r="N4221">
            <v>-785</v>
          </cell>
          <cell r="O4221">
            <v>68050</v>
          </cell>
          <cell r="P4221">
            <v>68050</v>
          </cell>
          <cell r="Q4221">
            <v>0</v>
          </cell>
          <cell r="R4221">
            <v>0</v>
          </cell>
          <cell r="S4221">
            <v>26269</v>
          </cell>
          <cell r="T4221">
            <v>26269</v>
          </cell>
          <cell r="U4221">
            <v>0</v>
          </cell>
          <cell r="V4221">
            <v>0</v>
          </cell>
          <cell r="W4221">
            <v>0</v>
          </cell>
        </row>
        <row r="4222">
          <cell r="A4222" t="str">
            <v>450340</v>
          </cell>
          <cell r="B4222" t="str">
            <v>1254</v>
          </cell>
          <cell r="C4222" t="str">
            <v>12</v>
          </cell>
          <cell r="D4222" t="str">
            <v>33</v>
          </cell>
          <cell r="E4222">
            <v>33</v>
          </cell>
          <cell r="G4222">
            <v>0</v>
          </cell>
          <cell r="H4222">
            <v>0</v>
          </cell>
          <cell r="I4222">
            <v>0</v>
          </cell>
          <cell r="J4222">
            <v>0</v>
          </cell>
          <cell r="K4222">
            <v>94319</v>
          </cell>
          <cell r="L4222">
            <v>94319</v>
          </cell>
          <cell r="M4222">
            <v>0</v>
          </cell>
          <cell r="N4222">
            <v>0</v>
          </cell>
          <cell r="O4222">
            <v>0</v>
          </cell>
          <cell r="P4222">
            <v>0</v>
          </cell>
          <cell r="Q4222">
            <v>0</v>
          </cell>
          <cell r="R4222">
            <v>0</v>
          </cell>
          <cell r="S4222">
            <v>0</v>
          </cell>
          <cell r="T4222">
            <v>0</v>
          </cell>
          <cell r="U4222">
            <v>0</v>
          </cell>
          <cell r="V4222">
            <v>0</v>
          </cell>
          <cell r="W4222">
            <v>0</v>
          </cell>
        </row>
        <row r="4223">
          <cell r="A4223" t="str">
            <v>450340</v>
          </cell>
          <cell r="B4223" t="str">
            <v>1254</v>
          </cell>
          <cell r="C4223" t="str">
            <v>12</v>
          </cell>
          <cell r="D4223" t="str">
            <v>33</v>
          </cell>
          <cell r="E4223">
            <v>37</v>
          </cell>
          <cell r="G4223">
            <v>0</v>
          </cell>
          <cell r="H4223">
            <v>0</v>
          </cell>
          <cell r="I4223">
            <v>0</v>
          </cell>
          <cell r="J4223">
            <v>0</v>
          </cell>
          <cell r="K4223">
            <v>0</v>
          </cell>
          <cell r="L4223">
            <v>0</v>
          </cell>
          <cell r="M4223">
            <v>0</v>
          </cell>
          <cell r="N4223">
            <v>0</v>
          </cell>
          <cell r="O4223">
            <v>1325</v>
          </cell>
          <cell r="P4223">
            <v>1325</v>
          </cell>
          <cell r="Q4223">
            <v>0</v>
          </cell>
          <cell r="R4223">
            <v>0</v>
          </cell>
          <cell r="S4223">
            <v>0</v>
          </cell>
          <cell r="T4223">
            <v>0</v>
          </cell>
          <cell r="U4223">
            <v>0</v>
          </cell>
          <cell r="V4223">
            <v>0</v>
          </cell>
          <cell r="W4223">
            <v>0</v>
          </cell>
        </row>
        <row r="4224">
          <cell r="A4224" t="str">
            <v>450340</v>
          </cell>
          <cell r="B4224" t="str">
            <v>1254</v>
          </cell>
          <cell r="C4224" t="str">
            <v>12</v>
          </cell>
          <cell r="D4224" t="str">
            <v>34</v>
          </cell>
          <cell r="E4224">
            <v>0</v>
          </cell>
          <cell r="G4224">
            <v>11</v>
          </cell>
          <cell r="H4224">
            <v>6438</v>
          </cell>
          <cell r="I4224">
            <v>0</v>
          </cell>
          <cell r="J4224">
            <v>0</v>
          </cell>
          <cell r="K4224">
            <v>0</v>
          </cell>
          <cell r="L4224">
            <v>0</v>
          </cell>
          <cell r="M4224">
            <v>0</v>
          </cell>
          <cell r="N4224">
            <v>585</v>
          </cell>
          <cell r="O4224">
            <v>6438</v>
          </cell>
          <cell r="P4224">
            <v>0</v>
          </cell>
          <cell r="Q4224">
            <v>1</v>
          </cell>
          <cell r="R4224">
            <v>0</v>
          </cell>
          <cell r="S4224">
            <v>0</v>
          </cell>
          <cell r="T4224">
            <v>0</v>
          </cell>
          <cell r="U4224">
            <v>0</v>
          </cell>
          <cell r="V4224">
            <v>0</v>
          </cell>
          <cell r="W4224">
            <v>0</v>
          </cell>
        </row>
        <row r="4225">
          <cell r="A4225" t="str">
            <v>450340</v>
          </cell>
          <cell r="B4225" t="str">
            <v>1254</v>
          </cell>
          <cell r="C4225" t="str">
            <v>12</v>
          </cell>
          <cell r="D4225" t="str">
            <v>34</v>
          </cell>
          <cell r="E4225">
            <v>0</v>
          </cell>
          <cell r="G4225">
            <v>12</v>
          </cell>
          <cell r="H4225">
            <v>4494</v>
          </cell>
          <cell r="I4225">
            <v>0</v>
          </cell>
          <cell r="J4225">
            <v>0</v>
          </cell>
          <cell r="K4225">
            <v>0</v>
          </cell>
          <cell r="L4225">
            <v>0</v>
          </cell>
          <cell r="M4225">
            <v>0</v>
          </cell>
          <cell r="N4225">
            <v>420</v>
          </cell>
          <cell r="O4225">
            <v>4494</v>
          </cell>
          <cell r="P4225">
            <v>0</v>
          </cell>
          <cell r="Q4225">
            <v>1</v>
          </cell>
          <cell r="R4225">
            <v>0</v>
          </cell>
          <cell r="S4225">
            <v>0</v>
          </cell>
          <cell r="T4225">
            <v>0</v>
          </cell>
          <cell r="U4225">
            <v>0</v>
          </cell>
          <cell r="V4225">
            <v>0</v>
          </cell>
          <cell r="W4225">
            <v>0</v>
          </cell>
        </row>
        <row r="4226">
          <cell r="A4226" t="str">
            <v>450340</v>
          </cell>
          <cell r="B4226" t="str">
            <v>1254</v>
          </cell>
          <cell r="C4226" t="str">
            <v>12</v>
          </cell>
          <cell r="D4226" t="str">
            <v>34</v>
          </cell>
          <cell r="E4226">
            <v>0</v>
          </cell>
          <cell r="G4226">
            <v>15</v>
          </cell>
          <cell r="H4226">
            <v>10932</v>
          </cell>
          <cell r="I4226">
            <v>0</v>
          </cell>
          <cell r="J4226">
            <v>0</v>
          </cell>
          <cell r="K4226">
            <v>0</v>
          </cell>
          <cell r="L4226">
            <v>0</v>
          </cell>
          <cell r="M4226">
            <v>0</v>
          </cell>
          <cell r="N4226">
            <v>1005</v>
          </cell>
          <cell r="O4226">
            <v>10932</v>
          </cell>
          <cell r="P4226">
            <v>0</v>
          </cell>
          <cell r="Q4226">
            <v>2</v>
          </cell>
          <cell r="R4226">
            <v>0</v>
          </cell>
          <cell r="S4226">
            <v>0</v>
          </cell>
          <cell r="T4226">
            <v>0</v>
          </cell>
          <cell r="U4226">
            <v>0</v>
          </cell>
          <cell r="V4226">
            <v>0</v>
          </cell>
          <cell r="W4226">
            <v>0</v>
          </cell>
        </row>
        <row r="4227">
          <cell r="A4227" t="str">
            <v>450340</v>
          </cell>
          <cell r="B4227" t="str">
            <v>1254</v>
          </cell>
          <cell r="C4227" t="str">
            <v>12</v>
          </cell>
          <cell r="D4227" t="str">
            <v>34</v>
          </cell>
          <cell r="E4227">
            <v>0</v>
          </cell>
          <cell r="G4227">
            <v>69</v>
          </cell>
          <cell r="H4227">
            <v>4594</v>
          </cell>
          <cell r="I4227">
            <v>0</v>
          </cell>
          <cell r="J4227">
            <v>0</v>
          </cell>
          <cell r="K4227">
            <v>0</v>
          </cell>
          <cell r="L4227">
            <v>0</v>
          </cell>
          <cell r="M4227">
            <v>0</v>
          </cell>
          <cell r="N4227">
            <v>350</v>
          </cell>
          <cell r="O4227">
            <v>4594</v>
          </cell>
          <cell r="P4227">
            <v>1236</v>
          </cell>
          <cell r="Q4227">
            <v>1</v>
          </cell>
          <cell r="R4227">
            <v>0</v>
          </cell>
          <cell r="S4227">
            <v>0</v>
          </cell>
          <cell r="T4227">
            <v>0</v>
          </cell>
          <cell r="U4227">
            <v>0</v>
          </cell>
          <cell r="V4227">
            <v>0</v>
          </cell>
          <cell r="W4227">
            <v>0</v>
          </cell>
        </row>
        <row r="4228">
          <cell r="A4228" t="str">
            <v>450340</v>
          </cell>
          <cell r="B4228" t="str">
            <v>1254</v>
          </cell>
          <cell r="C4228" t="str">
            <v>12</v>
          </cell>
          <cell r="D4228" t="str">
            <v>34</v>
          </cell>
          <cell r="E4228">
            <v>0</v>
          </cell>
          <cell r="G4228">
            <v>70</v>
          </cell>
          <cell r="H4228">
            <v>19437</v>
          </cell>
          <cell r="I4228">
            <v>0</v>
          </cell>
          <cell r="J4228">
            <v>0</v>
          </cell>
          <cell r="K4228">
            <v>3165</v>
          </cell>
          <cell r="L4228">
            <v>0</v>
          </cell>
          <cell r="M4228">
            <v>0</v>
          </cell>
          <cell r="N4228">
            <v>1538</v>
          </cell>
          <cell r="O4228">
            <v>22602</v>
          </cell>
          <cell r="P4228">
            <v>826</v>
          </cell>
          <cell r="Q4228">
            <v>6</v>
          </cell>
          <cell r="R4228">
            <v>0</v>
          </cell>
          <cell r="S4228">
            <v>0</v>
          </cell>
          <cell r="T4228">
            <v>0</v>
          </cell>
          <cell r="U4228">
            <v>0</v>
          </cell>
          <cell r="V4228">
            <v>0</v>
          </cell>
          <cell r="W4228">
            <v>0</v>
          </cell>
        </row>
        <row r="4229">
          <cell r="A4229" t="str">
            <v>450340</v>
          </cell>
          <cell r="B4229" t="str">
            <v>1254</v>
          </cell>
          <cell r="C4229" t="str">
            <v>12</v>
          </cell>
          <cell r="D4229" t="str">
            <v>34</v>
          </cell>
          <cell r="E4229">
            <v>0</v>
          </cell>
          <cell r="G4229">
            <v>71</v>
          </cell>
          <cell r="H4229">
            <v>29426</v>
          </cell>
          <cell r="I4229">
            <v>0</v>
          </cell>
          <cell r="J4229">
            <v>0</v>
          </cell>
          <cell r="K4229">
            <v>3169</v>
          </cell>
          <cell r="L4229">
            <v>0</v>
          </cell>
          <cell r="M4229">
            <v>0</v>
          </cell>
          <cell r="N4229">
            <v>2295</v>
          </cell>
          <cell r="O4229">
            <v>32595</v>
          </cell>
          <cell r="P4229">
            <v>896</v>
          </cell>
          <cell r="Q4229">
            <v>10</v>
          </cell>
          <cell r="R4229">
            <v>0</v>
          </cell>
          <cell r="S4229">
            <v>0</v>
          </cell>
          <cell r="T4229">
            <v>0</v>
          </cell>
          <cell r="U4229">
            <v>0</v>
          </cell>
          <cell r="V4229">
            <v>0</v>
          </cell>
          <cell r="W4229">
            <v>0</v>
          </cell>
        </row>
        <row r="4230">
          <cell r="A4230" t="str">
            <v>450340</v>
          </cell>
          <cell r="B4230" t="str">
            <v>1254</v>
          </cell>
          <cell r="C4230" t="str">
            <v>12</v>
          </cell>
          <cell r="D4230" t="str">
            <v>34</v>
          </cell>
          <cell r="E4230">
            <v>0</v>
          </cell>
          <cell r="G4230">
            <v>73</v>
          </cell>
          <cell r="H4230">
            <v>68767</v>
          </cell>
          <cell r="I4230">
            <v>0</v>
          </cell>
          <cell r="J4230">
            <v>4014</v>
          </cell>
          <cell r="K4230">
            <v>0</v>
          </cell>
          <cell r="L4230">
            <v>0</v>
          </cell>
          <cell r="M4230">
            <v>0</v>
          </cell>
          <cell r="N4230">
            <v>5119</v>
          </cell>
          <cell r="O4230">
            <v>72781</v>
          </cell>
          <cell r="P4230">
            <v>3849</v>
          </cell>
          <cell r="Q4230">
            <v>31</v>
          </cell>
          <cell r="R4230">
            <v>0</v>
          </cell>
          <cell r="S4230">
            <v>0</v>
          </cell>
          <cell r="T4230">
            <v>0</v>
          </cell>
          <cell r="U4230">
            <v>0</v>
          </cell>
          <cell r="V4230">
            <v>0</v>
          </cell>
          <cell r="W4230">
            <v>0</v>
          </cell>
        </row>
        <row r="4231">
          <cell r="A4231" t="str">
            <v>450340</v>
          </cell>
          <cell r="B4231" t="str">
            <v>1254</v>
          </cell>
          <cell r="C4231" t="str">
            <v>12</v>
          </cell>
          <cell r="D4231" t="str">
            <v>34</v>
          </cell>
          <cell r="E4231">
            <v>0</v>
          </cell>
          <cell r="G4231">
            <v>74</v>
          </cell>
          <cell r="H4231">
            <v>38717</v>
          </cell>
          <cell r="I4231">
            <v>0</v>
          </cell>
          <cell r="J4231">
            <v>152</v>
          </cell>
          <cell r="K4231">
            <v>0</v>
          </cell>
          <cell r="L4231">
            <v>0</v>
          </cell>
          <cell r="M4231">
            <v>0</v>
          </cell>
          <cell r="N4231">
            <v>3050</v>
          </cell>
          <cell r="O4231">
            <v>38869</v>
          </cell>
          <cell r="P4231">
            <v>2156</v>
          </cell>
          <cell r="Q4231">
            <v>26</v>
          </cell>
          <cell r="R4231">
            <v>0</v>
          </cell>
          <cell r="S4231">
            <v>0</v>
          </cell>
          <cell r="T4231">
            <v>0</v>
          </cell>
          <cell r="U4231">
            <v>0</v>
          </cell>
          <cell r="V4231">
            <v>0</v>
          </cell>
          <cell r="W4231">
            <v>0</v>
          </cell>
        </row>
        <row r="4232">
          <cell r="A4232" t="str">
            <v>450340</v>
          </cell>
          <cell r="B4232" t="str">
            <v>1254</v>
          </cell>
          <cell r="C4232" t="str">
            <v>12</v>
          </cell>
          <cell r="D4232" t="str">
            <v>34</v>
          </cell>
          <cell r="E4232">
            <v>0</v>
          </cell>
          <cell r="G4232">
            <v>75</v>
          </cell>
          <cell r="H4232">
            <v>10111</v>
          </cell>
          <cell r="I4232">
            <v>0</v>
          </cell>
          <cell r="J4232">
            <v>0</v>
          </cell>
          <cell r="K4232">
            <v>0</v>
          </cell>
          <cell r="L4232">
            <v>0</v>
          </cell>
          <cell r="M4232">
            <v>0</v>
          </cell>
          <cell r="N4232">
            <v>721</v>
          </cell>
          <cell r="O4232">
            <v>10111</v>
          </cell>
          <cell r="P4232">
            <v>499</v>
          </cell>
          <cell r="Q4232">
            <v>10</v>
          </cell>
          <cell r="R4232">
            <v>0</v>
          </cell>
          <cell r="S4232">
            <v>0</v>
          </cell>
          <cell r="T4232">
            <v>0</v>
          </cell>
          <cell r="U4232">
            <v>0</v>
          </cell>
          <cell r="V4232">
            <v>0</v>
          </cell>
          <cell r="W4232">
            <v>0</v>
          </cell>
        </row>
        <row r="4233">
          <cell r="A4233" t="str">
            <v>450340</v>
          </cell>
          <cell r="B4233" t="str">
            <v>1254</v>
          </cell>
          <cell r="C4233" t="str">
            <v>12</v>
          </cell>
          <cell r="D4233" t="str">
            <v>34</v>
          </cell>
          <cell r="E4233">
            <v>0</v>
          </cell>
          <cell r="G4233">
            <v>76</v>
          </cell>
          <cell r="H4233">
            <v>4127</v>
          </cell>
          <cell r="I4233">
            <v>0</v>
          </cell>
          <cell r="J4233">
            <v>0</v>
          </cell>
          <cell r="K4233">
            <v>1936</v>
          </cell>
          <cell r="L4233">
            <v>0</v>
          </cell>
          <cell r="M4233">
            <v>0</v>
          </cell>
          <cell r="N4233">
            <v>358</v>
          </cell>
          <cell r="O4233">
            <v>6063</v>
          </cell>
          <cell r="P4233">
            <v>1102</v>
          </cell>
          <cell r="Q4233">
            <v>1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</row>
        <row r="4234">
          <cell r="A4234" t="str">
            <v>450340</v>
          </cell>
          <cell r="B4234" t="str">
            <v>1254</v>
          </cell>
          <cell r="C4234" t="str">
            <v>12</v>
          </cell>
          <cell r="D4234" t="str">
            <v>34</v>
          </cell>
          <cell r="E4234">
            <v>0</v>
          </cell>
          <cell r="G4234">
            <v>83</v>
          </cell>
          <cell r="H4234">
            <v>175179</v>
          </cell>
          <cell r="I4234">
            <v>0</v>
          </cell>
          <cell r="J4234">
            <v>4166</v>
          </cell>
          <cell r="K4234">
            <v>8270</v>
          </cell>
          <cell r="L4234">
            <v>0</v>
          </cell>
          <cell r="M4234">
            <v>0</v>
          </cell>
          <cell r="N4234">
            <v>13431</v>
          </cell>
          <cell r="O4234">
            <v>187615</v>
          </cell>
          <cell r="P4234">
            <v>10564</v>
          </cell>
          <cell r="Q4234">
            <v>85</v>
          </cell>
          <cell r="R4234">
            <v>0</v>
          </cell>
          <cell r="S4234">
            <v>0</v>
          </cell>
          <cell r="T4234">
            <v>0</v>
          </cell>
          <cell r="U4234">
            <v>0</v>
          </cell>
          <cell r="V4234">
            <v>0</v>
          </cell>
          <cell r="W4234">
            <v>0</v>
          </cell>
        </row>
        <row r="4235">
          <cell r="A4235" t="str">
            <v>450340</v>
          </cell>
          <cell r="B4235" t="str">
            <v>1254</v>
          </cell>
          <cell r="C4235" t="str">
            <v>12</v>
          </cell>
          <cell r="D4235" t="str">
            <v>34</v>
          </cell>
          <cell r="E4235">
            <v>0</v>
          </cell>
          <cell r="G4235">
            <v>94</v>
          </cell>
          <cell r="H4235">
            <v>1384</v>
          </cell>
          <cell r="I4235">
            <v>0</v>
          </cell>
          <cell r="J4235">
            <v>0</v>
          </cell>
          <cell r="K4235">
            <v>0</v>
          </cell>
          <cell r="L4235">
            <v>23</v>
          </cell>
          <cell r="M4235">
            <v>0</v>
          </cell>
          <cell r="N4235">
            <v>109</v>
          </cell>
          <cell r="O4235">
            <v>1407</v>
          </cell>
          <cell r="P4235">
            <v>0</v>
          </cell>
          <cell r="Q4235">
            <v>1</v>
          </cell>
          <cell r="R4235">
            <v>0</v>
          </cell>
          <cell r="S4235">
            <v>0</v>
          </cell>
          <cell r="T4235">
            <v>0</v>
          </cell>
          <cell r="U4235">
            <v>0</v>
          </cell>
          <cell r="V4235">
            <v>0</v>
          </cell>
          <cell r="W4235">
            <v>0</v>
          </cell>
        </row>
        <row r="4236">
          <cell r="A4236" t="str">
            <v>450340</v>
          </cell>
          <cell r="B4236" t="str">
            <v>1254</v>
          </cell>
          <cell r="C4236" t="str">
            <v>12</v>
          </cell>
          <cell r="D4236" t="str">
            <v>34</v>
          </cell>
          <cell r="E4236">
            <v>0</v>
          </cell>
          <cell r="G4236">
            <v>95</v>
          </cell>
          <cell r="H4236">
            <v>1652</v>
          </cell>
          <cell r="I4236">
            <v>0</v>
          </cell>
          <cell r="J4236">
            <v>0</v>
          </cell>
          <cell r="K4236">
            <v>0</v>
          </cell>
          <cell r="L4236">
            <v>35</v>
          </cell>
          <cell r="M4236">
            <v>0</v>
          </cell>
          <cell r="N4236">
            <v>131</v>
          </cell>
          <cell r="O4236">
            <v>1687</v>
          </cell>
          <cell r="P4236">
            <v>0</v>
          </cell>
          <cell r="Q4236">
            <v>1</v>
          </cell>
          <cell r="R4236">
            <v>0</v>
          </cell>
          <cell r="S4236">
            <v>0</v>
          </cell>
          <cell r="T4236">
            <v>0</v>
          </cell>
          <cell r="U4236">
            <v>0</v>
          </cell>
          <cell r="V4236">
            <v>0</v>
          </cell>
          <cell r="W4236">
            <v>0</v>
          </cell>
        </row>
        <row r="4237">
          <cell r="A4237" t="str">
            <v>450340</v>
          </cell>
          <cell r="B4237" t="str">
            <v>1254</v>
          </cell>
          <cell r="C4237" t="str">
            <v>12</v>
          </cell>
          <cell r="D4237" t="str">
            <v>34</v>
          </cell>
          <cell r="E4237">
            <v>0</v>
          </cell>
          <cell r="G4237">
            <v>105</v>
          </cell>
          <cell r="H4237">
            <v>3036</v>
          </cell>
          <cell r="I4237">
            <v>0</v>
          </cell>
          <cell r="J4237">
            <v>0</v>
          </cell>
          <cell r="K4237">
            <v>0</v>
          </cell>
          <cell r="L4237">
            <v>58</v>
          </cell>
          <cell r="M4237">
            <v>0</v>
          </cell>
          <cell r="N4237">
            <v>240</v>
          </cell>
          <cell r="O4237">
            <v>3094</v>
          </cell>
          <cell r="P4237">
            <v>0</v>
          </cell>
          <cell r="Q4237">
            <v>2</v>
          </cell>
          <cell r="R4237">
            <v>0</v>
          </cell>
          <cell r="S4237">
            <v>0</v>
          </cell>
          <cell r="T4237">
            <v>0</v>
          </cell>
          <cell r="U4237">
            <v>0</v>
          </cell>
          <cell r="V4237">
            <v>0</v>
          </cell>
          <cell r="W4237">
            <v>0</v>
          </cell>
        </row>
        <row r="4238">
          <cell r="A4238" t="str">
            <v>450340</v>
          </cell>
          <cell r="B4238" t="str">
            <v>1254</v>
          </cell>
          <cell r="C4238" t="str">
            <v>12</v>
          </cell>
          <cell r="D4238" t="str">
            <v>34</v>
          </cell>
          <cell r="E4238">
            <v>0</v>
          </cell>
          <cell r="G4238">
            <v>158</v>
          </cell>
          <cell r="H4238">
            <v>362762</v>
          </cell>
          <cell r="I4238">
            <v>11450</v>
          </cell>
          <cell r="J4238">
            <v>4480</v>
          </cell>
          <cell r="K4238">
            <v>23888</v>
          </cell>
          <cell r="L4238">
            <v>659</v>
          </cell>
          <cell r="M4238">
            <v>0</v>
          </cell>
          <cell r="N4238">
            <v>25658</v>
          </cell>
          <cell r="O4238">
            <v>403239</v>
          </cell>
          <cell r="P4238">
            <v>28796</v>
          </cell>
          <cell r="Q4238">
            <v>271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</row>
        <row r="4239">
          <cell r="A4239" t="str">
            <v>450340</v>
          </cell>
          <cell r="B4239" t="str">
            <v>1254</v>
          </cell>
          <cell r="C4239" t="str">
            <v>12</v>
          </cell>
          <cell r="D4239" t="str">
            <v>34</v>
          </cell>
          <cell r="E4239">
            <v>0</v>
          </cell>
          <cell r="G4239">
            <v>132</v>
          </cell>
          <cell r="H4239">
            <v>39567</v>
          </cell>
          <cell r="I4239">
            <v>4602</v>
          </cell>
          <cell r="J4239">
            <v>314</v>
          </cell>
          <cell r="K4239">
            <v>5634</v>
          </cell>
          <cell r="L4239">
            <v>138</v>
          </cell>
          <cell r="M4239">
            <v>0</v>
          </cell>
          <cell r="N4239">
            <v>3564</v>
          </cell>
          <cell r="O4239">
            <v>50255</v>
          </cell>
          <cell r="P4239">
            <v>6466</v>
          </cell>
          <cell r="Q4239">
            <v>13</v>
          </cell>
          <cell r="R4239">
            <v>0</v>
          </cell>
          <cell r="S4239">
            <v>0</v>
          </cell>
          <cell r="T4239">
            <v>0</v>
          </cell>
          <cell r="U4239">
            <v>0</v>
          </cell>
          <cell r="V4239">
            <v>0</v>
          </cell>
          <cell r="W4239">
            <v>0</v>
          </cell>
        </row>
        <row r="4240">
          <cell r="A4240" t="str">
            <v>450340</v>
          </cell>
          <cell r="B4240" t="str">
            <v>1254</v>
          </cell>
          <cell r="C4240" t="str">
            <v>12</v>
          </cell>
          <cell r="D4240" t="str">
            <v>34</v>
          </cell>
          <cell r="E4240">
            <v>0</v>
          </cell>
          <cell r="G4240">
            <v>133</v>
          </cell>
          <cell r="H4240">
            <v>68564</v>
          </cell>
          <cell r="I4240">
            <v>6848</v>
          </cell>
          <cell r="J4240">
            <v>0</v>
          </cell>
          <cell r="K4240">
            <v>9984</v>
          </cell>
          <cell r="L4240">
            <v>463</v>
          </cell>
          <cell r="M4240">
            <v>0</v>
          </cell>
          <cell r="N4240">
            <v>6336</v>
          </cell>
          <cell r="O4240">
            <v>85859</v>
          </cell>
          <cell r="P4240">
            <v>11495</v>
          </cell>
          <cell r="Q4240">
            <v>45</v>
          </cell>
          <cell r="R4240">
            <v>0</v>
          </cell>
          <cell r="S4240">
            <v>0</v>
          </cell>
          <cell r="T4240">
            <v>0</v>
          </cell>
          <cell r="U4240">
            <v>0</v>
          </cell>
          <cell r="V4240">
            <v>0</v>
          </cell>
          <cell r="W4240">
            <v>0</v>
          </cell>
        </row>
        <row r="4241">
          <cell r="A4241" t="str">
            <v>450340</v>
          </cell>
          <cell r="B4241" t="str">
            <v>1254</v>
          </cell>
          <cell r="C4241" t="str">
            <v>12</v>
          </cell>
          <cell r="D4241" t="str">
            <v>34</v>
          </cell>
          <cell r="E4241">
            <v>0</v>
          </cell>
          <cell r="G4241">
            <v>134</v>
          </cell>
          <cell r="H4241">
            <v>108131</v>
          </cell>
          <cell r="I4241">
            <v>11450</v>
          </cell>
          <cell r="J4241">
            <v>314</v>
          </cell>
          <cell r="K4241">
            <v>15618</v>
          </cell>
          <cell r="L4241">
            <v>601</v>
          </cell>
          <cell r="M4241">
            <v>0</v>
          </cell>
          <cell r="N4241">
            <v>9900</v>
          </cell>
          <cell r="O4241">
            <v>136114</v>
          </cell>
          <cell r="P4241">
            <v>17961</v>
          </cell>
          <cell r="Q4241">
            <v>58</v>
          </cell>
          <cell r="R4241">
            <v>0</v>
          </cell>
          <cell r="S4241">
            <v>0</v>
          </cell>
          <cell r="T4241">
            <v>0</v>
          </cell>
          <cell r="U4241">
            <v>0</v>
          </cell>
          <cell r="V4241">
            <v>0</v>
          </cell>
          <cell r="W4241">
            <v>0</v>
          </cell>
        </row>
        <row r="4242">
          <cell r="A4242" t="str">
            <v>450340</v>
          </cell>
          <cell r="B4242" t="str">
            <v>1254</v>
          </cell>
          <cell r="C4242" t="str">
            <v>12</v>
          </cell>
          <cell r="D4242" t="str">
            <v>34</v>
          </cell>
          <cell r="E4242">
            <v>0</v>
          </cell>
          <cell r="G4242">
            <v>147</v>
          </cell>
          <cell r="H4242">
            <v>12704</v>
          </cell>
          <cell r="I4242">
            <v>0</v>
          </cell>
          <cell r="J4242">
            <v>0</v>
          </cell>
          <cell r="K4242">
            <v>0</v>
          </cell>
          <cell r="L4242">
            <v>0</v>
          </cell>
          <cell r="M4242">
            <v>0</v>
          </cell>
          <cell r="N4242">
            <v>1082</v>
          </cell>
          <cell r="O4242">
            <v>12704</v>
          </cell>
          <cell r="P4242">
            <v>192</v>
          </cell>
          <cell r="Q4242">
            <v>14</v>
          </cell>
          <cell r="R4242">
            <v>0</v>
          </cell>
          <cell r="S4242">
            <v>0</v>
          </cell>
          <cell r="T4242">
            <v>0</v>
          </cell>
          <cell r="U4242">
            <v>0</v>
          </cell>
          <cell r="V4242">
            <v>0</v>
          </cell>
          <cell r="W4242">
            <v>0</v>
          </cell>
        </row>
        <row r="4243">
          <cell r="A4243" t="str">
            <v>450340</v>
          </cell>
          <cell r="B4243" t="str">
            <v>1254</v>
          </cell>
          <cell r="C4243" t="str">
            <v>12</v>
          </cell>
          <cell r="D4243" t="str">
            <v>34</v>
          </cell>
          <cell r="E4243">
            <v>0</v>
          </cell>
          <cell r="G4243">
            <v>149</v>
          </cell>
          <cell r="H4243">
            <v>12704</v>
          </cell>
          <cell r="I4243">
            <v>0</v>
          </cell>
          <cell r="J4243">
            <v>0</v>
          </cell>
          <cell r="K4243">
            <v>0</v>
          </cell>
          <cell r="L4243">
            <v>0</v>
          </cell>
          <cell r="M4243">
            <v>0</v>
          </cell>
          <cell r="N4243">
            <v>1082</v>
          </cell>
          <cell r="O4243">
            <v>12704</v>
          </cell>
          <cell r="P4243">
            <v>192</v>
          </cell>
          <cell r="Q4243">
            <v>14</v>
          </cell>
          <cell r="R4243">
            <v>0</v>
          </cell>
          <cell r="S4243">
            <v>0</v>
          </cell>
          <cell r="T4243">
            <v>0</v>
          </cell>
          <cell r="U4243">
            <v>0</v>
          </cell>
          <cell r="V4243">
            <v>0</v>
          </cell>
          <cell r="W4243">
            <v>0</v>
          </cell>
        </row>
        <row r="4244">
          <cell r="A4244" t="str">
            <v>450340</v>
          </cell>
          <cell r="B4244" t="str">
            <v>1254</v>
          </cell>
          <cell r="C4244" t="str">
            <v>12</v>
          </cell>
          <cell r="D4244" t="str">
            <v>34</v>
          </cell>
          <cell r="E4244">
            <v>0</v>
          </cell>
          <cell r="G4244">
            <v>150</v>
          </cell>
          <cell r="H4244">
            <v>12704</v>
          </cell>
          <cell r="I4244">
            <v>0</v>
          </cell>
          <cell r="J4244">
            <v>0</v>
          </cell>
          <cell r="K4244">
            <v>0</v>
          </cell>
          <cell r="L4244">
            <v>0</v>
          </cell>
          <cell r="M4244">
            <v>0</v>
          </cell>
          <cell r="N4244">
            <v>1082</v>
          </cell>
          <cell r="O4244">
            <v>12704</v>
          </cell>
          <cell r="P4244">
            <v>192</v>
          </cell>
          <cell r="Q4244">
            <v>14</v>
          </cell>
          <cell r="R4244">
            <v>0</v>
          </cell>
          <cell r="S4244">
            <v>0</v>
          </cell>
          <cell r="T4244">
            <v>0</v>
          </cell>
          <cell r="U4244">
            <v>0</v>
          </cell>
          <cell r="V4244">
            <v>0</v>
          </cell>
          <cell r="W4244">
            <v>0</v>
          </cell>
        </row>
        <row r="4245">
          <cell r="A4245" t="str">
            <v>450340</v>
          </cell>
          <cell r="B4245" t="str">
            <v>1254</v>
          </cell>
          <cell r="C4245" t="str">
            <v>12</v>
          </cell>
          <cell r="D4245" t="str">
            <v>34</v>
          </cell>
          <cell r="E4245">
            <v>0</v>
          </cell>
          <cell r="G4245">
            <v>151</v>
          </cell>
          <cell r="H4245">
            <v>309982</v>
          </cell>
          <cell r="I4245">
            <v>11450</v>
          </cell>
          <cell r="J4245">
            <v>4480</v>
          </cell>
          <cell r="K4245">
            <v>23888</v>
          </cell>
          <cell r="L4245">
            <v>659</v>
          </cell>
          <cell r="M4245">
            <v>0</v>
          </cell>
          <cell r="N4245">
            <v>25658</v>
          </cell>
          <cell r="O4245">
            <v>350459</v>
          </cell>
          <cell r="P4245">
            <v>28717</v>
          </cell>
          <cell r="Q4245">
            <v>161</v>
          </cell>
          <cell r="R4245">
            <v>0</v>
          </cell>
          <cell r="S4245">
            <v>0</v>
          </cell>
          <cell r="T4245">
            <v>0</v>
          </cell>
          <cell r="U4245">
            <v>0</v>
          </cell>
          <cell r="V4245">
            <v>0</v>
          </cell>
          <cell r="W4245">
            <v>0</v>
          </cell>
        </row>
        <row r="4246">
          <cell r="A4246" t="str">
            <v>450340</v>
          </cell>
          <cell r="B4246" t="str">
            <v>1254</v>
          </cell>
          <cell r="C4246" t="str">
            <v>12</v>
          </cell>
          <cell r="D4246" t="str">
            <v>34</v>
          </cell>
          <cell r="E4246">
            <v>0</v>
          </cell>
          <cell r="G4246">
            <v>156</v>
          </cell>
          <cell r="H4246">
            <v>52780</v>
          </cell>
          <cell r="I4246">
            <v>0</v>
          </cell>
          <cell r="J4246">
            <v>0</v>
          </cell>
          <cell r="K4246">
            <v>0</v>
          </cell>
          <cell r="L4246">
            <v>0</v>
          </cell>
          <cell r="M4246">
            <v>0</v>
          </cell>
          <cell r="N4246">
            <v>0</v>
          </cell>
          <cell r="O4246">
            <v>52780</v>
          </cell>
          <cell r="P4246">
            <v>79</v>
          </cell>
          <cell r="Q4246">
            <v>110</v>
          </cell>
          <cell r="R4246">
            <v>0</v>
          </cell>
          <cell r="S4246">
            <v>0</v>
          </cell>
          <cell r="T4246">
            <v>0</v>
          </cell>
          <cell r="U4246">
            <v>0</v>
          </cell>
          <cell r="V4246">
            <v>0</v>
          </cell>
          <cell r="W4246">
            <v>0</v>
          </cell>
        </row>
        <row r="4247">
          <cell r="A4247" t="str">
            <v>450340</v>
          </cell>
          <cell r="B4247" t="str">
            <v>1254</v>
          </cell>
          <cell r="C4247" t="str">
            <v>12</v>
          </cell>
          <cell r="D4247" t="str">
            <v>34</v>
          </cell>
          <cell r="E4247">
            <v>0</v>
          </cell>
          <cell r="G4247">
            <v>157</v>
          </cell>
          <cell r="H4247">
            <v>52780</v>
          </cell>
          <cell r="I4247">
            <v>0</v>
          </cell>
          <cell r="J4247">
            <v>0</v>
          </cell>
          <cell r="K4247">
            <v>0</v>
          </cell>
          <cell r="L4247">
            <v>0</v>
          </cell>
          <cell r="M4247">
            <v>0</v>
          </cell>
          <cell r="N4247">
            <v>0</v>
          </cell>
          <cell r="O4247">
            <v>52780</v>
          </cell>
          <cell r="P4247">
            <v>79</v>
          </cell>
          <cell r="Q4247">
            <v>110</v>
          </cell>
          <cell r="R4247">
            <v>0</v>
          </cell>
          <cell r="S4247">
            <v>0</v>
          </cell>
          <cell r="T4247">
            <v>0</v>
          </cell>
          <cell r="U4247">
            <v>0</v>
          </cell>
          <cell r="V4247">
            <v>0</v>
          </cell>
          <cell r="W4247">
            <v>0</v>
          </cell>
        </row>
        <row r="4248">
          <cell r="A4248" t="str">
            <v>450340</v>
          </cell>
          <cell r="B4248" t="str">
            <v>1254</v>
          </cell>
          <cell r="C4248" t="str">
            <v>12</v>
          </cell>
          <cell r="D4248" t="str">
            <v>01</v>
          </cell>
          <cell r="E4248">
            <v>1</v>
          </cell>
          <cell r="G4248">
            <v>0</v>
          </cell>
          <cell r="H4248">
            <v>0</v>
          </cell>
          <cell r="I4248">
            <v>0</v>
          </cell>
          <cell r="J4248">
            <v>0</v>
          </cell>
          <cell r="K4248">
            <v>5459</v>
          </cell>
          <cell r="L4248">
            <v>4576</v>
          </cell>
          <cell r="M4248">
            <v>1964</v>
          </cell>
          <cell r="N4248">
            <v>888</v>
          </cell>
          <cell r="O4248">
            <v>0</v>
          </cell>
          <cell r="P4248">
            <v>0</v>
          </cell>
          <cell r="Q4248">
            <v>0</v>
          </cell>
          <cell r="R4248">
            <v>0</v>
          </cell>
          <cell r="S4248">
            <v>7423</v>
          </cell>
          <cell r="T4248">
            <v>5464</v>
          </cell>
          <cell r="U4248">
            <v>0</v>
          </cell>
          <cell r="V4248">
            <v>0</v>
          </cell>
          <cell r="W4248">
            <v>0</v>
          </cell>
        </row>
        <row r="4249">
          <cell r="A4249" t="str">
            <v>450340</v>
          </cell>
          <cell r="B4249" t="str">
            <v>1254</v>
          </cell>
          <cell r="C4249" t="str">
            <v>12</v>
          </cell>
          <cell r="D4249" t="str">
            <v>01</v>
          </cell>
          <cell r="E4249">
            <v>8</v>
          </cell>
          <cell r="G4249">
            <v>7994341</v>
          </cell>
          <cell r="H4249">
            <v>5930340</v>
          </cell>
          <cell r="I4249">
            <v>99163</v>
          </cell>
          <cell r="J4249">
            <v>75407</v>
          </cell>
          <cell r="K4249">
            <v>34979</v>
          </cell>
          <cell r="L4249">
            <v>75567</v>
          </cell>
          <cell r="M4249">
            <v>0</v>
          </cell>
          <cell r="N4249">
            <v>0</v>
          </cell>
          <cell r="O4249">
            <v>277383</v>
          </cell>
          <cell r="P4249">
            <v>670768</v>
          </cell>
          <cell r="Q4249">
            <v>0</v>
          </cell>
          <cell r="R4249">
            <v>0</v>
          </cell>
          <cell r="S4249">
            <v>0</v>
          </cell>
          <cell r="T4249">
            <v>0</v>
          </cell>
          <cell r="U4249">
            <v>0</v>
          </cell>
          <cell r="V4249">
            <v>0</v>
          </cell>
          <cell r="W4249">
            <v>0</v>
          </cell>
        </row>
        <row r="4250">
          <cell r="A4250" t="str">
            <v>450340</v>
          </cell>
          <cell r="B4250" t="str">
            <v>1254</v>
          </cell>
          <cell r="C4250" t="str">
            <v>12</v>
          </cell>
          <cell r="D4250" t="str">
            <v>01</v>
          </cell>
          <cell r="E4250">
            <v>15</v>
          </cell>
          <cell r="G4250">
            <v>0</v>
          </cell>
          <cell r="H4250">
            <v>0</v>
          </cell>
          <cell r="I4250">
            <v>8405866</v>
          </cell>
          <cell r="J4250">
            <v>6752082</v>
          </cell>
          <cell r="K4250">
            <v>126848</v>
          </cell>
          <cell r="L4250">
            <v>107946</v>
          </cell>
          <cell r="M4250">
            <v>0</v>
          </cell>
          <cell r="N4250">
            <v>0</v>
          </cell>
          <cell r="O4250">
            <v>108354</v>
          </cell>
          <cell r="P4250">
            <v>81468</v>
          </cell>
          <cell r="Q4250">
            <v>0</v>
          </cell>
          <cell r="R4250">
            <v>0</v>
          </cell>
          <cell r="S4250">
            <v>0</v>
          </cell>
          <cell r="T4250">
            <v>0</v>
          </cell>
          <cell r="U4250">
            <v>0</v>
          </cell>
          <cell r="V4250">
            <v>0</v>
          </cell>
          <cell r="W4250">
            <v>0</v>
          </cell>
        </row>
        <row r="4251">
          <cell r="A4251" t="str">
            <v>450340</v>
          </cell>
          <cell r="B4251" t="str">
            <v>1254</v>
          </cell>
          <cell r="C4251" t="str">
            <v>12</v>
          </cell>
          <cell r="D4251" t="str">
            <v>01</v>
          </cell>
          <cell r="E4251">
            <v>22</v>
          </cell>
          <cell r="G4251">
            <v>0</v>
          </cell>
          <cell r="H4251">
            <v>0</v>
          </cell>
          <cell r="I4251">
            <v>235202</v>
          </cell>
          <cell r="J4251">
            <v>189414</v>
          </cell>
          <cell r="K4251">
            <v>657156</v>
          </cell>
          <cell r="L4251">
            <v>2580879</v>
          </cell>
          <cell r="M4251">
            <v>0</v>
          </cell>
          <cell r="N4251">
            <v>0</v>
          </cell>
          <cell r="O4251">
            <v>0</v>
          </cell>
          <cell r="P4251">
            <v>0</v>
          </cell>
          <cell r="Q4251">
            <v>0</v>
          </cell>
          <cell r="R4251">
            <v>0</v>
          </cell>
          <cell r="S4251">
            <v>0</v>
          </cell>
          <cell r="T4251">
            <v>0</v>
          </cell>
          <cell r="U4251">
            <v>0</v>
          </cell>
          <cell r="V4251">
            <v>0</v>
          </cell>
          <cell r="W4251">
            <v>0</v>
          </cell>
        </row>
        <row r="4252">
          <cell r="A4252" t="str">
            <v>450340</v>
          </cell>
          <cell r="B4252" t="str">
            <v>1254</v>
          </cell>
          <cell r="C4252" t="str">
            <v>12</v>
          </cell>
          <cell r="D4252" t="str">
            <v>01</v>
          </cell>
          <cell r="E4252">
            <v>29</v>
          </cell>
          <cell r="G4252">
            <v>657156</v>
          </cell>
          <cell r="H4252">
            <v>2580879</v>
          </cell>
          <cell r="I4252">
            <v>9305647</v>
          </cell>
          <cell r="J4252">
            <v>9527839</v>
          </cell>
          <cell r="K4252">
            <v>0</v>
          </cell>
          <cell r="L4252">
            <v>0</v>
          </cell>
          <cell r="M4252">
            <v>0</v>
          </cell>
          <cell r="N4252">
            <v>0</v>
          </cell>
          <cell r="O4252">
            <v>0</v>
          </cell>
          <cell r="P4252">
            <v>0</v>
          </cell>
          <cell r="Q4252">
            <v>0</v>
          </cell>
          <cell r="R4252">
            <v>0</v>
          </cell>
          <cell r="S4252">
            <v>0</v>
          </cell>
          <cell r="T4252">
            <v>0</v>
          </cell>
          <cell r="U4252">
            <v>0</v>
          </cell>
          <cell r="V4252">
            <v>0</v>
          </cell>
          <cell r="W4252">
            <v>0</v>
          </cell>
        </row>
        <row r="4253">
          <cell r="A4253" t="str">
            <v>450340</v>
          </cell>
          <cell r="B4253" t="str">
            <v>1254</v>
          </cell>
          <cell r="C4253" t="str">
            <v>12</v>
          </cell>
          <cell r="D4253" t="str">
            <v>01</v>
          </cell>
          <cell r="E4253">
            <v>36</v>
          </cell>
          <cell r="G4253">
            <v>0</v>
          </cell>
          <cell r="H4253">
            <v>0</v>
          </cell>
          <cell r="I4253">
            <v>0</v>
          </cell>
          <cell r="J4253">
            <v>0</v>
          </cell>
          <cell r="K4253">
            <v>42687</v>
          </cell>
          <cell r="L4253">
            <v>46283</v>
          </cell>
          <cell r="M4253">
            <v>28889</v>
          </cell>
          <cell r="N4253">
            <v>32069</v>
          </cell>
          <cell r="O4253">
            <v>303</v>
          </cell>
          <cell r="P4253">
            <v>3163</v>
          </cell>
          <cell r="Q4253">
            <v>17997</v>
          </cell>
          <cell r="R4253">
            <v>32400</v>
          </cell>
          <cell r="S4253">
            <v>13184</v>
          </cell>
          <cell r="T4253">
            <v>0</v>
          </cell>
          <cell r="U4253">
            <v>0</v>
          </cell>
          <cell r="V4253">
            <v>0</v>
          </cell>
          <cell r="W4253">
            <v>0</v>
          </cell>
        </row>
        <row r="4254">
          <cell r="A4254" t="str">
            <v>450340</v>
          </cell>
          <cell r="B4254" t="str">
            <v>1254</v>
          </cell>
          <cell r="C4254" t="str">
            <v>12</v>
          </cell>
          <cell r="D4254" t="str">
            <v>01</v>
          </cell>
          <cell r="E4254">
            <v>43</v>
          </cell>
          <cell r="G4254">
            <v>0</v>
          </cell>
          <cell r="H4254">
            <v>11363</v>
          </cell>
          <cell r="I4254">
            <v>0</v>
          </cell>
          <cell r="J4254">
            <v>0</v>
          </cell>
          <cell r="K4254">
            <v>0</v>
          </cell>
          <cell r="L4254">
            <v>0</v>
          </cell>
          <cell r="M4254">
            <v>0</v>
          </cell>
          <cell r="N4254">
            <v>0</v>
          </cell>
          <cell r="O4254">
            <v>89876</v>
          </cell>
          <cell r="P4254">
            <v>113915</v>
          </cell>
          <cell r="Q4254">
            <v>0</v>
          </cell>
          <cell r="R4254">
            <v>0</v>
          </cell>
          <cell r="S4254">
            <v>0</v>
          </cell>
          <cell r="T4254">
            <v>0</v>
          </cell>
          <cell r="U4254">
            <v>0</v>
          </cell>
          <cell r="V4254">
            <v>0</v>
          </cell>
          <cell r="W4254">
            <v>0</v>
          </cell>
        </row>
        <row r="4255">
          <cell r="A4255" t="str">
            <v>450340</v>
          </cell>
          <cell r="B4255" t="str">
            <v>1254</v>
          </cell>
          <cell r="C4255" t="str">
            <v>12</v>
          </cell>
          <cell r="D4255" t="str">
            <v>01</v>
          </cell>
          <cell r="E4255">
            <v>50</v>
          </cell>
          <cell r="G4255">
            <v>0</v>
          </cell>
          <cell r="H4255">
            <v>0</v>
          </cell>
          <cell r="I4255">
            <v>60</v>
          </cell>
          <cell r="J4255">
            <v>303</v>
          </cell>
          <cell r="K4255">
            <v>253283</v>
          </cell>
          <cell r="L4255">
            <v>155713</v>
          </cell>
          <cell r="M4255">
            <v>0</v>
          </cell>
          <cell r="N4255">
            <v>0</v>
          </cell>
          <cell r="O4255">
            <v>11034</v>
          </cell>
          <cell r="P4255">
            <v>12788</v>
          </cell>
          <cell r="Q4255">
            <v>264377</v>
          </cell>
          <cell r="R4255">
            <v>168804</v>
          </cell>
          <cell r="S4255">
            <v>0</v>
          </cell>
          <cell r="T4255">
            <v>0</v>
          </cell>
          <cell r="U4255">
            <v>0</v>
          </cell>
          <cell r="V4255">
            <v>0</v>
          </cell>
          <cell r="W4255">
            <v>0</v>
          </cell>
        </row>
        <row r="4256">
          <cell r="A4256" t="str">
            <v>450340</v>
          </cell>
          <cell r="B4256" t="str">
            <v>1254</v>
          </cell>
          <cell r="C4256" t="str">
            <v>12</v>
          </cell>
          <cell r="D4256" t="str">
            <v>01</v>
          </cell>
          <cell r="E4256">
            <v>57</v>
          </cell>
          <cell r="G4256">
            <v>15475</v>
          </cell>
          <cell r="H4256">
            <v>18253</v>
          </cell>
          <cell r="I4256">
            <v>0</v>
          </cell>
          <cell r="J4256">
            <v>0</v>
          </cell>
          <cell r="K4256">
            <v>0</v>
          </cell>
          <cell r="L4256">
            <v>0</v>
          </cell>
          <cell r="M4256">
            <v>15475</v>
          </cell>
          <cell r="N4256">
            <v>18253</v>
          </cell>
          <cell r="O4256">
            <v>369728</v>
          </cell>
          <cell r="P4256">
            <v>300972</v>
          </cell>
          <cell r="Q4256">
            <v>9675375</v>
          </cell>
          <cell r="R4256">
            <v>9828811</v>
          </cell>
          <cell r="S4256">
            <v>598688</v>
          </cell>
          <cell r="T4256">
            <v>598688</v>
          </cell>
          <cell r="U4256">
            <v>0</v>
          </cell>
          <cell r="V4256">
            <v>0</v>
          </cell>
          <cell r="W4256">
            <v>0</v>
          </cell>
        </row>
        <row r="4257">
          <cell r="A4257" t="str">
            <v>450340</v>
          </cell>
          <cell r="B4257" t="str">
            <v>1254</v>
          </cell>
          <cell r="C4257" t="str">
            <v>12</v>
          </cell>
          <cell r="D4257" t="str">
            <v>01</v>
          </cell>
          <cell r="E4257">
            <v>64</v>
          </cell>
          <cell r="G4257">
            <v>7327374</v>
          </cell>
          <cell r="H4257">
            <v>7464991</v>
          </cell>
          <cell r="I4257">
            <v>0</v>
          </cell>
          <cell r="J4257">
            <v>0</v>
          </cell>
          <cell r="K4257">
            <v>7926062</v>
          </cell>
          <cell r="L4257">
            <v>8063679</v>
          </cell>
          <cell r="M4257">
            <v>72997</v>
          </cell>
          <cell r="N4257">
            <v>9706</v>
          </cell>
          <cell r="O4257">
            <v>72997</v>
          </cell>
          <cell r="P4257">
            <v>9706</v>
          </cell>
          <cell r="Q4257">
            <v>0</v>
          </cell>
          <cell r="R4257">
            <v>0</v>
          </cell>
          <cell r="S4257">
            <v>0</v>
          </cell>
          <cell r="T4257">
            <v>0</v>
          </cell>
          <cell r="U4257">
            <v>0</v>
          </cell>
          <cell r="V4257">
            <v>0</v>
          </cell>
          <cell r="W4257">
            <v>0</v>
          </cell>
        </row>
        <row r="4258">
          <cell r="A4258" t="str">
            <v>450340</v>
          </cell>
          <cell r="B4258" t="str">
            <v>1254</v>
          </cell>
          <cell r="C4258" t="str">
            <v>12</v>
          </cell>
          <cell r="D4258" t="str">
            <v>01</v>
          </cell>
          <cell r="E4258">
            <v>71</v>
          </cell>
          <cell r="G4258">
            <v>0</v>
          </cell>
          <cell r="H4258">
            <v>0</v>
          </cell>
          <cell r="I4258">
            <v>0</v>
          </cell>
          <cell r="J4258">
            <v>0</v>
          </cell>
          <cell r="K4258">
            <v>0</v>
          </cell>
          <cell r="L4258">
            <v>0</v>
          </cell>
          <cell r="M4258">
            <v>72997</v>
          </cell>
          <cell r="N4258">
            <v>9706</v>
          </cell>
          <cell r="O4258">
            <v>0</v>
          </cell>
          <cell r="P4258">
            <v>0</v>
          </cell>
          <cell r="Q4258">
            <v>0</v>
          </cell>
          <cell r="R4258">
            <v>0</v>
          </cell>
          <cell r="S4258">
            <v>0</v>
          </cell>
          <cell r="T4258">
            <v>0</v>
          </cell>
          <cell r="U4258">
            <v>0</v>
          </cell>
          <cell r="V4258">
            <v>0</v>
          </cell>
          <cell r="W4258">
            <v>0</v>
          </cell>
        </row>
        <row r="4259">
          <cell r="A4259" t="str">
            <v>450340</v>
          </cell>
          <cell r="B4259" t="str">
            <v>1254</v>
          </cell>
          <cell r="C4259" t="str">
            <v>12</v>
          </cell>
          <cell r="D4259" t="str">
            <v>01</v>
          </cell>
          <cell r="E4259">
            <v>78</v>
          </cell>
          <cell r="G4259">
            <v>0</v>
          </cell>
          <cell r="H4259">
            <v>0</v>
          </cell>
          <cell r="I4259">
            <v>0</v>
          </cell>
          <cell r="J4259">
            <v>0</v>
          </cell>
          <cell r="K4259">
            <v>0</v>
          </cell>
          <cell r="L4259">
            <v>0</v>
          </cell>
          <cell r="M4259">
            <v>0</v>
          </cell>
          <cell r="N4259">
            <v>0</v>
          </cell>
          <cell r="O4259">
            <v>72997</v>
          </cell>
          <cell r="P4259">
            <v>9706</v>
          </cell>
          <cell r="Q4259">
            <v>0</v>
          </cell>
          <cell r="R4259">
            <v>0</v>
          </cell>
          <cell r="S4259">
            <v>0</v>
          </cell>
          <cell r="T4259">
            <v>0</v>
          </cell>
          <cell r="U4259">
            <v>0</v>
          </cell>
          <cell r="V4259">
            <v>0</v>
          </cell>
          <cell r="W4259">
            <v>0</v>
          </cell>
        </row>
        <row r="4260">
          <cell r="A4260" t="str">
            <v>450340</v>
          </cell>
          <cell r="B4260" t="str">
            <v>1254</v>
          </cell>
          <cell r="C4260" t="str">
            <v>12</v>
          </cell>
          <cell r="D4260" t="str">
            <v>01</v>
          </cell>
          <cell r="E4260">
            <v>85</v>
          </cell>
          <cell r="G4260">
            <v>0</v>
          </cell>
          <cell r="H4260">
            <v>0</v>
          </cell>
          <cell r="I4260">
            <v>145840</v>
          </cell>
          <cell r="J4260">
            <v>99752</v>
          </cell>
          <cell r="K4260">
            <v>0</v>
          </cell>
          <cell r="L4260">
            <v>0</v>
          </cell>
          <cell r="M4260">
            <v>941794</v>
          </cell>
          <cell r="N4260">
            <v>910580</v>
          </cell>
          <cell r="O4260">
            <v>1087634</v>
          </cell>
          <cell r="P4260">
            <v>1010332</v>
          </cell>
          <cell r="Q4260">
            <v>0</v>
          </cell>
          <cell r="R4260">
            <v>0</v>
          </cell>
          <cell r="S4260">
            <v>216136</v>
          </cell>
          <cell r="T4260">
            <v>151092</v>
          </cell>
          <cell r="U4260">
            <v>0</v>
          </cell>
          <cell r="V4260">
            <v>0</v>
          </cell>
          <cell r="W4260">
            <v>0</v>
          </cell>
        </row>
        <row r="4261">
          <cell r="A4261" t="str">
            <v>450340</v>
          </cell>
          <cell r="B4261" t="str">
            <v>1254</v>
          </cell>
          <cell r="C4261" t="str">
            <v>12</v>
          </cell>
          <cell r="D4261" t="str">
            <v>01</v>
          </cell>
          <cell r="E4261">
            <v>92</v>
          </cell>
          <cell r="G4261">
            <v>8236</v>
          </cell>
          <cell r="H4261">
            <v>292368</v>
          </cell>
          <cell r="I4261">
            <v>0</v>
          </cell>
          <cell r="J4261">
            <v>9681</v>
          </cell>
          <cell r="K4261">
            <v>8236</v>
          </cell>
          <cell r="L4261">
            <v>282687</v>
          </cell>
          <cell r="M4261">
            <v>157455</v>
          </cell>
          <cell r="N4261">
            <v>124283</v>
          </cell>
          <cell r="O4261">
            <v>0</v>
          </cell>
          <cell r="P4261">
            <v>0</v>
          </cell>
          <cell r="Q4261">
            <v>0</v>
          </cell>
          <cell r="R4261">
            <v>0</v>
          </cell>
          <cell r="S4261">
            <v>0</v>
          </cell>
          <cell r="T4261">
            <v>0</v>
          </cell>
          <cell r="U4261">
            <v>0</v>
          </cell>
          <cell r="V4261">
            <v>0</v>
          </cell>
          <cell r="W4261">
            <v>0</v>
          </cell>
        </row>
        <row r="4262">
          <cell r="A4262" t="str">
            <v>450340</v>
          </cell>
          <cell r="B4262" t="str">
            <v>1254</v>
          </cell>
          <cell r="C4262" t="str">
            <v>12</v>
          </cell>
          <cell r="D4262" t="str">
            <v>01</v>
          </cell>
          <cell r="E4262">
            <v>99</v>
          </cell>
          <cell r="G4262">
            <v>52275</v>
          </cell>
          <cell r="H4262">
            <v>79846</v>
          </cell>
          <cell r="I4262">
            <v>18242</v>
          </cell>
          <cell r="J4262">
            <v>15081</v>
          </cell>
          <cell r="K4262">
            <v>0</v>
          </cell>
          <cell r="L4262">
            <v>0</v>
          </cell>
          <cell r="M4262">
            <v>0</v>
          </cell>
          <cell r="N4262">
            <v>0</v>
          </cell>
          <cell r="O4262">
            <v>0</v>
          </cell>
          <cell r="P4262">
            <v>0</v>
          </cell>
          <cell r="Q4262">
            <v>0</v>
          </cell>
          <cell r="R4262">
            <v>0</v>
          </cell>
          <cell r="S4262">
            <v>0</v>
          </cell>
          <cell r="T4262">
            <v>0</v>
          </cell>
          <cell r="U4262">
            <v>0</v>
          </cell>
          <cell r="V4262">
            <v>0</v>
          </cell>
          <cell r="W4262">
            <v>0</v>
          </cell>
        </row>
        <row r="4263">
          <cell r="A4263" t="str">
            <v>450340</v>
          </cell>
          <cell r="B4263" t="str">
            <v>1254</v>
          </cell>
          <cell r="C4263" t="str">
            <v>12</v>
          </cell>
          <cell r="D4263" t="str">
            <v>01</v>
          </cell>
          <cell r="E4263">
            <v>106</v>
          </cell>
          <cell r="G4263">
            <v>0</v>
          </cell>
          <cell r="H4263">
            <v>0</v>
          </cell>
          <cell r="I4263">
            <v>81860</v>
          </cell>
          <cell r="J4263">
            <v>25123</v>
          </cell>
          <cell r="K4263">
            <v>0</v>
          </cell>
          <cell r="L4263">
            <v>0</v>
          </cell>
          <cell r="M4263">
            <v>4330</v>
          </cell>
          <cell r="N4263">
            <v>1111</v>
          </cell>
          <cell r="O4263">
            <v>695</v>
          </cell>
          <cell r="P4263">
            <v>3122</v>
          </cell>
          <cell r="Q4263">
            <v>53</v>
          </cell>
          <cell r="R4263">
            <v>0</v>
          </cell>
          <cell r="S4263">
            <v>0</v>
          </cell>
          <cell r="T4263">
            <v>0</v>
          </cell>
          <cell r="U4263">
            <v>0</v>
          </cell>
          <cell r="V4263">
            <v>0</v>
          </cell>
          <cell r="W4263">
            <v>0</v>
          </cell>
        </row>
        <row r="4264">
          <cell r="A4264" t="str">
            <v>450340</v>
          </cell>
          <cell r="B4264" t="str">
            <v>1254</v>
          </cell>
          <cell r="C4264" t="str">
            <v>12</v>
          </cell>
          <cell r="D4264" t="str">
            <v>01</v>
          </cell>
          <cell r="E4264">
            <v>113</v>
          </cell>
          <cell r="G4264">
            <v>381827</v>
          </cell>
          <cell r="H4264">
            <v>567743</v>
          </cell>
          <cell r="I4264">
            <v>168760</v>
          </cell>
          <cell r="J4264">
            <v>163431</v>
          </cell>
          <cell r="K4264">
            <v>43</v>
          </cell>
          <cell r="L4264">
            <v>1132</v>
          </cell>
          <cell r="M4264">
            <v>27018</v>
          </cell>
          <cell r="N4264">
            <v>0</v>
          </cell>
          <cell r="O4264">
            <v>11034</v>
          </cell>
          <cell r="P4264">
            <v>12788</v>
          </cell>
          <cell r="Q4264">
            <v>10147</v>
          </cell>
          <cell r="R4264">
            <v>12094</v>
          </cell>
          <cell r="S4264">
            <v>0</v>
          </cell>
          <cell r="T4264">
            <v>0</v>
          </cell>
          <cell r="U4264">
            <v>0</v>
          </cell>
          <cell r="V4264">
            <v>0</v>
          </cell>
          <cell r="W4264">
            <v>0</v>
          </cell>
        </row>
        <row r="4265">
          <cell r="A4265" t="str">
            <v>450340</v>
          </cell>
          <cell r="B4265" t="str">
            <v>1254</v>
          </cell>
          <cell r="C4265" t="str">
            <v>12</v>
          </cell>
          <cell r="D4265" t="str">
            <v>01</v>
          </cell>
          <cell r="E4265">
            <v>120</v>
          </cell>
          <cell r="G4265">
            <v>206855</v>
          </cell>
          <cell r="H4265">
            <v>177351</v>
          </cell>
          <cell r="I4265">
            <v>1676316</v>
          </cell>
          <cell r="J4265">
            <v>1755426</v>
          </cell>
          <cell r="K4265">
            <v>9675375</v>
          </cell>
          <cell r="L4265">
            <v>9828811</v>
          </cell>
          <cell r="M4265">
            <v>0</v>
          </cell>
          <cell r="N4265">
            <v>0</v>
          </cell>
          <cell r="O4265">
            <v>0</v>
          </cell>
          <cell r="P4265">
            <v>0</v>
          </cell>
          <cell r="Q4265">
            <v>0</v>
          </cell>
          <cell r="R4265">
            <v>0</v>
          </cell>
          <cell r="S4265">
            <v>0</v>
          </cell>
          <cell r="T4265">
            <v>0</v>
          </cell>
          <cell r="U4265">
            <v>0</v>
          </cell>
          <cell r="V4265">
            <v>0</v>
          </cell>
          <cell r="W4265">
            <v>0</v>
          </cell>
        </row>
        <row r="4266">
          <cell r="A4266" t="str">
            <v>450340</v>
          </cell>
          <cell r="B4266" t="str">
            <v>1254</v>
          </cell>
          <cell r="C4266" t="str">
            <v>12</v>
          </cell>
          <cell r="D4266" t="str">
            <v>02</v>
          </cell>
          <cell r="E4266">
            <v>1</v>
          </cell>
          <cell r="G4266">
            <v>340725</v>
          </cell>
          <cell r="H4266">
            <v>337591</v>
          </cell>
          <cell r="I4266">
            <v>309982</v>
          </cell>
          <cell r="J4266">
            <v>10800</v>
          </cell>
          <cell r="K4266">
            <v>10800</v>
          </cell>
          <cell r="L4266">
            <v>11450</v>
          </cell>
          <cell r="M4266">
            <v>5642</v>
          </cell>
          <cell r="N4266">
            <v>5732</v>
          </cell>
          <cell r="O4266">
            <v>4480</v>
          </cell>
          <cell r="P4266">
            <v>19825</v>
          </cell>
          <cell r="Q4266">
            <v>19895</v>
          </cell>
          <cell r="R4266">
            <v>23888</v>
          </cell>
          <cell r="S4266">
            <v>15912</v>
          </cell>
          <cell r="T4266">
            <v>15912</v>
          </cell>
          <cell r="U4266">
            <v>659</v>
          </cell>
          <cell r="V4266">
            <v>0</v>
          </cell>
          <cell r="W4266">
            <v>0</v>
          </cell>
        </row>
        <row r="4267">
          <cell r="A4267" t="str">
            <v>450340</v>
          </cell>
          <cell r="B4267" t="str">
            <v>1254</v>
          </cell>
          <cell r="C4267" t="str">
            <v>12</v>
          </cell>
          <cell r="D4267" t="str">
            <v>02</v>
          </cell>
          <cell r="E4267">
            <v>6</v>
          </cell>
          <cell r="G4267">
            <v>0</v>
          </cell>
          <cell r="H4267">
            <v>0</v>
          </cell>
          <cell r="I4267">
            <v>0</v>
          </cell>
          <cell r="J4267">
            <v>392904</v>
          </cell>
          <cell r="K4267">
            <v>389930</v>
          </cell>
          <cell r="L4267">
            <v>350459</v>
          </cell>
          <cell r="M4267">
            <v>43608</v>
          </cell>
          <cell r="N4267">
            <v>52708</v>
          </cell>
          <cell r="O4267">
            <v>52780</v>
          </cell>
          <cell r="P4267">
            <v>436512</v>
          </cell>
          <cell r="Q4267">
            <v>442638</v>
          </cell>
          <cell r="R4267">
            <v>403239</v>
          </cell>
          <cell r="S4267">
            <v>3500</v>
          </cell>
          <cell r="T4267">
            <v>9545</v>
          </cell>
          <cell r="U4267">
            <v>10325</v>
          </cell>
          <cell r="V4267">
            <v>0</v>
          </cell>
          <cell r="W4267">
            <v>0</v>
          </cell>
        </row>
        <row r="4268">
          <cell r="A4268" t="str">
            <v>450340</v>
          </cell>
          <cell r="B4268" t="str">
            <v>1254</v>
          </cell>
          <cell r="C4268" t="str">
            <v>12</v>
          </cell>
          <cell r="D4268" t="str">
            <v>02</v>
          </cell>
          <cell r="E4268">
            <v>11</v>
          </cell>
          <cell r="G4268">
            <v>0</v>
          </cell>
          <cell r="H4268">
            <v>0</v>
          </cell>
          <cell r="I4268">
            <v>0</v>
          </cell>
          <cell r="J4268">
            <v>0</v>
          </cell>
          <cell r="K4268">
            <v>0</v>
          </cell>
          <cell r="L4268">
            <v>10068</v>
          </cell>
          <cell r="M4268">
            <v>0</v>
          </cell>
          <cell r="N4268">
            <v>3980</v>
          </cell>
          <cell r="O4268">
            <v>8324</v>
          </cell>
          <cell r="P4268">
            <v>3500</v>
          </cell>
          <cell r="Q4268">
            <v>13525</v>
          </cell>
          <cell r="R4268">
            <v>28717</v>
          </cell>
          <cell r="S4268">
            <v>0</v>
          </cell>
          <cell r="T4268">
            <v>0</v>
          </cell>
          <cell r="U4268">
            <v>79</v>
          </cell>
          <cell r="V4268">
            <v>0</v>
          </cell>
          <cell r="W4268">
            <v>0</v>
          </cell>
        </row>
        <row r="4269">
          <cell r="A4269" t="str">
            <v>450340</v>
          </cell>
          <cell r="B4269" t="str">
            <v>1254</v>
          </cell>
          <cell r="C4269" t="str">
            <v>12</v>
          </cell>
          <cell r="D4269" t="str">
            <v>02</v>
          </cell>
          <cell r="E4269">
            <v>16</v>
          </cell>
          <cell r="G4269">
            <v>3500</v>
          </cell>
          <cell r="H4269">
            <v>13525</v>
          </cell>
          <cell r="I4269">
            <v>28796</v>
          </cell>
          <cell r="J4269">
            <v>0</v>
          </cell>
          <cell r="K4269">
            <v>0</v>
          </cell>
          <cell r="L4269">
            <v>0</v>
          </cell>
          <cell r="M4269">
            <v>7238</v>
          </cell>
          <cell r="N4269">
            <v>7538</v>
          </cell>
          <cell r="O4269">
            <v>2005</v>
          </cell>
          <cell r="P4269">
            <v>8423</v>
          </cell>
          <cell r="Q4269">
            <v>8423</v>
          </cell>
          <cell r="R4269">
            <v>9970</v>
          </cell>
          <cell r="S4269">
            <v>400</v>
          </cell>
          <cell r="T4269">
            <v>0</v>
          </cell>
          <cell r="U4269">
            <v>0</v>
          </cell>
          <cell r="V4269">
            <v>0</v>
          </cell>
          <cell r="W4269">
            <v>0</v>
          </cell>
        </row>
        <row r="4270">
          <cell r="A4270" t="str">
            <v>450340</v>
          </cell>
          <cell r="B4270" t="str">
            <v>1254</v>
          </cell>
          <cell r="C4270" t="str">
            <v>12</v>
          </cell>
          <cell r="D4270" t="str">
            <v>02</v>
          </cell>
          <cell r="E4270">
            <v>21</v>
          </cell>
          <cell r="G4270">
            <v>1080</v>
          </cell>
          <cell r="H4270">
            <v>1080</v>
          </cell>
          <cell r="I4270">
            <v>1054</v>
          </cell>
          <cell r="J4270">
            <v>570</v>
          </cell>
          <cell r="K4270">
            <v>2020</v>
          </cell>
          <cell r="L4270">
            <v>3484</v>
          </cell>
          <cell r="M4270">
            <v>17711</v>
          </cell>
          <cell r="N4270">
            <v>19061</v>
          </cell>
          <cell r="O4270">
            <v>16513</v>
          </cell>
          <cell r="P4270">
            <v>0</v>
          </cell>
          <cell r="Q4270">
            <v>1200</v>
          </cell>
          <cell r="R4270">
            <v>1149</v>
          </cell>
          <cell r="S4270">
            <v>17711</v>
          </cell>
          <cell r="T4270">
            <v>20261</v>
          </cell>
          <cell r="U4270">
            <v>17662</v>
          </cell>
          <cell r="V4270">
            <v>0</v>
          </cell>
          <cell r="W4270">
            <v>0</v>
          </cell>
        </row>
        <row r="4271">
          <cell r="A4271" t="str">
            <v>450340</v>
          </cell>
          <cell r="B4271" t="str">
            <v>1254</v>
          </cell>
          <cell r="C4271" t="str">
            <v>12</v>
          </cell>
          <cell r="D4271" t="str">
            <v>02</v>
          </cell>
          <cell r="E4271">
            <v>26</v>
          </cell>
          <cell r="G4271">
            <v>13632</v>
          </cell>
          <cell r="H4271">
            <v>13042</v>
          </cell>
          <cell r="I4271">
            <v>13011</v>
          </cell>
          <cell r="J4271">
            <v>0</v>
          </cell>
          <cell r="K4271">
            <v>0</v>
          </cell>
          <cell r="L4271">
            <v>0</v>
          </cell>
          <cell r="M4271">
            <v>3900</v>
          </cell>
          <cell r="N4271">
            <v>4300</v>
          </cell>
          <cell r="O4271">
            <v>2423</v>
          </cell>
          <cell r="P4271">
            <v>9072</v>
          </cell>
          <cell r="Q4271">
            <v>8856</v>
          </cell>
          <cell r="R4271">
            <v>8281</v>
          </cell>
          <cell r="S4271">
            <v>10758</v>
          </cell>
          <cell r="T4271">
            <v>4968</v>
          </cell>
          <cell r="U4271">
            <v>2380</v>
          </cell>
          <cell r="V4271">
            <v>0</v>
          </cell>
          <cell r="W4271">
            <v>0</v>
          </cell>
        </row>
        <row r="4272">
          <cell r="A4272" t="str">
            <v>450340</v>
          </cell>
          <cell r="B4272" t="str">
            <v>1254</v>
          </cell>
          <cell r="C4272" t="str">
            <v>12</v>
          </cell>
          <cell r="D4272" t="str">
            <v>02</v>
          </cell>
          <cell r="E4272">
            <v>31</v>
          </cell>
          <cell r="G4272">
            <v>37362</v>
          </cell>
          <cell r="H4272">
            <v>31166</v>
          </cell>
          <cell r="I4272">
            <v>26095</v>
          </cell>
          <cell r="J4272">
            <v>0</v>
          </cell>
          <cell r="K4272">
            <v>0</v>
          </cell>
          <cell r="L4272">
            <v>24</v>
          </cell>
          <cell r="M4272">
            <v>37362</v>
          </cell>
          <cell r="N4272">
            <v>31166</v>
          </cell>
          <cell r="O4272">
            <v>26119</v>
          </cell>
          <cell r="P4272">
            <v>1590</v>
          </cell>
          <cell r="Q4272">
            <v>1590</v>
          </cell>
          <cell r="R4272">
            <v>1743</v>
          </cell>
          <cell r="S4272">
            <v>0</v>
          </cell>
          <cell r="T4272">
            <v>0</v>
          </cell>
          <cell r="U4272">
            <v>0</v>
          </cell>
          <cell r="V4272">
            <v>0</v>
          </cell>
          <cell r="W4272">
            <v>0</v>
          </cell>
        </row>
        <row r="4273">
          <cell r="A4273" t="str">
            <v>450340</v>
          </cell>
          <cell r="B4273" t="str">
            <v>1254</v>
          </cell>
          <cell r="C4273" t="str">
            <v>12</v>
          </cell>
          <cell r="D4273" t="str">
            <v>02</v>
          </cell>
          <cell r="E4273">
            <v>36</v>
          </cell>
          <cell r="G4273">
            <v>1590</v>
          </cell>
          <cell r="H4273">
            <v>1590</v>
          </cell>
          <cell r="I4273">
            <v>1743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60163</v>
          </cell>
          <cell r="T4273">
            <v>65342</v>
          </cell>
          <cell r="U4273">
            <v>73068</v>
          </cell>
          <cell r="V4273">
            <v>0</v>
          </cell>
          <cell r="W4273">
            <v>0</v>
          </cell>
        </row>
        <row r="4274">
          <cell r="A4274" t="str">
            <v>450340</v>
          </cell>
          <cell r="B4274" t="str">
            <v>1254</v>
          </cell>
          <cell r="C4274" t="str">
            <v>12</v>
          </cell>
          <cell r="D4274" t="str">
            <v>02</v>
          </cell>
          <cell r="E4274">
            <v>41</v>
          </cell>
          <cell r="G4274">
            <v>0</v>
          </cell>
          <cell r="H4274">
            <v>1200</v>
          </cell>
          <cell r="I4274">
            <v>1252</v>
          </cell>
          <cell r="J4274">
            <v>60163</v>
          </cell>
          <cell r="K4274">
            <v>66542</v>
          </cell>
          <cell r="L4274">
            <v>74320</v>
          </cell>
          <cell r="M4274">
            <v>32784</v>
          </cell>
          <cell r="N4274">
            <v>40464</v>
          </cell>
          <cell r="O4274">
            <v>37595</v>
          </cell>
          <cell r="P4274">
            <v>0</v>
          </cell>
          <cell r="Q4274">
            <v>0</v>
          </cell>
          <cell r="R4274">
            <v>0</v>
          </cell>
          <cell r="S4274">
            <v>0</v>
          </cell>
          <cell r="T4274">
            <v>0</v>
          </cell>
          <cell r="U4274">
            <v>0</v>
          </cell>
          <cell r="V4274">
            <v>0</v>
          </cell>
          <cell r="W4274">
            <v>0</v>
          </cell>
        </row>
        <row r="4275">
          <cell r="A4275" t="str">
            <v>450340</v>
          </cell>
          <cell r="B4275" t="str">
            <v>1254</v>
          </cell>
          <cell r="C4275" t="str">
            <v>12</v>
          </cell>
          <cell r="D4275" t="str">
            <v>02</v>
          </cell>
          <cell r="E4275">
            <v>46</v>
          </cell>
          <cell r="G4275">
            <v>0</v>
          </cell>
          <cell r="H4275">
            <v>0</v>
          </cell>
          <cell r="I4275">
            <v>0</v>
          </cell>
          <cell r="J4275">
            <v>0</v>
          </cell>
          <cell r="K4275">
            <v>0</v>
          </cell>
          <cell r="L4275">
            <v>0</v>
          </cell>
          <cell r="M4275">
            <v>0</v>
          </cell>
          <cell r="N4275">
            <v>0</v>
          </cell>
          <cell r="O4275">
            <v>0</v>
          </cell>
          <cell r="P4275">
            <v>32784</v>
          </cell>
          <cell r="Q4275">
            <v>40464</v>
          </cell>
          <cell r="R4275">
            <v>37595</v>
          </cell>
          <cell r="S4275">
            <v>529459</v>
          </cell>
          <cell r="T4275">
            <v>549644</v>
          </cell>
          <cell r="U4275">
            <v>515154</v>
          </cell>
          <cell r="V4275">
            <v>0</v>
          </cell>
          <cell r="W4275">
            <v>0</v>
          </cell>
        </row>
        <row r="4276">
          <cell r="A4276" t="str">
            <v>450340</v>
          </cell>
          <cell r="B4276" t="str">
            <v>1254</v>
          </cell>
          <cell r="C4276" t="str">
            <v>12</v>
          </cell>
          <cell r="D4276" t="str">
            <v>02</v>
          </cell>
          <cell r="E4276">
            <v>51</v>
          </cell>
          <cell r="G4276">
            <v>143896</v>
          </cell>
          <cell r="H4276">
            <v>149862</v>
          </cell>
          <cell r="I4276">
            <v>144479</v>
          </cell>
          <cell r="J4276">
            <v>14777</v>
          </cell>
          <cell r="K4276">
            <v>15342</v>
          </cell>
          <cell r="L4276">
            <v>13580</v>
          </cell>
          <cell r="M4276">
            <v>4003</v>
          </cell>
          <cell r="N4276">
            <v>5412</v>
          </cell>
          <cell r="O4276">
            <v>5525</v>
          </cell>
          <cell r="P4276">
            <v>900</v>
          </cell>
          <cell r="Q4276">
            <v>979</v>
          </cell>
          <cell r="R4276">
            <v>2393</v>
          </cell>
          <cell r="S4276">
            <v>0</v>
          </cell>
          <cell r="T4276">
            <v>0</v>
          </cell>
          <cell r="U4276">
            <v>0</v>
          </cell>
          <cell r="V4276">
            <v>0</v>
          </cell>
          <cell r="W4276">
            <v>0</v>
          </cell>
        </row>
        <row r="4277">
          <cell r="A4277" t="str">
            <v>450340</v>
          </cell>
          <cell r="B4277" t="str">
            <v>1254</v>
          </cell>
          <cell r="C4277" t="str">
            <v>12</v>
          </cell>
          <cell r="D4277" t="str">
            <v>02</v>
          </cell>
          <cell r="E4277">
            <v>56</v>
          </cell>
          <cell r="G4277">
            <v>0</v>
          </cell>
          <cell r="H4277">
            <v>0</v>
          </cell>
          <cell r="I4277">
            <v>0</v>
          </cell>
          <cell r="J4277">
            <v>163576</v>
          </cell>
          <cell r="K4277">
            <v>171595</v>
          </cell>
          <cell r="L4277">
            <v>165977</v>
          </cell>
          <cell r="M4277">
            <v>0</v>
          </cell>
          <cell r="N4277">
            <v>0</v>
          </cell>
          <cell r="O4277">
            <v>0</v>
          </cell>
          <cell r="P4277">
            <v>0</v>
          </cell>
          <cell r="Q4277">
            <v>0</v>
          </cell>
          <cell r="R4277">
            <v>0</v>
          </cell>
          <cell r="S4277">
            <v>0</v>
          </cell>
          <cell r="T4277">
            <v>0</v>
          </cell>
          <cell r="U4277">
            <v>0</v>
          </cell>
          <cell r="V4277">
            <v>0</v>
          </cell>
          <cell r="W4277">
            <v>0</v>
          </cell>
        </row>
        <row r="4278">
          <cell r="A4278" t="str">
            <v>450340</v>
          </cell>
          <cell r="B4278" t="str">
            <v>1254</v>
          </cell>
          <cell r="C4278" t="str">
            <v>12</v>
          </cell>
          <cell r="D4278" t="str">
            <v>03</v>
          </cell>
          <cell r="E4278">
            <v>1</v>
          </cell>
          <cell r="G4278">
            <v>50</v>
          </cell>
          <cell r="H4278">
            <v>50</v>
          </cell>
          <cell r="I4278">
            <v>0</v>
          </cell>
          <cell r="J4278">
            <v>30</v>
          </cell>
          <cell r="K4278">
            <v>30</v>
          </cell>
          <cell r="L4278">
            <v>43</v>
          </cell>
          <cell r="M4278">
            <v>0</v>
          </cell>
          <cell r="N4278">
            <v>0</v>
          </cell>
          <cell r="O4278">
            <v>0</v>
          </cell>
          <cell r="P4278">
            <v>5914</v>
          </cell>
          <cell r="Q4278">
            <v>6534</v>
          </cell>
          <cell r="R4278">
            <v>6825</v>
          </cell>
          <cell r="S4278">
            <v>565</v>
          </cell>
          <cell r="T4278">
            <v>775</v>
          </cell>
          <cell r="U4278">
            <v>1043</v>
          </cell>
          <cell r="V4278">
            <v>0</v>
          </cell>
          <cell r="W4278">
            <v>0</v>
          </cell>
        </row>
        <row r="4279">
          <cell r="A4279" t="str">
            <v>450340</v>
          </cell>
          <cell r="B4279" t="str">
            <v>1254</v>
          </cell>
          <cell r="C4279" t="str">
            <v>12</v>
          </cell>
          <cell r="D4279" t="str">
            <v>03</v>
          </cell>
          <cell r="E4279">
            <v>6</v>
          </cell>
          <cell r="G4279">
            <v>2013</v>
          </cell>
          <cell r="H4279">
            <v>2013</v>
          </cell>
          <cell r="I4279">
            <v>2275</v>
          </cell>
          <cell r="J4279">
            <v>40</v>
          </cell>
          <cell r="K4279">
            <v>40</v>
          </cell>
          <cell r="L4279">
            <v>634</v>
          </cell>
          <cell r="M4279">
            <v>0</v>
          </cell>
          <cell r="N4279">
            <v>0</v>
          </cell>
          <cell r="O4279">
            <v>3</v>
          </cell>
          <cell r="P4279">
            <v>4281</v>
          </cell>
          <cell r="Q4279">
            <v>4322</v>
          </cell>
          <cell r="R4279">
            <v>5128</v>
          </cell>
          <cell r="S4279">
            <v>370</v>
          </cell>
          <cell r="T4279">
            <v>370</v>
          </cell>
          <cell r="U4279">
            <v>1401</v>
          </cell>
          <cell r="V4279">
            <v>0</v>
          </cell>
          <cell r="W4279">
            <v>0</v>
          </cell>
        </row>
        <row r="4280">
          <cell r="A4280" t="str">
            <v>450340</v>
          </cell>
          <cell r="B4280" t="str">
            <v>1254</v>
          </cell>
          <cell r="C4280" t="str">
            <v>12</v>
          </cell>
          <cell r="D4280" t="str">
            <v>03</v>
          </cell>
          <cell r="E4280">
            <v>11</v>
          </cell>
          <cell r="G4280">
            <v>2698</v>
          </cell>
          <cell r="H4280">
            <v>5603</v>
          </cell>
          <cell r="I4280">
            <v>4089</v>
          </cell>
          <cell r="J4280">
            <v>858</v>
          </cell>
          <cell r="K4280">
            <v>858</v>
          </cell>
          <cell r="L4280">
            <v>613</v>
          </cell>
          <cell r="M4280">
            <v>2001</v>
          </cell>
          <cell r="N4280">
            <v>2001</v>
          </cell>
          <cell r="O4280">
            <v>1598</v>
          </cell>
          <cell r="P4280">
            <v>18820</v>
          </cell>
          <cell r="Q4280">
            <v>22596</v>
          </cell>
          <cell r="R4280">
            <v>23652</v>
          </cell>
          <cell r="S4280">
            <v>11711</v>
          </cell>
          <cell r="T4280">
            <v>15976</v>
          </cell>
          <cell r="U4280">
            <v>13448</v>
          </cell>
          <cell r="V4280">
            <v>0</v>
          </cell>
          <cell r="W4280">
            <v>0</v>
          </cell>
        </row>
        <row r="4281">
          <cell r="A4281" t="str">
            <v>450340</v>
          </cell>
          <cell r="B4281" t="str">
            <v>1254</v>
          </cell>
          <cell r="C4281" t="str">
            <v>12</v>
          </cell>
          <cell r="D4281" t="str">
            <v>03</v>
          </cell>
          <cell r="E4281">
            <v>16</v>
          </cell>
          <cell r="G4281">
            <v>707</v>
          </cell>
          <cell r="H4281">
            <v>707</v>
          </cell>
          <cell r="I4281">
            <v>442</v>
          </cell>
          <cell r="J4281">
            <v>0</v>
          </cell>
          <cell r="K4281">
            <v>0</v>
          </cell>
          <cell r="L4281">
            <v>849</v>
          </cell>
          <cell r="M4281">
            <v>12418</v>
          </cell>
          <cell r="N4281">
            <v>16683</v>
          </cell>
          <cell r="O4281">
            <v>14739</v>
          </cell>
          <cell r="P4281">
            <v>0</v>
          </cell>
          <cell r="Q4281">
            <v>5150</v>
          </cell>
          <cell r="R4281">
            <v>5511</v>
          </cell>
          <cell r="S4281">
            <v>0</v>
          </cell>
          <cell r="T4281">
            <v>22579</v>
          </cell>
          <cell r="U4281">
            <v>15688</v>
          </cell>
          <cell r="V4281">
            <v>0</v>
          </cell>
          <cell r="W4281">
            <v>0</v>
          </cell>
        </row>
        <row r="4282">
          <cell r="A4282" t="str">
            <v>450340</v>
          </cell>
          <cell r="B4282" t="str">
            <v>1254</v>
          </cell>
          <cell r="C4282" t="str">
            <v>12</v>
          </cell>
          <cell r="D4282" t="str">
            <v>03</v>
          </cell>
          <cell r="E4282">
            <v>21</v>
          </cell>
          <cell r="G4282">
            <v>0</v>
          </cell>
          <cell r="H4282">
            <v>0</v>
          </cell>
          <cell r="I4282">
            <v>0</v>
          </cell>
          <cell r="J4282">
            <v>400</v>
          </cell>
          <cell r="K4282">
            <v>1530</v>
          </cell>
          <cell r="L4282">
            <v>2997</v>
          </cell>
          <cell r="M4282">
            <v>6428</v>
          </cell>
          <cell r="N4282">
            <v>6428</v>
          </cell>
          <cell r="O4282">
            <v>6364</v>
          </cell>
          <cell r="P4282">
            <v>27684</v>
          </cell>
          <cell r="Q4282">
            <v>27934</v>
          </cell>
          <cell r="R4282">
            <v>25279</v>
          </cell>
          <cell r="S4282">
            <v>0</v>
          </cell>
          <cell r="T4282">
            <v>0</v>
          </cell>
          <cell r="U4282">
            <v>0</v>
          </cell>
          <cell r="V4282">
            <v>0</v>
          </cell>
          <cell r="W4282">
            <v>0</v>
          </cell>
        </row>
        <row r="4283">
          <cell r="A4283" t="str">
            <v>450340</v>
          </cell>
          <cell r="B4283" t="str">
            <v>1254</v>
          </cell>
          <cell r="C4283" t="str">
            <v>12</v>
          </cell>
          <cell r="D4283" t="str">
            <v>03</v>
          </cell>
          <cell r="E4283">
            <v>26</v>
          </cell>
          <cell r="G4283">
            <v>3431</v>
          </cell>
          <cell r="H4283">
            <v>3181</v>
          </cell>
          <cell r="I4283">
            <v>1806</v>
          </cell>
          <cell r="J4283">
            <v>22492</v>
          </cell>
          <cell r="K4283">
            <v>32945</v>
          </cell>
          <cell r="L4283">
            <v>33882</v>
          </cell>
          <cell r="M4283">
            <v>100697</v>
          </cell>
          <cell r="N4283">
            <v>127663</v>
          </cell>
          <cell r="O4283">
            <v>102253</v>
          </cell>
          <cell r="P4283">
            <v>0</v>
          </cell>
          <cell r="Q4283">
            <v>0</v>
          </cell>
          <cell r="R4283">
            <v>0</v>
          </cell>
          <cell r="S4283">
            <v>0</v>
          </cell>
          <cell r="T4283">
            <v>0</v>
          </cell>
          <cell r="U4283">
            <v>0</v>
          </cell>
          <cell r="V4283">
            <v>0</v>
          </cell>
          <cell r="W4283">
            <v>0</v>
          </cell>
        </row>
        <row r="4284">
          <cell r="A4284" t="str">
            <v>450340</v>
          </cell>
          <cell r="B4284" t="str">
            <v>1254</v>
          </cell>
          <cell r="C4284" t="str">
            <v>12</v>
          </cell>
          <cell r="D4284" t="str">
            <v>03</v>
          </cell>
          <cell r="E4284">
            <v>31</v>
          </cell>
          <cell r="G4284">
            <v>161132</v>
          </cell>
          <cell r="H4284">
            <v>227410</v>
          </cell>
          <cell r="I4284">
            <v>193780</v>
          </cell>
          <cell r="J4284">
            <v>0</v>
          </cell>
          <cell r="K4284">
            <v>0</v>
          </cell>
          <cell r="L4284">
            <v>0</v>
          </cell>
          <cell r="M4284">
            <v>35664</v>
          </cell>
          <cell r="N4284">
            <v>54428</v>
          </cell>
          <cell r="O4284">
            <v>44108</v>
          </cell>
          <cell r="P4284">
            <v>20000</v>
          </cell>
          <cell r="Q4284">
            <v>23500</v>
          </cell>
          <cell r="R4284">
            <v>22826</v>
          </cell>
          <cell r="S4284">
            <v>26097</v>
          </cell>
          <cell r="T4284">
            <v>30077</v>
          </cell>
          <cell r="U4284">
            <v>30022</v>
          </cell>
          <cell r="V4284">
            <v>0</v>
          </cell>
          <cell r="W4284">
            <v>0</v>
          </cell>
        </row>
        <row r="4285">
          <cell r="A4285" t="str">
            <v>450340</v>
          </cell>
          <cell r="B4285" t="str">
            <v>1254</v>
          </cell>
          <cell r="C4285" t="str">
            <v>12</v>
          </cell>
          <cell r="D4285" t="str">
            <v>03</v>
          </cell>
          <cell r="E4285">
            <v>36</v>
          </cell>
          <cell r="G4285">
            <v>81761</v>
          </cell>
          <cell r="H4285">
            <v>108005</v>
          </cell>
          <cell r="I4285">
            <v>96956</v>
          </cell>
          <cell r="J4285">
            <v>635</v>
          </cell>
          <cell r="K4285">
            <v>635</v>
          </cell>
          <cell r="L4285">
            <v>590</v>
          </cell>
          <cell r="M4285">
            <v>0</v>
          </cell>
          <cell r="N4285">
            <v>0</v>
          </cell>
          <cell r="O4285">
            <v>0</v>
          </cell>
          <cell r="P4285">
            <v>2800</v>
          </cell>
          <cell r="Q4285">
            <v>4160</v>
          </cell>
          <cell r="R4285">
            <v>3900</v>
          </cell>
          <cell r="S4285">
            <v>488</v>
          </cell>
          <cell r="T4285">
            <v>738</v>
          </cell>
          <cell r="U4285">
            <v>883</v>
          </cell>
          <cell r="V4285">
            <v>0</v>
          </cell>
          <cell r="W4285">
            <v>0</v>
          </cell>
        </row>
        <row r="4286">
          <cell r="A4286" t="str">
            <v>450340</v>
          </cell>
          <cell r="B4286" t="str">
            <v>1254</v>
          </cell>
          <cell r="C4286" t="str">
            <v>12</v>
          </cell>
          <cell r="D4286" t="str">
            <v>03</v>
          </cell>
          <cell r="E4286">
            <v>41</v>
          </cell>
          <cell r="G4286">
            <v>3923</v>
          </cell>
          <cell r="H4286">
            <v>5533</v>
          </cell>
          <cell r="I4286">
            <v>5373</v>
          </cell>
          <cell r="J4286">
            <v>0</v>
          </cell>
          <cell r="K4286">
            <v>0</v>
          </cell>
          <cell r="L4286">
            <v>0</v>
          </cell>
          <cell r="M4286">
            <v>13260</v>
          </cell>
          <cell r="N4286">
            <v>36420</v>
          </cell>
          <cell r="O4286">
            <v>18516</v>
          </cell>
          <cell r="P4286">
            <v>291314</v>
          </cell>
          <cell r="Q4286">
            <v>416647</v>
          </cell>
          <cell r="R4286">
            <v>353016</v>
          </cell>
          <cell r="S4286">
            <v>0</v>
          </cell>
          <cell r="T4286">
            <v>19766</v>
          </cell>
          <cell r="U4286">
            <v>25563</v>
          </cell>
          <cell r="V4286">
            <v>0</v>
          </cell>
          <cell r="W4286">
            <v>0</v>
          </cell>
        </row>
        <row r="4287">
          <cell r="A4287" t="str">
            <v>450340</v>
          </cell>
          <cell r="B4287" t="str">
            <v>1254</v>
          </cell>
          <cell r="C4287" t="str">
            <v>12</v>
          </cell>
          <cell r="D4287" t="str">
            <v>03</v>
          </cell>
          <cell r="E4287">
            <v>46</v>
          </cell>
          <cell r="G4287">
            <v>0</v>
          </cell>
          <cell r="H4287">
            <v>0</v>
          </cell>
          <cell r="I4287">
            <v>0</v>
          </cell>
          <cell r="J4287">
            <v>0</v>
          </cell>
          <cell r="K4287">
            <v>0</v>
          </cell>
          <cell r="L4287">
            <v>0</v>
          </cell>
          <cell r="M4287">
            <v>0</v>
          </cell>
          <cell r="N4287">
            <v>0</v>
          </cell>
          <cell r="O4287">
            <v>0</v>
          </cell>
          <cell r="P4287">
            <v>0</v>
          </cell>
          <cell r="Q4287">
            <v>0</v>
          </cell>
          <cell r="R4287">
            <v>0</v>
          </cell>
          <cell r="S4287">
            <v>0</v>
          </cell>
          <cell r="T4287">
            <v>0</v>
          </cell>
          <cell r="U4287">
            <v>0</v>
          </cell>
          <cell r="V4287">
            <v>0</v>
          </cell>
          <cell r="W4287">
            <v>0</v>
          </cell>
        </row>
        <row r="4288">
          <cell r="A4288" t="str">
            <v>450340</v>
          </cell>
          <cell r="B4288" t="str">
            <v>1254</v>
          </cell>
          <cell r="C4288" t="str">
            <v>12</v>
          </cell>
          <cell r="D4288" t="str">
            <v>03</v>
          </cell>
          <cell r="E4288">
            <v>51</v>
          </cell>
          <cell r="G4288">
            <v>5000</v>
          </cell>
          <cell r="H4288">
            <v>5810</v>
          </cell>
          <cell r="I4288">
            <v>703</v>
          </cell>
          <cell r="J4288">
            <v>5000</v>
          </cell>
          <cell r="K4288">
            <v>25576</v>
          </cell>
          <cell r="L4288">
            <v>26266</v>
          </cell>
          <cell r="M4288">
            <v>852</v>
          </cell>
          <cell r="N4288">
            <v>932</v>
          </cell>
          <cell r="O4288">
            <v>861</v>
          </cell>
          <cell r="P4288">
            <v>0</v>
          </cell>
          <cell r="Q4288">
            <v>0</v>
          </cell>
          <cell r="R4288">
            <v>0</v>
          </cell>
          <cell r="S4288">
            <v>10094</v>
          </cell>
          <cell r="T4288">
            <v>29604</v>
          </cell>
          <cell r="U4288">
            <v>31826</v>
          </cell>
          <cell r="V4288">
            <v>0</v>
          </cell>
          <cell r="W4288">
            <v>0</v>
          </cell>
        </row>
        <row r="4289">
          <cell r="A4289" t="str">
            <v>450340</v>
          </cell>
          <cell r="B4289" t="str">
            <v>1254</v>
          </cell>
          <cell r="C4289" t="str">
            <v>12</v>
          </cell>
          <cell r="D4289" t="str">
            <v>03</v>
          </cell>
          <cell r="E4289">
            <v>56</v>
          </cell>
          <cell r="G4289">
            <v>10946</v>
          </cell>
          <cell r="H4289">
            <v>30536</v>
          </cell>
          <cell r="I4289">
            <v>32687</v>
          </cell>
          <cell r="J4289">
            <v>55800</v>
          </cell>
          <cell r="K4289">
            <v>55799</v>
          </cell>
          <cell r="L4289">
            <v>24675</v>
          </cell>
          <cell r="M4289">
            <v>0</v>
          </cell>
          <cell r="N4289">
            <v>0</v>
          </cell>
          <cell r="O4289">
            <v>0</v>
          </cell>
          <cell r="P4289">
            <v>55800</v>
          </cell>
          <cell r="Q4289">
            <v>55799</v>
          </cell>
          <cell r="R4289">
            <v>24675</v>
          </cell>
          <cell r="S4289">
            <v>0</v>
          </cell>
          <cell r="T4289">
            <v>0</v>
          </cell>
          <cell r="U4289">
            <v>0</v>
          </cell>
          <cell r="V4289">
            <v>0</v>
          </cell>
          <cell r="W4289">
            <v>0</v>
          </cell>
        </row>
        <row r="4290">
          <cell r="A4290" t="str">
            <v>450340</v>
          </cell>
          <cell r="B4290" t="str">
            <v>1254</v>
          </cell>
          <cell r="C4290" t="str">
            <v>12</v>
          </cell>
          <cell r="D4290" t="str">
            <v>03</v>
          </cell>
          <cell r="E4290">
            <v>61</v>
          </cell>
          <cell r="G4290">
            <v>71746</v>
          </cell>
          <cell r="H4290">
            <v>111911</v>
          </cell>
          <cell r="I4290">
            <v>83628</v>
          </cell>
          <cell r="J4290">
            <v>363060</v>
          </cell>
          <cell r="K4290">
            <v>528558</v>
          </cell>
          <cell r="L4290">
            <v>436644</v>
          </cell>
          <cell r="M4290">
            <v>0</v>
          </cell>
          <cell r="N4290">
            <v>0</v>
          </cell>
          <cell r="O4290">
            <v>0</v>
          </cell>
          <cell r="P4290">
            <v>0</v>
          </cell>
          <cell r="Q4290">
            <v>0</v>
          </cell>
          <cell r="R4290">
            <v>0</v>
          </cell>
          <cell r="S4290">
            <v>0</v>
          </cell>
          <cell r="T4290">
            <v>0</v>
          </cell>
          <cell r="U4290">
            <v>0</v>
          </cell>
          <cell r="V4290">
            <v>0</v>
          </cell>
          <cell r="W4290">
            <v>0</v>
          </cell>
        </row>
        <row r="4291">
          <cell r="A4291" t="str">
            <v>450340</v>
          </cell>
          <cell r="B4291" t="str">
            <v>1254</v>
          </cell>
          <cell r="C4291" t="str">
            <v>12</v>
          </cell>
          <cell r="D4291" t="str">
            <v>04</v>
          </cell>
          <cell r="E4291">
            <v>1</v>
          </cell>
          <cell r="G4291">
            <v>2824873</v>
          </cell>
          <cell r="H4291">
            <v>2991917</v>
          </cell>
          <cell r="I4291">
            <v>2903091</v>
          </cell>
          <cell r="J4291">
            <v>0</v>
          </cell>
          <cell r="K4291">
            <v>0</v>
          </cell>
          <cell r="L4291">
            <v>0</v>
          </cell>
          <cell r="M4291">
            <v>2824873</v>
          </cell>
          <cell r="N4291">
            <v>2991917</v>
          </cell>
          <cell r="O4291">
            <v>2903091</v>
          </cell>
          <cell r="P4291">
            <v>0</v>
          </cell>
          <cell r="Q4291">
            <v>216</v>
          </cell>
          <cell r="R4291">
            <v>1496</v>
          </cell>
          <cell r="S4291">
            <v>0</v>
          </cell>
          <cell r="T4291">
            <v>0</v>
          </cell>
          <cell r="U4291">
            <v>0</v>
          </cell>
          <cell r="V4291">
            <v>0</v>
          </cell>
          <cell r="W4291">
            <v>0</v>
          </cell>
        </row>
        <row r="4292">
          <cell r="A4292" t="str">
            <v>450340</v>
          </cell>
          <cell r="B4292" t="str">
            <v>1254</v>
          </cell>
          <cell r="C4292" t="str">
            <v>12</v>
          </cell>
          <cell r="D4292" t="str">
            <v>04</v>
          </cell>
          <cell r="E4292">
            <v>6</v>
          </cell>
          <cell r="G4292">
            <v>0</v>
          </cell>
          <cell r="H4292">
            <v>0</v>
          </cell>
          <cell r="I4292">
            <v>0</v>
          </cell>
          <cell r="J4292">
            <v>0</v>
          </cell>
          <cell r="K4292">
            <v>0</v>
          </cell>
          <cell r="L4292">
            <v>0</v>
          </cell>
          <cell r="M4292">
            <v>0</v>
          </cell>
          <cell r="N4292">
            <v>13652</v>
          </cell>
          <cell r="O4292">
            <v>14678</v>
          </cell>
          <cell r="P4292">
            <v>0</v>
          </cell>
          <cell r="Q4292">
            <v>0</v>
          </cell>
          <cell r="R4292">
            <v>0</v>
          </cell>
          <cell r="S4292">
            <v>0</v>
          </cell>
          <cell r="T4292">
            <v>0</v>
          </cell>
          <cell r="U4292">
            <v>0</v>
          </cell>
          <cell r="V4292">
            <v>0</v>
          </cell>
          <cell r="W4292">
            <v>0</v>
          </cell>
        </row>
        <row r="4293">
          <cell r="A4293" t="str">
            <v>450340</v>
          </cell>
          <cell r="B4293" t="str">
            <v>1254</v>
          </cell>
          <cell r="C4293" t="str">
            <v>12</v>
          </cell>
          <cell r="D4293" t="str">
            <v>04</v>
          </cell>
          <cell r="E4293">
            <v>11</v>
          </cell>
          <cell r="G4293">
            <v>0</v>
          </cell>
          <cell r="H4293">
            <v>13868</v>
          </cell>
          <cell r="I4293">
            <v>16174</v>
          </cell>
          <cell r="J4293">
            <v>12000</v>
          </cell>
          <cell r="K4293">
            <v>13200</v>
          </cell>
          <cell r="L4293">
            <v>13000</v>
          </cell>
          <cell r="M4293">
            <v>0</v>
          </cell>
          <cell r="N4293">
            <v>0</v>
          </cell>
          <cell r="O4293">
            <v>0</v>
          </cell>
          <cell r="P4293">
            <v>0</v>
          </cell>
          <cell r="Q4293">
            <v>0</v>
          </cell>
          <cell r="R4293">
            <v>0</v>
          </cell>
          <cell r="S4293">
            <v>0</v>
          </cell>
          <cell r="T4293">
            <v>0</v>
          </cell>
          <cell r="U4293">
            <v>0</v>
          </cell>
          <cell r="V4293">
            <v>0</v>
          </cell>
          <cell r="W4293">
            <v>0</v>
          </cell>
        </row>
        <row r="4294">
          <cell r="A4294" t="str">
            <v>450340</v>
          </cell>
          <cell r="B4294" t="str">
            <v>1254</v>
          </cell>
          <cell r="C4294" t="str">
            <v>12</v>
          </cell>
          <cell r="D4294" t="str">
            <v>04</v>
          </cell>
          <cell r="E4294">
            <v>16</v>
          </cell>
          <cell r="G4294">
            <v>0</v>
          </cell>
          <cell r="H4294">
            <v>0</v>
          </cell>
          <cell r="I4294">
            <v>0</v>
          </cell>
          <cell r="J4294">
            <v>0</v>
          </cell>
          <cell r="K4294">
            <v>0</v>
          </cell>
          <cell r="L4294">
            <v>0</v>
          </cell>
          <cell r="M4294">
            <v>12000</v>
          </cell>
          <cell r="N4294">
            <v>13200</v>
          </cell>
          <cell r="O4294">
            <v>13000</v>
          </cell>
          <cell r="P4294">
            <v>12000</v>
          </cell>
          <cell r="Q4294">
            <v>27068</v>
          </cell>
          <cell r="R4294">
            <v>29174</v>
          </cell>
          <cell r="S4294">
            <v>0</v>
          </cell>
          <cell r="T4294">
            <v>0</v>
          </cell>
          <cell r="U4294">
            <v>0</v>
          </cell>
          <cell r="V4294">
            <v>0</v>
          </cell>
          <cell r="W4294">
            <v>0</v>
          </cell>
        </row>
        <row r="4295">
          <cell r="A4295" t="str">
            <v>450340</v>
          </cell>
          <cell r="B4295" t="str">
            <v>1254</v>
          </cell>
          <cell r="C4295" t="str">
            <v>12</v>
          </cell>
          <cell r="D4295" t="str">
            <v>04</v>
          </cell>
          <cell r="E4295">
            <v>21</v>
          </cell>
          <cell r="G4295">
            <v>2836873</v>
          </cell>
          <cell r="H4295">
            <v>3018985</v>
          </cell>
          <cell r="I4295">
            <v>2932265</v>
          </cell>
          <cell r="J4295">
            <v>131107</v>
          </cell>
          <cell r="K4295">
            <v>129810</v>
          </cell>
          <cell r="L4295">
            <v>111604</v>
          </cell>
          <cell r="M4295">
            <v>0</v>
          </cell>
          <cell r="N4295">
            <v>0</v>
          </cell>
          <cell r="O4295">
            <v>0</v>
          </cell>
          <cell r="P4295">
            <v>48440</v>
          </cell>
          <cell r="Q4295">
            <v>221076</v>
          </cell>
          <cell r="R4295">
            <v>206461</v>
          </cell>
          <cell r="S4295">
            <v>179547</v>
          </cell>
          <cell r="T4295">
            <v>350886</v>
          </cell>
          <cell r="U4295">
            <v>318065</v>
          </cell>
          <cell r="V4295">
            <v>0</v>
          </cell>
          <cell r="W4295">
            <v>0</v>
          </cell>
        </row>
        <row r="4296">
          <cell r="A4296" t="str">
            <v>450340</v>
          </cell>
          <cell r="B4296" t="str">
            <v>1254</v>
          </cell>
          <cell r="C4296" t="str">
            <v>12</v>
          </cell>
          <cell r="D4296" t="str">
            <v>04</v>
          </cell>
          <cell r="E4296">
            <v>26</v>
          </cell>
          <cell r="G4296">
            <v>0</v>
          </cell>
          <cell r="H4296">
            <v>0</v>
          </cell>
          <cell r="I4296">
            <v>0</v>
          </cell>
          <cell r="J4296">
            <v>0</v>
          </cell>
          <cell r="K4296">
            <v>0</v>
          </cell>
          <cell r="L4296">
            <v>0</v>
          </cell>
          <cell r="M4296">
            <v>63000</v>
          </cell>
          <cell r="N4296">
            <v>138696</v>
          </cell>
          <cell r="O4296">
            <v>125094</v>
          </cell>
          <cell r="P4296">
            <v>0</v>
          </cell>
          <cell r="Q4296">
            <v>4650</v>
          </cell>
          <cell r="R4296">
            <v>4677</v>
          </cell>
          <cell r="S4296">
            <v>63000</v>
          </cell>
          <cell r="T4296">
            <v>143346</v>
          </cell>
          <cell r="U4296">
            <v>129771</v>
          </cell>
          <cell r="V4296">
            <v>0</v>
          </cell>
          <cell r="W4296">
            <v>0</v>
          </cell>
        </row>
        <row r="4297">
          <cell r="A4297" t="str">
            <v>450340</v>
          </cell>
          <cell r="B4297" t="str">
            <v>1254</v>
          </cell>
          <cell r="C4297" t="str">
            <v>12</v>
          </cell>
          <cell r="D4297" t="str">
            <v>04</v>
          </cell>
          <cell r="E4297">
            <v>31</v>
          </cell>
          <cell r="G4297">
            <v>0</v>
          </cell>
          <cell r="H4297">
            <v>0</v>
          </cell>
          <cell r="I4297">
            <v>0</v>
          </cell>
          <cell r="J4297">
            <v>0</v>
          </cell>
          <cell r="K4297">
            <v>0</v>
          </cell>
          <cell r="L4297">
            <v>255</v>
          </cell>
          <cell r="M4297">
            <v>0</v>
          </cell>
          <cell r="N4297">
            <v>0</v>
          </cell>
          <cell r="O4297">
            <v>0</v>
          </cell>
          <cell r="P4297">
            <v>0</v>
          </cell>
          <cell r="Q4297">
            <v>0</v>
          </cell>
          <cell r="R4297">
            <v>0</v>
          </cell>
          <cell r="S4297">
            <v>0</v>
          </cell>
          <cell r="T4297">
            <v>0</v>
          </cell>
          <cell r="U4297">
            <v>0</v>
          </cell>
          <cell r="V4297">
            <v>0</v>
          </cell>
          <cell r="W4297">
            <v>0</v>
          </cell>
        </row>
        <row r="4298">
          <cell r="A4298" t="str">
            <v>450340</v>
          </cell>
          <cell r="B4298" t="str">
            <v>1254</v>
          </cell>
          <cell r="C4298" t="str">
            <v>12</v>
          </cell>
          <cell r="D4298" t="str">
            <v>04</v>
          </cell>
          <cell r="E4298">
            <v>36</v>
          </cell>
          <cell r="G4298">
            <v>0</v>
          </cell>
          <cell r="H4298">
            <v>0</v>
          </cell>
          <cell r="I4298">
            <v>255</v>
          </cell>
          <cell r="J4298">
            <v>0</v>
          </cell>
          <cell r="K4298">
            <v>0</v>
          </cell>
          <cell r="L4298">
            <v>0</v>
          </cell>
          <cell r="M4298">
            <v>0</v>
          </cell>
          <cell r="N4298">
            <v>0</v>
          </cell>
          <cell r="O4298">
            <v>0</v>
          </cell>
          <cell r="P4298">
            <v>0</v>
          </cell>
          <cell r="Q4298">
            <v>0</v>
          </cell>
          <cell r="R4298">
            <v>0</v>
          </cell>
          <cell r="S4298">
            <v>0</v>
          </cell>
          <cell r="T4298">
            <v>0</v>
          </cell>
          <cell r="U4298">
            <v>0</v>
          </cell>
          <cell r="V4298">
            <v>0</v>
          </cell>
          <cell r="W4298">
            <v>0</v>
          </cell>
        </row>
        <row r="4299">
          <cell r="A4299" t="str">
            <v>450340</v>
          </cell>
          <cell r="B4299" t="str">
            <v>1254</v>
          </cell>
          <cell r="C4299" t="str">
            <v>12</v>
          </cell>
          <cell r="D4299" t="str">
            <v>05</v>
          </cell>
          <cell r="E4299">
            <v>1</v>
          </cell>
          <cell r="G4299">
            <v>70405</v>
          </cell>
          <cell r="H4299">
            <v>46106</v>
          </cell>
          <cell r="I4299">
            <v>12643</v>
          </cell>
          <cell r="J4299">
            <v>0</v>
          </cell>
          <cell r="K4299">
            <v>0</v>
          </cell>
          <cell r="L4299">
            <v>0</v>
          </cell>
          <cell r="M4299">
            <v>0</v>
          </cell>
          <cell r="N4299">
            <v>0</v>
          </cell>
          <cell r="O4299">
            <v>0</v>
          </cell>
          <cell r="P4299">
            <v>0</v>
          </cell>
          <cell r="Q4299">
            <v>0</v>
          </cell>
          <cell r="R4299">
            <v>0</v>
          </cell>
          <cell r="S4299">
            <v>14069</v>
          </cell>
          <cell r="T4299">
            <v>9215</v>
          </cell>
          <cell r="U4299">
            <v>2249</v>
          </cell>
          <cell r="V4299">
            <v>0</v>
          </cell>
          <cell r="W4299">
            <v>0</v>
          </cell>
        </row>
        <row r="4300">
          <cell r="A4300" t="str">
            <v>450340</v>
          </cell>
          <cell r="B4300" t="str">
            <v>1254</v>
          </cell>
          <cell r="C4300" t="str">
            <v>12</v>
          </cell>
          <cell r="D4300" t="str">
            <v>05</v>
          </cell>
          <cell r="E4300">
            <v>6</v>
          </cell>
          <cell r="G4300">
            <v>84474</v>
          </cell>
          <cell r="H4300">
            <v>55321</v>
          </cell>
          <cell r="I4300">
            <v>14892</v>
          </cell>
          <cell r="J4300">
            <v>0</v>
          </cell>
          <cell r="K4300">
            <v>0</v>
          </cell>
          <cell r="L4300">
            <v>0</v>
          </cell>
          <cell r="M4300">
            <v>1008492</v>
          </cell>
          <cell r="N4300">
            <v>1048393</v>
          </cell>
          <cell r="O4300">
            <v>336717</v>
          </cell>
          <cell r="P4300">
            <v>4000</v>
          </cell>
          <cell r="Q4300">
            <v>10550</v>
          </cell>
          <cell r="R4300">
            <v>10898</v>
          </cell>
          <cell r="S4300">
            <v>6428</v>
          </cell>
          <cell r="T4300">
            <v>20033</v>
          </cell>
          <cell r="U4300">
            <v>14725</v>
          </cell>
          <cell r="V4300">
            <v>0</v>
          </cell>
          <cell r="W4300">
            <v>0</v>
          </cell>
        </row>
        <row r="4301">
          <cell r="A4301" t="str">
            <v>450340</v>
          </cell>
          <cell r="B4301" t="str">
            <v>1254</v>
          </cell>
          <cell r="C4301" t="str">
            <v>12</v>
          </cell>
          <cell r="D4301" t="str">
            <v>05</v>
          </cell>
          <cell r="E4301">
            <v>11</v>
          </cell>
          <cell r="G4301">
            <v>0</v>
          </cell>
          <cell r="H4301">
            <v>23103</v>
          </cell>
          <cell r="I4301">
            <v>22150</v>
          </cell>
          <cell r="J4301">
            <v>0</v>
          </cell>
          <cell r="K4301">
            <v>0</v>
          </cell>
          <cell r="L4301">
            <v>0</v>
          </cell>
          <cell r="M4301">
            <v>1018920</v>
          </cell>
          <cell r="N4301">
            <v>1102079</v>
          </cell>
          <cell r="O4301">
            <v>384490</v>
          </cell>
          <cell r="P4301">
            <v>0</v>
          </cell>
          <cell r="Q4301">
            <v>0</v>
          </cell>
          <cell r="R4301">
            <v>0</v>
          </cell>
          <cell r="S4301">
            <v>0</v>
          </cell>
          <cell r="T4301">
            <v>0</v>
          </cell>
          <cell r="U4301">
            <v>0</v>
          </cell>
          <cell r="V4301">
            <v>0</v>
          </cell>
          <cell r="W4301">
            <v>0</v>
          </cell>
        </row>
        <row r="4302">
          <cell r="A4302" t="str">
            <v>450340</v>
          </cell>
          <cell r="B4302" t="str">
            <v>1254</v>
          </cell>
          <cell r="C4302" t="str">
            <v>12</v>
          </cell>
          <cell r="D4302" t="str">
            <v>05</v>
          </cell>
          <cell r="E4302">
            <v>16</v>
          </cell>
          <cell r="G4302">
            <v>0</v>
          </cell>
          <cell r="H4302">
            <v>0</v>
          </cell>
          <cell r="I4302">
            <v>0</v>
          </cell>
          <cell r="J4302">
            <v>0</v>
          </cell>
          <cell r="K4302">
            <v>0</v>
          </cell>
          <cell r="L4302">
            <v>0</v>
          </cell>
          <cell r="M4302">
            <v>0</v>
          </cell>
          <cell r="N4302">
            <v>0</v>
          </cell>
          <cell r="O4302">
            <v>0</v>
          </cell>
          <cell r="P4302">
            <v>0</v>
          </cell>
          <cell r="Q4302">
            <v>0</v>
          </cell>
          <cell r="R4302">
            <v>0</v>
          </cell>
          <cell r="S4302">
            <v>0</v>
          </cell>
          <cell r="T4302">
            <v>0</v>
          </cell>
          <cell r="U4302">
            <v>0</v>
          </cell>
          <cell r="V4302">
            <v>0</v>
          </cell>
          <cell r="W4302">
            <v>0</v>
          </cell>
        </row>
        <row r="4303">
          <cell r="A4303" t="str">
            <v>450340</v>
          </cell>
          <cell r="B4303" t="str">
            <v>1254</v>
          </cell>
          <cell r="C4303" t="str">
            <v>12</v>
          </cell>
          <cell r="D4303" t="str">
            <v>05</v>
          </cell>
          <cell r="E4303">
            <v>21</v>
          </cell>
          <cell r="G4303">
            <v>0</v>
          </cell>
          <cell r="H4303">
            <v>0</v>
          </cell>
          <cell r="I4303">
            <v>0</v>
          </cell>
          <cell r="J4303">
            <v>0</v>
          </cell>
          <cell r="K4303">
            <v>0</v>
          </cell>
          <cell r="L4303">
            <v>0</v>
          </cell>
          <cell r="M4303">
            <v>0</v>
          </cell>
          <cell r="N4303">
            <v>0</v>
          </cell>
          <cell r="O4303">
            <v>0</v>
          </cell>
          <cell r="P4303">
            <v>0</v>
          </cell>
          <cell r="Q4303">
            <v>0</v>
          </cell>
          <cell r="R4303">
            <v>0</v>
          </cell>
          <cell r="S4303">
            <v>0</v>
          </cell>
          <cell r="T4303">
            <v>0</v>
          </cell>
          <cell r="U4303">
            <v>0</v>
          </cell>
          <cell r="V4303">
            <v>0</v>
          </cell>
          <cell r="W4303">
            <v>0</v>
          </cell>
        </row>
        <row r="4304">
          <cell r="A4304" t="str">
            <v>450340</v>
          </cell>
          <cell r="B4304" t="str">
            <v>1254</v>
          </cell>
          <cell r="C4304" t="str">
            <v>12</v>
          </cell>
          <cell r="D4304" t="str">
            <v>05</v>
          </cell>
          <cell r="E4304">
            <v>26</v>
          </cell>
          <cell r="G4304">
            <v>0</v>
          </cell>
          <cell r="H4304">
            <v>0</v>
          </cell>
          <cell r="I4304">
            <v>0</v>
          </cell>
          <cell r="J4304">
            <v>200728</v>
          </cell>
          <cell r="K4304">
            <v>212695</v>
          </cell>
          <cell r="L4304">
            <v>74536</v>
          </cell>
          <cell r="M4304">
            <v>0</v>
          </cell>
          <cell r="N4304">
            <v>0</v>
          </cell>
          <cell r="O4304">
            <v>0</v>
          </cell>
          <cell r="P4304">
            <v>0</v>
          </cell>
          <cell r="Q4304">
            <v>0</v>
          </cell>
          <cell r="R4304">
            <v>0</v>
          </cell>
          <cell r="S4304">
            <v>0</v>
          </cell>
          <cell r="T4304">
            <v>0</v>
          </cell>
          <cell r="U4304">
            <v>0</v>
          </cell>
          <cell r="V4304">
            <v>0</v>
          </cell>
          <cell r="W4304">
            <v>0</v>
          </cell>
        </row>
        <row r="4305">
          <cell r="A4305" t="str">
            <v>450340</v>
          </cell>
          <cell r="B4305" t="str">
            <v>1254</v>
          </cell>
          <cell r="C4305" t="str">
            <v>12</v>
          </cell>
          <cell r="D4305" t="str">
            <v>05</v>
          </cell>
          <cell r="E4305">
            <v>31</v>
          </cell>
          <cell r="G4305">
            <v>0</v>
          </cell>
          <cell r="H4305">
            <v>0</v>
          </cell>
          <cell r="I4305">
            <v>0</v>
          </cell>
          <cell r="J4305">
            <v>200728</v>
          </cell>
          <cell r="K4305">
            <v>212695</v>
          </cell>
          <cell r="L4305">
            <v>74536</v>
          </cell>
          <cell r="M4305">
            <v>1219648</v>
          </cell>
          <cell r="N4305">
            <v>1314774</v>
          </cell>
          <cell r="O4305">
            <v>459026</v>
          </cell>
          <cell r="P4305">
            <v>0</v>
          </cell>
          <cell r="Q4305">
            <v>0</v>
          </cell>
          <cell r="R4305">
            <v>0</v>
          </cell>
          <cell r="S4305">
            <v>0</v>
          </cell>
          <cell r="T4305">
            <v>0</v>
          </cell>
          <cell r="U4305">
            <v>0</v>
          </cell>
          <cell r="V4305">
            <v>0</v>
          </cell>
          <cell r="W4305">
            <v>0</v>
          </cell>
        </row>
        <row r="4306">
          <cell r="A4306" t="str">
            <v>450340</v>
          </cell>
          <cell r="B4306" t="str">
            <v>1254</v>
          </cell>
          <cell r="C4306" t="str">
            <v>12</v>
          </cell>
          <cell r="D4306" t="str">
            <v>05</v>
          </cell>
          <cell r="E4306">
            <v>36</v>
          </cell>
          <cell r="G4306">
            <v>0</v>
          </cell>
          <cell r="H4306">
            <v>0</v>
          </cell>
          <cell r="I4306">
            <v>0</v>
          </cell>
          <cell r="J4306">
            <v>0</v>
          </cell>
          <cell r="K4306">
            <v>0</v>
          </cell>
          <cell r="L4306">
            <v>0</v>
          </cell>
          <cell r="M4306">
            <v>0</v>
          </cell>
          <cell r="N4306">
            <v>0</v>
          </cell>
          <cell r="O4306">
            <v>0</v>
          </cell>
          <cell r="P4306">
            <v>1219648</v>
          </cell>
          <cell r="Q4306">
            <v>1314774</v>
          </cell>
          <cell r="R4306">
            <v>459026</v>
          </cell>
          <cell r="S4306">
            <v>0</v>
          </cell>
          <cell r="T4306">
            <v>0</v>
          </cell>
          <cell r="U4306">
            <v>0</v>
          </cell>
          <cell r="V4306">
            <v>0</v>
          </cell>
          <cell r="W4306">
            <v>0</v>
          </cell>
        </row>
        <row r="4307">
          <cell r="A4307" t="str">
            <v>450340</v>
          </cell>
          <cell r="B4307" t="str">
            <v>1254</v>
          </cell>
          <cell r="C4307" t="str">
            <v>12</v>
          </cell>
          <cell r="D4307" t="str">
            <v>06</v>
          </cell>
          <cell r="E4307">
            <v>1</v>
          </cell>
          <cell r="G4307">
            <v>0</v>
          </cell>
          <cell r="H4307">
            <v>0</v>
          </cell>
          <cell r="I4307">
            <v>0</v>
          </cell>
          <cell r="J4307">
            <v>0</v>
          </cell>
          <cell r="K4307">
            <v>0</v>
          </cell>
          <cell r="L4307">
            <v>0</v>
          </cell>
          <cell r="M4307">
            <v>0</v>
          </cell>
          <cell r="N4307">
            <v>0</v>
          </cell>
          <cell r="O4307">
            <v>0</v>
          </cell>
          <cell r="P4307">
            <v>0</v>
          </cell>
          <cell r="Q4307">
            <v>0</v>
          </cell>
          <cell r="R4307">
            <v>0</v>
          </cell>
          <cell r="S4307">
            <v>0</v>
          </cell>
          <cell r="T4307">
            <v>0</v>
          </cell>
          <cell r="U4307">
            <v>0</v>
          </cell>
          <cell r="V4307">
            <v>0</v>
          </cell>
          <cell r="W4307">
            <v>0</v>
          </cell>
        </row>
        <row r="4308">
          <cell r="A4308" t="str">
            <v>450340</v>
          </cell>
          <cell r="B4308" t="str">
            <v>1254</v>
          </cell>
          <cell r="C4308" t="str">
            <v>12</v>
          </cell>
          <cell r="D4308" t="str">
            <v>06</v>
          </cell>
          <cell r="E4308">
            <v>6</v>
          </cell>
          <cell r="G4308">
            <v>0</v>
          </cell>
          <cell r="H4308">
            <v>0</v>
          </cell>
          <cell r="I4308">
            <v>0</v>
          </cell>
          <cell r="J4308">
            <v>0</v>
          </cell>
          <cell r="K4308">
            <v>0</v>
          </cell>
          <cell r="L4308">
            <v>0</v>
          </cell>
          <cell r="M4308">
            <v>0</v>
          </cell>
          <cell r="N4308">
            <v>0</v>
          </cell>
          <cell r="O4308">
            <v>0</v>
          </cell>
          <cell r="P4308">
            <v>0</v>
          </cell>
          <cell r="Q4308">
            <v>0</v>
          </cell>
          <cell r="R4308">
            <v>0</v>
          </cell>
          <cell r="S4308">
            <v>0</v>
          </cell>
          <cell r="T4308">
            <v>0</v>
          </cell>
          <cell r="U4308">
            <v>0</v>
          </cell>
          <cell r="V4308">
            <v>0</v>
          </cell>
          <cell r="W4308">
            <v>0</v>
          </cell>
        </row>
        <row r="4309">
          <cell r="A4309" t="str">
            <v>450340</v>
          </cell>
          <cell r="B4309" t="str">
            <v>1254</v>
          </cell>
          <cell r="C4309" t="str">
            <v>12</v>
          </cell>
          <cell r="D4309" t="str">
            <v>06</v>
          </cell>
          <cell r="E4309">
            <v>11</v>
          </cell>
          <cell r="G4309">
            <v>0</v>
          </cell>
          <cell r="H4309">
            <v>0</v>
          </cell>
          <cell r="I4309">
            <v>0</v>
          </cell>
          <cell r="J4309">
            <v>0</v>
          </cell>
          <cell r="K4309">
            <v>0</v>
          </cell>
          <cell r="L4309">
            <v>0</v>
          </cell>
          <cell r="M4309">
            <v>0</v>
          </cell>
          <cell r="N4309">
            <v>0</v>
          </cell>
          <cell r="O4309">
            <v>0</v>
          </cell>
          <cell r="P4309">
            <v>0</v>
          </cell>
          <cell r="Q4309">
            <v>0</v>
          </cell>
          <cell r="R4309">
            <v>0</v>
          </cell>
          <cell r="S4309">
            <v>0</v>
          </cell>
          <cell r="T4309">
            <v>0</v>
          </cell>
          <cell r="U4309">
            <v>0</v>
          </cell>
          <cell r="V4309">
            <v>0</v>
          </cell>
          <cell r="W4309">
            <v>0</v>
          </cell>
        </row>
        <row r="4310">
          <cell r="A4310" t="str">
            <v>450340</v>
          </cell>
          <cell r="B4310" t="str">
            <v>1254</v>
          </cell>
          <cell r="C4310" t="str">
            <v>12</v>
          </cell>
          <cell r="D4310" t="str">
            <v>06</v>
          </cell>
          <cell r="E4310">
            <v>16</v>
          </cell>
          <cell r="G4310">
            <v>0</v>
          </cell>
          <cell r="H4310">
            <v>0</v>
          </cell>
          <cell r="I4310">
            <v>0</v>
          </cell>
          <cell r="J4310">
            <v>0</v>
          </cell>
          <cell r="K4310">
            <v>0</v>
          </cell>
          <cell r="L4310">
            <v>0</v>
          </cell>
          <cell r="M4310">
            <v>0</v>
          </cell>
          <cell r="N4310">
            <v>0</v>
          </cell>
          <cell r="O4310">
            <v>3000</v>
          </cell>
          <cell r="P4310">
            <v>0</v>
          </cell>
          <cell r="Q4310">
            <v>0</v>
          </cell>
          <cell r="R4310">
            <v>0</v>
          </cell>
          <cell r="S4310">
            <v>0</v>
          </cell>
          <cell r="T4310">
            <v>0</v>
          </cell>
          <cell r="U4310">
            <v>3000</v>
          </cell>
          <cell r="V4310">
            <v>0</v>
          </cell>
          <cell r="W4310">
            <v>0</v>
          </cell>
        </row>
        <row r="4311">
          <cell r="A4311" t="str">
            <v>450340</v>
          </cell>
          <cell r="B4311" t="str">
            <v>1254</v>
          </cell>
          <cell r="C4311" t="str">
            <v>12</v>
          </cell>
          <cell r="D4311" t="str">
            <v>06</v>
          </cell>
          <cell r="E4311">
            <v>21</v>
          </cell>
          <cell r="G4311">
            <v>0</v>
          </cell>
          <cell r="H4311">
            <v>0</v>
          </cell>
          <cell r="I4311">
            <v>0</v>
          </cell>
          <cell r="J4311">
            <v>0</v>
          </cell>
          <cell r="K4311">
            <v>0</v>
          </cell>
          <cell r="L4311">
            <v>0</v>
          </cell>
          <cell r="M4311">
            <v>0</v>
          </cell>
          <cell r="N4311">
            <v>0</v>
          </cell>
          <cell r="O4311">
            <v>3000</v>
          </cell>
          <cell r="P4311">
            <v>0</v>
          </cell>
          <cell r="Q4311">
            <v>0</v>
          </cell>
          <cell r="R4311">
            <v>0</v>
          </cell>
          <cell r="S4311">
            <v>0</v>
          </cell>
          <cell r="T4311">
            <v>0</v>
          </cell>
          <cell r="U4311">
            <v>0</v>
          </cell>
          <cell r="V4311">
            <v>0</v>
          </cell>
          <cell r="W4311">
            <v>0</v>
          </cell>
        </row>
        <row r="4312">
          <cell r="A4312" t="str">
            <v>450340</v>
          </cell>
          <cell r="B4312" t="str">
            <v>1254</v>
          </cell>
          <cell r="C4312" t="str">
            <v>12</v>
          </cell>
          <cell r="D4312" t="str">
            <v>06</v>
          </cell>
          <cell r="E4312">
            <v>26</v>
          </cell>
          <cell r="G4312">
            <v>0</v>
          </cell>
          <cell r="H4312">
            <v>0</v>
          </cell>
          <cell r="I4312">
            <v>0</v>
          </cell>
          <cell r="J4312">
            <v>0</v>
          </cell>
          <cell r="K4312">
            <v>0</v>
          </cell>
          <cell r="L4312">
            <v>3000</v>
          </cell>
          <cell r="M4312">
            <v>0</v>
          </cell>
          <cell r="N4312">
            <v>0</v>
          </cell>
          <cell r="O4312">
            <v>0</v>
          </cell>
          <cell r="P4312">
            <v>0</v>
          </cell>
          <cell r="Q4312">
            <v>0</v>
          </cell>
          <cell r="R4312">
            <v>0</v>
          </cell>
          <cell r="S4312">
            <v>0</v>
          </cell>
          <cell r="T4312">
            <v>0</v>
          </cell>
          <cell r="U4312">
            <v>0</v>
          </cell>
          <cell r="V4312">
            <v>0</v>
          </cell>
          <cell r="W4312">
            <v>0</v>
          </cell>
        </row>
        <row r="4313">
          <cell r="A4313" t="str">
            <v>450340</v>
          </cell>
          <cell r="B4313" t="str">
            <v>1254</v>
          </cell>
          <cell r="C4313" t="str">
            <v>12</v>
          </cell>
          <cell r="D4313" t="str">
            <v>06</v>
          </cell>
          <cell r="E4313">
            <v>31</v>
          </cell>
          <cell r="G4313">
            <v>0</v>
          </cell>
          <cell r="H4313">
            <v>0</v>
          </cell>
          <cell r="I4313">
            <v>0</v>
          </cell>
          <cell r="J4313">
            <v>0</v>
          </cell>
          <cell r="K4313">
            <v>0</v>
          </cell>
          <cell r="L4313">
            <v>0</v>
          </cell>
          <cell r="M4313">
            <v>0</v>
          </cell>
          <cell r="N4313">
            <v>0</v>
          </cell>
          <cell r="O4313">
            <v>0</v>
          </cell>
          <cell r="P4313">
            <v>0</v>
          </cell>
          <cell r="Q4313">
            <v>0</v>
          </cell>
          <cell r="R4313">
            <v>0</v>
          </cell>
          <cell r="S4313">
            <v>0</v>
          </cell>
          <cell r="T4313">
            <v>0</v>
          </cell>
          <cell r="U4313">
            <v>0</v>
          </cell>
          <cell r="V4313">
            <v>0</v>
          </cell>
          <cell r="W4313">
            <v>0</v>
          </cell>
        </row>
        <row r="4314">
          <cell r="A4314" t="str">
            <v>450340</v>
          </cell>
          <cell r="B4314" t="str">
            <v>1254</v>
          </cell>
          <cell r="C4314" t="str">
            <v>12</v>
          </cell>
          <cell r="D4314" t="str">
            <v>06</v>
          </cell>
          <cell r="E4314">
            <v>36</v>
          </cell>
          <cell r="G4314">
            <v>0</v>
          </cell>
          <cell r="H4314">
            <v>0</v>
          </cell>
          <cell r="I4314">
            <v>6050</v>
          </cell>
          <cell r="J4314">
            <v>0</v>
          </cell>
          <cell r="K4314">
            <v>0</v>
          </cell>
          <cell r="L4314">
            <v>0</v>
          </cell>
          <cell r="M4314">
            <v>0</v>
          </cell>
          <cell r="N4314">
            <v>0</v>
          </cell>
          <cell r="O4314">
            <v>0</v>
          </cell>
          <cell r="P4314">
            <v>0</v>
          </cell>
          <cell r="Q4314">
            <v>0</v>
          </cell>
          <cell r="R4314">
            <v>0</v>
          </cell>
          <cell r="S4314">
            <v>0</v>
          </cell>
          <cell r="T4314">
            <v>0</v>
          </cell>
          <cell r="U4314">
            <v>6050</v>
          </cell>
          <cell r="V4314">
            <v>0</v>
          </cell>
          <cell r="W4314">
            <v>0</v>
          </cell>
        </row>
        <row r="4315">
          <cell r="A4315" t="str">
            <v>450340</v>
          </cell>
          <cell r="B4315" t="str">
            <v>1254</v>
          </cell>
          <cell r="C4315" t="str">
            <v>12</v>
          </cell>
          <cell r="D4315" t="str">
            <v>06</v>
          </cell>
          <cell r="E4315">
            <v>41</v>
          </cell>
          <cell r="G4315">
            <v>0</v>
          </cell>
          <cell r="H4315">
            <v>0</v>
          </cell>
          <cell r="I4315">
            <v>9050</v>
          </cell>
          <cell r="J4315">
            <v>0</v>
          </cell>
          <cell r="K4315">
            <v>0</v>
          </cell>
          <cell r="L4315">
            <v>0</v>
          </cell>
          <cell r="M4315">
            <v>0</v>
          </cell>
          <cell r="N4315">
            <v>0</v>
          </cell>
          <cell r="O4315">
            <v>0</v>
          </cell>
          <cell r="P4315">
            <v>0</v>
          </cell>
          <cell r="Q4315">
            <v>0</v>
          </cell>
          <cell r="R4315">
            <v>0</v>
          </cell>
          <cell r="S4315">
            <v>0</v>
          </cell>
          <cell r="T4315">
            <v>0</v>
          </cell>
          <cell r="U4315">
            <v>0</v>
          </cell>
          <cell r="V4315">
            <v>0</v>
          </cell>
          <cell r="W4315">
            <v>0</v>
          </cell>
        </row>
        <row r="4316">
          <cell r="A4316" t="str">
            <v>450340</v>
          </cell>
          <cell r="B4316" t="str">
            <v>1254</v>
          </cell>
          <cell r="C4316" t="str">
            <v>12</v>
          </cell>
          <cell r="D4316" t="str">
            <v>06</v>
          </cell>
          <cell r="E4316">
            <v>46</v>
          </cell>
          <cell r="G4316">
            <v>0</v>
          </cell>
          <cell r="H4316">
            <v>0</v>
          </cell>
          <cell r="I4316">
            <v>0</v>
          </cell>
          <cell r="J4316">
            <v>0</v>
          </cell>
          <cell r="K4316">
            <v>0</v>
          </cell>
          <cell r="L4316">
            <v>0</v>
          </cell>
          <cell r="M4316">
            <v>0</v>
          </cell>
          <cell r="N4316">
            <v>0</v>
          </cell>
          <cell r="O4316">
            <v>0</v>
          </cell>
          <cell r="P4316">
            <v>0</v>
          </cell>
          <cell r="Q4316">
            <v>0</v>
          </cell>
          <cell r="R4316">
            <v>0</v>
          </cell>
          <cell r="S4316">
            <v>0</v>
          </cell>
          <cell r="T4316">
            <v>0</v>
          </cell>
          <cell r="U4316">
            <v>0</v>
          </cell>
          <cell r="V4316">
            <v>0</v>
          </cell>
          <cell r="W4316">
            <v>0</v>
          </cell>
        </row>
        <row r="4317">
          <cell r="A4317" t="str">
            <v>450340</v>
          </cell>
          <cell r="B4317" t="str">
            <v>1254</v>
          </cell>
          <cell r="C4317" t="str">
            <v>12</v>
          </cell>
          <cell r="D4317" t="str">
            <v>06</v>
          </cell>
          <cell r="E4317">
            <v>51</v>
          </cell>
          <cell r="G4317">
            <v>0</v>
          </cell>
          <cell r="H4317">
            <v>0</v>
          </cell>
          <cell r="I4317">
            <v>0</v>
          </cell>
          <cell r="J4317">
            <v>0</v>
          </cell>
          <cell r="K4317">
            <v>0</v>
          </cell>
          <cell r="L4317">
            <v>0</v>
          </cell>
          <cell r="M4317">
            <v>0</v>
          </cell>
          <cell r="N4317">
            <v>0</v>
          </cell>
          <cell r="O4317">
            <v>0</v>
          </cell>
          <cell r="P4317">
            <v>0</v>
          </cell>
          <cell r="Q4317">
            <v>0</v>
          </cell>
          <cell r="R4317">
            <v>0</v>
          </cell>
          <cell r="S4317">
            <v>0</v>
          </cell>
          <cell r="T4317">
            <v>0</v>
          </cell>
          <cell r="U4317">
            <v>0</v>
          </cell>
          <cell r="V4317">
            <v>0</v>
          </cell>
          <cell r="W4317">
            <v>0</v>
          </cell>
        </row>
        <row r="4318">
          <cell r="A4318" t="str">
            <v>450340</v>
          </cell>
          <cell r="B4318" t="str">
            <v>1254</v>
          </cell>
          <cell r="C4318" t="str">
            <v>12</v>
          </cell>
          <cell r="D4318" t="str">
            <v>06</v>
          </cell>
          <cell r="E4318">
            <v>56</v>
          </cell>
          <cell r="G4318">
            <v>0</v>
          </cell>
          <cell r="H4318">
            <v>0</v>
          </cell>
          <cell r="I4318">
            <v>0</v>
          </cell>
          <cell r="J4318">
            <v>0</v>
          </cell>
          <cell r="K4318">
            <v>0</v>
          </cell>
          <cell r="L4318">
            <v>9050</v>
          </cell>
          <cell r="M4318">
            <v>0</v>
          </cell>
          <cell r="N4318">
            <v>0</v>
          </cell>
          <cell r="O4318">
            <v>0</v>
          </cell>
          <cell r="P4318">
            <v>200474</v>
          </cell>
          <cell r="Q4318">
            <v>12421</v>
          </cell>
          <cell r="R4318">
            <v>0</v>
          </cell>
          <cell r="S4318">
            <v>0</v>
          </cell>
          <cell r="T4318">
            <v>0</v>
          </cell>
          <cell r="U4318">
            <v>0</v>
          </cell>
          <cell r="V4318">
            <v>0</v>
          </cell>
          <cell r="W4318">
            <v>0</v>
          </cell>
        </row>
        <row r="4319">
          <cell r="A4319" t="str">
            <v>450340</v>
          </cell>
          <cell r="B4319" t="str">
            <v>1254</v>
          </cell>
          <cell r="C4319" t="str">
            <v>12</v>
          </cell>
          <cell r="D4319" t="str">
            <v>06</v>
          </cell>
          <cell r="E4319">
            <v>61</v>
          </cell>
          <cell r="G4319">
            <v>0</v>
          </cell>
          <cell r="H4319">
            <v>0</v>
          </cell>
          <cell r="I4319">
            <v>0</v>
          </cell>
          <cell r="J4319">
            <v>200474</v>
          </cell>
          <cell r="K4319">
            <v>12421</v>
          </cell>
          <cell r="L4319">
            <v>0</v>
          </cell>
          <cell r="M4319">
            <v>53880</v>
          </cell>
          <cell r="N4319">
            <v>113780</v>
          </cell>
          <cell r="O4319">
            <v>85700</v>
          </cell>
          <cell r="P4319">
            <v>0</v>
          </cell>
          <cell r="Q4319">
            <v>0</v>
          </cell>
          <cell r="R4319">
            <v>28374</v>
          </cell>
          <cell r="S4319">
            <v>0</v>
          </cell>
          <cell r="T4319">
            <v>0</v>
          </cell>
          <cell r="U4319">
            <v>0</v>
          </cell>
          <cell r="V4319">
            <v>0</v>
          </cell>
          <cell r="W4319">
            <v>0</v>
          </cell>
        </row>
        <row r="4320">
          <cell r="A4320" t="str">
            <v>450340</v>
          </cell>
          <cell r="B4320" t="str">
            <v>1254</v>
          </cell>
          <cell r="C4320" t="str">
            <v>12</v>
          </cell>
          <cell r="D4320" t="str">
            <v>06</v>
          </cell>
          <cell r="E4320">
            <v>66</v>
          </cell>
          <cell r="G4320">
            <v>216136</v>
          </cell>
          <cell r="H4320">
            <v>216136</v>
          </cell>
          <cell r="I4320">
            <v>65044</v>
          </cell>
          <cell r="J4320">
            <v>0</v>
          </cell>
          <cell r="K4320">
            <v>0</v>
          </cell>
          <cell r="L4320">
            <v>0</v>
          </cell>
          <cell r="M4320">
            <v>0</v>
          </cell>
          <cell r="N4320">
            <v>0</v>
          </cell>
          <cell r="O4320">
            <v>0</v>
          </cell>
          <cell r="P4320">
            <v>0</v>
          </cell>
          <cell r="Q4320">
            <v>0</v>
          </cell>
          <cell r="R4320">
            <v>0</v>
          </cell>
          <cell r="S4320">
            <v>0</v>
          </cell>
          <cell r="T4320">
            <v>0</v>
          </cell>
          <cell r="U4320">
            <v>0</v>
          </cell>
          <cell r="V4320">
            <v>0</v>
          </cell>
          <cell r="W4320">
            <v>0</v>
          </cell>
        </row>
        <row r="4321">
          <cell r="A4321" t="str">
            <v>450340</v>
          </cell>
          <cell r="B4321" t="str">
            <v>1254</v>
          </cell>
          <cell r="C4321" t="str">
            <v>12</v>
          </cell>
          <cell r="D4321" t="str">
            <v>06</v>
          </cell>
          <cell r="E4321">
            <v>71</v>
          </cell>
          <cell r="G4321">
            <v>0</v>
          </cell>
          <cell r="H4321">
            <v>0</v>
          </cell>
          <cell r="I4321">
            <v>0</v>
          </cell>
          <cell r="J4321">
            <v>0</v>
          </cell>
          <cell r="K4321">
            <v>0</v>
          </cell>
          <cell r="L4321">
            <v>0</v>
          </cell>
          <cell r="M4321">
            <v>270016</v>
          </cell>
          <cell r="N4321">
            <v>329916</v>
          </cell>
          <cell r="O4321">
            <v>179118</v>
          </cell>
          <cell r="P4321">
            <v>0</v>
          </cell>
          <cell r="Q4321">
            <v>0</v>
          </cell>
          <cell r="R4321">
            <v>0</v>
          </cell>
          <cell r="S4321">
            <v>0</v>
          </cell>
          <cell r="T4321">
            <v>0</v>
          </cell>
          <cell r="U4321">
            <v>0</v>
          </cell>
          <cell r="V4321">
            <v>0</v>
          </cell>
          <cell r="W4321">
            <v>0</v>
          </cell>
        </row>
        <row r="4322">
          <cell r="A4322" t="str">
            <v>450340</v>
          </cell>
          <cell r="B4322" t="str">
            <v>1254</v>
          </cell>
          <cell r="C4322" t="str">
            <v>12</v>
          </cell>
          <cell r="D4322" t="str">
            <v>06</v>
          </cell>
          <cell r="E4322">
            <v>76</v>
          </cell>
          <cell r="G4322">
            <v>0</v>
          </cell>
          <cell r="H4322">
            <v>0</v>
          </cell>
          <cell r="I4322">
            <v>0</v>
          </cell>
          <cell r="J4322">
            <v>0</v>
          </cell>
          <cell r="K4322">
            <v>0</v>
          </cell>
          <cell r="L4322">
            <v>0</v>
          </cell>
          <cell r="M4322">
            <v>0</v>
          </cell>
          <cell r="N4322">
            <v>0</v>
          </cell>
          <cell r="O4322">
            <v>0</v>
          </cell>
          <cell r="P4322">
            <v>0</v>
          </cell>
          <cell r="Q4322">
            <v>0</v>
          </cell>
          <cell r="R4322">
            <v>0</v>
          </cell>
          <cell r="S4322">
            <v>270016</v>
          </cell>
          <cell r="T4322">
            <v>329916</v>
          </cell>
          <cell r="U4322">
            <v>179118</v>
          </cell>
          <cell r="V4322">
            <v>0</v>
          </cell>
          <cell r="W4322">
            <v>0</v>
          </cell>
        </row>
        <row r="4323">
          <cell r="A4323" t="str">
            <v>450340</v>
          </cell>
          <cell r="B4323" t="str">
            <v>1254</v>
          </cell>
          <cell r="C4323" t="str">
            <v>12</v>
          </cell>
          <cell r="D4323" t="str">
            <v>06</v>
          </cell>
          <cell r="E4323">
            <v>81</v>
          </cell>
          <cell r="G4323">
            <v>0</v>
          </cell>
          <cell r="H4323">
            <v>0</v>
          </cell>
          <cell r="I4323">
            <v>0</v>
          </cell>
          <cell r="J4323">
            <v>0</v>
          </cell>
          <cell r="K4323">
            <v>0</v>
          </cell>
          <cell r="L4323">
            <v>0</v>
          </cell>
          <cell r="M4323">
            <v>0</v>
          </cell>
          <cell r="N4323">
            <v>0</v>
          </cell>
          <cell r="O4323">
            <v>0</v>
          </cell>
          <cell r="P4323">
            <v>0</v>
          </cell>
          <cell r="Q4323">
            <v>0</v>
          </cell>
          <cell r="R4323">
            <v>0</v>
          </cell>
          <cell r="S4323">
            <v>0</v>
          </cell>
          <cell r="T4323">
            <v>0</v>
          </cell>
          <cell r="U4323">
            <v>0</v>
          </cell>
          <cell r="V4323">
            <v>0</v>
          </cell>
          <cell r="W4323">
            <v>0</v>
          </cell>
        </row>
        <row r="4324">
          <cell r="A4324" t="str">
            <v>450340</v>
          </cell>
          <cell r="B4324" t="str">
            <v>1254</v>
          </cell>
          <cell r="C4324" t="str">
            <v>12</v>
          </cell>
          <cell r="D4324" t="str">
            <v>06</v>
          </cell>
          <cell r="E4324">
            <v>86</v>
          </cell>
          <cell r="G4324">
            <v>0</v>
          </cell>
          <cell r="H4324">
            <v>0</v>
          </cell>
          <cell r="I4324">
            <v>0</v>
          </cell>
          <cell r="J4324">
            <v>0</v>
          </cell>
          <cell r="K4324">
            <v>0</v>
          </cell>
          <cell r="L4324">
            <v>0</v>
          </cell>
          <cell r="M4324">
            <v>0</v>
          </cell>
          <cell r="N4324">
            <v>0</v>
          </cell>
          <cell r="O4324">
            <v>0</v>
          </cell>
          <cell r="P4324">
            <v>0</v>
          </cell>
          <cell r="Q4324">
            <v>0</v>
          </cell>
          <cell r="R4324">
            <v>0</v>
          </cell>
          <cell r="S4324">
            <v>0</v>
          </cell>
          <cell r="T4324">
            <v>0</v>
          </cell>
          <cell r="U4324">
            <v>0</v>
          </cell>
          <cell r="V4324">
            <v>0</v>
          </cell>
          <cell r="W4324">
            <v>0</v>
          </cell>
        </row>
        <row r="4325">
          <cell r="A4325" t="str">
            <v>450340</v>
          </cell>
          <cell r="B4325" t="str">
            <v>1254</v>
          </cell>
          <cell r="C4325" t="str">
            <v>12</v>
          </cell>
          <cell r="D4325" t="str">
            <v>06</v>
          </cell>
          <cell r="E4325">
            <v>91</v>
          </cell>
          <cell r="G4325">
            <v>0</v>
          </cell>
          <cell r="H4325">
            <v>0</v>
          </cell>
          <cell r="I4325">
            <v>0</v>
          </cell>
          <cell r="J4325">
            <v>0</v>
          </cell>
          <cell r="K4325">
            <v>0</v>
          </cell>
          <cell r="L4325">
            <v>0</v>
          </cell>
          <cell r="M4325">
            <v>0</v>
          </cell>
          <cell r="N4325">
            <v>0</v>
          </cell>
          <cell r="O4325">
            <v>0</v>
          </cell>
          <cell r="P4325">
            <v>0</v>
          </cell>
          <cell r="Q4325">
            <v>0</v>
          </cell>
          <cell r="R4325">
            <v>0</v>
          </cell>
          <cell r="S4325">
            <v>0</v>
          </cell>
          <cell r="T4325">
            <v>0</v>
          </cell>
          <cell r="U4325">
            <v>0</v>
          </cell>
          <cell r="V4325">
            <v>0</v>
          </cell>
          <cell r="W4325">
            <v>0</v>
          </cell>
        </row>
        <row r="4326">
          <cell r="A4326" t="str">
            <v>450340</v>
          </cell>
          <cell r="B4326" t="str">
            <v>1254</v>
          </cell>
          <cell r="C4326" t="str">
            <v>12</v>
          </cell>
          <cell r="D4326" t="str">
            <v>06</v>
          </cell>
          <cell r="E4326">
            <v>96</v>
          </cell>
          <cell r="G4326">
            <v>0</v>
          </cell>
          <cell r="H4326">
            <v>0</v>
          </cell>
          <cell r="I4326">
            <v>0</v>
          </cell>
          <cell r="J4326">
            <v>0</v>
          </cell>
          <cell r="K4326">
            <v>0</v>
          </cell>
          <cell r="L4326">
            <v>0</v>
          </cell>
          <cell r="M4326">
            <v>0</v>
          </cell>
          <cell r="N4326">
            <v>0</v>
          </cell>
          <cell r="O4326">
            <v>0</v>
          </cell>
          <cell r="P4326">
            <v>0</v>
          </cell>
          <cell r="Q4326">
            <v>0</v>
          </cell>
          <cell r="R4326">
            <v>0</v>
          </cell>
          <cell r="S4326">
            <v>0</v>
          </cell>
          <cell r="T4326">
            <v>0</v>
          </cell>
          <cell r="U4326">
            <v>0</v>
          </cell>
          <cell r="V4326">
            <v>0</v>
          </cell>
          <cell r="W4326">
            <v>0</v>
          </cell>
        </row>
        <row r="4327">
          <cell r="A4327" t="str">
            <v>450340</v>
          </cell>
          <cell r="B4327" t="str">
            <v>1254</v>
          </cell>
          <cell r="C4327" t="str">
            <v>12</v>
          </cell>
          <cell r="D4327" t="str">
            <v>06</v>
          </cell>
          <cell r="E4327">
            <v>101</v>
          </cell>
          <cell r="G4327">
            <v>0</v>
          </cell>
          <cell r="H4327">
            <v>0</v>
          </cell>
          <cell r="I4327">
            <v>0</v>
          </cell>
          <cell r="J4327">
            <v>0</v>
          </cell>
          <cell r="K4327">
            <v>0</v>
          </cell>
          <cell r="L4327">
            <v>0</v>
          </cell>
          <cell r="M4327">
            <v>0</v>
          </cell>
          <cell r="N4327">
            <v>0</v>
          </cell>
          <cell r="O4327">
            <v>0</v>
          </cell>
          <cell r="P4327">
            <v>0</v>
          </cell>
          <cell r="Q4327">
            <v>0</v>
          </cell>
          <cell r="R4327">
            <v>0</v>
          </cell>
          <cell r="S4327">
            <v>0</v>
          </cell>
          <cell r="T4327">
            <v>0</v>
          </cell>
          <cell r="U4327">
            <v>0</v>
          </cell>
          <cell r="V4327">
            <v>0</v>
          </cell>
          <cell r="W4327">
            <v>0</v>
          </cell>
        </row>
        <row r="4328">
          <cell r="A4328" t="str">
            <v>450340</v>
          </cell>
          <cell r="B4328" t="str">
            <v>1254</v>
          </cell>
          <cell r="C4328" t="str">
            <v>12</v>
          </cell>
          <cell r="D4328" t="str">
            <v>06</v>
          </cell>
          <cell r="E4328">
            <v>106</v>
          </cell>
          <cell r="G4328">
            <v>0</v>
          </cell>
          <cell r="H4328">
            <v>0</v>
          </cell>
          <cell r="I4328">
            <v>0</v>
          </cell>
          <cell r="J4328">
            <v>0</v>
          </cell>
          <cell r="K4328">
            <v>0</v>
          </cell>
          <cell r="L4328">
            <v>0</v>
          </cell>
          <cell r="M4328">
            <v>0</v>
          </cell>
          <cell r="N4328">
            <v>0</v>
          </cell>
          <cell r="O4328">
            <v>2778</v>
          </cell>
          <cell r="P4328">
            <v>0</v>
          </cell>
          <cell r="Q4328">
            <v>0</v>
          </cell>
          <cell r="R4328">
            <v>0</v>
          </cell>
          <cell r="S4328">
            <v>0</v>
          </cell>
          <cell r="T4328">
            <v>0</v>
          </cell>
          <cell r="U4328">
            <v>2778</v>
          </cell>
          <cell r="V4328">
            <v>0</v>
          </cell>
          <cell r="W4328">
            <v>0</v>
          </cell>
        </row>
        <row r="4329">
          <cell r="A4329" t="str">
            <v>450340</v>
          </cell>
          <cell r="B4329" t="str">
            <v>1254</v>
          </cell>
          <cell r="C4329" t="str">
            <v>12</v>
          </cell>
          <cell r="D4329" t="str">
            <v>07</v>
          </cell>
          <cell r="E4329">
            <v>1</v>
          </cell>
          <cell r="G4329">
            <v>7520</v>
          </cell>
          <cell r="H4329">
            <v>4000</v>
          </cell>
          <cell r="I4329">
            <v>3399</v>
          </cell>
          <cell r="J4329">
            <v>0</v>
          </cell>
          <cell r="K4329">
            <v>0</v>
          </cell>
          <cell r="L4329">
            <v>0</v>
          </cell>
          <cell r="M4329">
            <v>0</v>
          </cell>
          <cell r="N4329">
            <v>0</v>
          </cell>
          <cell r="O4329">
            <v>0</v>
          </cell>
          <cell r="P4329">
            <v>0</v>
          </cell>
          <cell r="Q4329">
            <v>495</v>
          </cell>
          <cell r="R4329">
            <v>0</v>
          </cell>
          <cell r="S4329">
            <v>7520</v>
          </cell>
          <cell r="T4329">
            <v>4000</v>
          </cell>
          <cell r="U4329">
            <v>3894</v>
          </cell>
          <cell r="V4329">
            <v>0</v>
          </cell>
          <cell r="W4329">
            <v>0</v>
          </cell>
        </row>
        <row r="4330">
          <cell r="A4330" t="str">
            <v>450340</v>
          </cell>
          <cell r="B4330" t="str">
            <v>1254</v>
          </cell>
          <cell r="C4330" t="str">
            <v>12</v>
          </cell>
          <cell r="D4330" t="str">
            <v>07</v>
          </cell>
          <cell r="E4330">
            <v>5</v>
          </cell>
          <cell r="G4330">
            <v>0</v>
          </cell>
          <cell r="H4330">
            <v>0</v>
          </cell>
          <cell r="I4330">
            <v>0</v>
          </cell>
          <cell r="J4330">
            <v>0</v>
          </cell>
          <cell r="K4330">
            <v>0</v>
          </cell>
          <cell r="L4330">
            <v>0</v>
          </cell>
          <cell r="M4330">
            <v>11691</v>
          </cell>
          <cell r="N4330">
            <v>0</v>
          </cell>
          <cell r="O4330">
            <v>0</v>
          </cell>
          <cell r="P4330">
            <v>20061</v>
          </cell>
          <cell r="Q4330">
            <v>25918</v>
          </cell>
          <cell r="R4330">
            <v>0</v>
          </cell>
          <cell r="S4330">
            <v>0</v>
          </cell>
          <cell r="T4330">
            <v>0</v>
          </cell>
          <cell r="U4330">
            <v>0</v>
          </cell>
          <cell r="V4330">
            <v>0</v>
          </cell>
          <cell r="W4330">
            <v>0</v>
          </cell>
        </row>
        <row r="4331">
          <cell r="A4331" t="str">
            <v>450340</v>
          </cell>
          <cell r="B4331" t="str">
            <v>1254</v>
          </cell>
          <cell r="C4331" t="str">
            <v>12</v>
          </cell>
          <cell r="D4331" t="str">
            <v>07</v>
          </cell>
          <cell r="E4331">
            <v>9</v>
          </cell>
          <cell r="G4331">
            <v>73540</v>
          </cell>
          <cell r="H4331">
            <v>82028</v>
          </cell>
          <cell r="I4331">
            <v>68566</v>
          </cell>
          <cell r="J4331">
            <v>0</v>
          </cell>
          <cell r="K4331">
            <v>0</v>
          </cell>
          <cell r="L4331">
            <v>0</v>
          </cell>
          <cell r="M4331">
            <v>0</v>
          </cell>
          <cell r="N4331">
            <v>0</v>
          </cell>
          <cell r="O4331">
            <v>0</v>
          </cell>
          <cell r="P4331">
            <v>0</v>
          </cell>
          <cell r="Q4331">
            <v>304</v>
          </cell>
          <cell r="R4331">
            <v>0</v>
          </cell>
          <cell r="S4331">
            <v>0</v>
          </cell>
          <cell r="T4331">
            <v>0</v>
          </cell>
          <cell r="U4331">
            <v>666</v>
          </cell>
          <cell r="V4331">
            <v>0</v>
          </cell>
          <cell r="W4331">
            <v>0</v>
          </cell>
        </row>
        <row r="4332">
          <cell r="A4332" t="str">
            <v>450340</v>
          </cell>
          <cell r="B4332" t="str">
            <v>1254</v>
          </cell>
          <cell r="C4332" t="str">
            <v>12</v>
          </cell>
          <cell r="D4332" t="str">
            <v>07</v>
          </cell>
          <cell r="E4332">
            <v>13</v>
          </cell>
          <cell r="G4332">
            <v>0</v>
          </cell>
          <cell r="H4332">
            <v>0</v>
          </cell>
          <cell r="I4332">
            <v>0</v>
          </cell>
          <cell r="J4332">
            <v>0</v>
          </cell>
          <cell r="K4332">
            <v>73540</v>
          </cell>
          <cell r="L4332">
            <v>102089</v>
          </cell>
          <cell r="M4332">
            <v>107145</v>
          </cell>
          <cell r="N4332">
            <v>0</v>
          </cell>
          <cell r="O4332">
            <v>0</v>
          </cell>
          <cell r="P4332">
            <v>2500</v>
          </cell>
          <cell r="Q4332">
            <v>2743</v>
          </cell>
          <cell r="R4332">
            <v>0</v>
          </cell>
          <cell r="S4332">
            <v>0</v>
          </cell>
          <cell r="T4332">
            <v>1000</v>
          </cell>
          <cell r="U4332">
            <v>1056</v>
          </cell>
          <cell r="V4332">
            <v>0</v>
          </cell>
          <cell r="W4332">
            <v>0</v>
          </cell>
        </row>
        <row r="4333">
          <cell r="A4333" t="str">
            <v>450340</v>
          </cell>
          <cell r="B4333" t="str">
            <v>1254</v>
          </cell>
          <cell r="C4333" t="str">
            <v>12</v>
          </cell>
          <cell r="D4333" t="str">
            <v>07</v>
          </cell>
          <cell r="E4333">
            <v>17</v>
          </cell>
          <cell r="G4333">
            <v>15340</v>
          </cell>
          <cell r="H4333">
            <v>17893</v>
          </cell>
          <cell r="I4333">
            <v>18410</v>
          </cell>
          <cell r="J4333">
            <v>0</v>
          </cell>
          <cell r="K4333">
            <v>0</v>
          </cell>
          <cell r="L4333">
            <v>9408</v>
          </cell>
          <cell r="M4333">
            <v>34846</v>
          </cell>
          <cell r="N4333">
            <v>0</v>
          </cell>
          <cell r="O4333">
            <v>15340</v>
          </cell>
          <cell r="P4333">
            <v>30801</v>
          </cell>
          <cell r="Q4333">
            <v>57055</v>
          </cell>
          <cell r="R4333">
            <v>0</v>
          </cell>
          <cell r="S4333">
            <v>0</v>
          </cell>
          <cell r="T4333">
            <v>0</v>
          </cell>
          <cell r="U4333">
            <v>0</v>
          </cell>
          <cell r="V4333">
            <v>0</v>
          </cell>
          <cell r="W4333">
            <v>0</v>
          </cell>
        </row>
        <row r="4334">
          <cell r="A4334" t="str">
            <v>450340</v>
          </cell>
          <cell r="B4334" t="str">
            <v>1254</v>
          </cell>
          <cell r="C4334" t="str">
            <v>12</v>
          </cell>
          <cell r="D4334" t="str">
            <v>07</v>
          </cell>
          <cell r="E4334">
            <v>21</v>
          </cell>
          <cell r="G4334">
            <v>3000</v>
          </cell>
          <cell r="H4334">
            <v>3000</v>
          </cell>
          <cell r="I4334">
            <v>2194</v>
          </cell>
          <cell r="J4334">
            <v>0</v>
          </cell>
          <cell r="K4334">
            <v>0</v>
          </cell>
          <cell r="L4334">
            <v>0</v>
          </cell>
          <cell r="M4334">
            <v>0</v>
          </cell>
          <cell r="N4334">
            <v>0</v>
          </cell>
          <cell r="O4334">
            <v>3000</v>
          </cell>
          <cell r="P4334">
            <v>3000</v>
          </cell>
          <cell r="Q4334">
            <v>2194</v>
          </cell>
          <cell r="R4334">
            <v>0</v>
          </cell>
          <cell r="S4334">
            <v>0</v>
          </cell>
          <cell r="T4334">
            <v>40</v>
          </cell>
          <cell r="U4334">
            <v>491</v>
          </cell>
          <cell r="V4334">
            <v>0</v>
          </cell>
          <cell r="W4334">
            <v>0</v>
          </cell>
        </row>
        <row r="4335">
          <cell r="A4335" t="str">
            <v>450340</v>
          </cell>
          <cell r="B4335" t="str">
            <v>1254</v>
          </cell>
          <cell r="C4335" t="str">
            <v>12</v>
          </cell>
          <cell r="D4335" t="str">
            <v>07</v>
          </cell>
          <cell r="E4335">
            <v>25</v>
          </cell>
          <cell r="G4335">
            <v>0</v>
          </cell>
          <cell r="H4335">
            <v>0</v>
          </cell>
          <cell r="I4335">
            <v>0</v>
          </cell>
          <cell r="J4335">
            <v>0</v>
          </cell>
          <cell r="K4335">
            <v>0</v>
          </cell>
          <cell r="L4335">
            <v>210</v>
          </cell>
          <cell r="M4335">
            <v>3064</v>
          </cell>
          <cell r="N4335">
            <v>0</v>
          </cell>
          <cell r="O4335">
            <v>0</v>
          </cell>
          <cell r="P4335">
            <v>0</v>
          </cell>
          <cell r="Q4335">
            <v>0</v>
          </cell>
          <cell r="R4335">
            <v>0</v>
          </cell>
          <cell r="S4335">
            <v>0</v>
          </cell>
          <cell r="T4335">
            <v>0</v>
          </cell>
          <cell r="U4335">
            <v>0</v>
          </cell>
          <cell r="V4335">
            <v>0</v>
          </cell>
          <cell r="W4335">
            <v>0</v>
          </cell>
        </row>
        <row r="4336">
          <cell r="A4336" t="str">
            <v>450340</v>
          </cell>
          <cell r="B4336" t="str">
            <v>1254</v>
          </cell>
          <cell r="C4336" t="str">
            <v>12</v>
          </cell>
          <cell r="D4336" t="str">
            <v>07</v>
          </cell>
          <cell r="E4336">
            <v>29</v>
          </cell>
          <cell r="G4336">
            <v>0</v>
          </cell>
          <cell r="H4336">
            <v>0</v>
          </cell>
          <cell r="I4336">
            <v>0</v>
          </cell>
          <cell r="J4336">
            <v>0</v>
          </cell>
          <cell r="K4336">
            <v>0</v>
          </cell>
          <cell r="L4336">
            <v>250</v>
          </cell>
          <cell r="M4336">
            <v>3555</v>
          </cell>
          <cell r="N4336">
            <v>0</v>
          </cell>
          <cell r="O4336">
            <v>99400</v>
          </cell>
          <cell r="P4336">
            <v>140140</v>
          </cell>
          <cell r="Q4336">
            <v>173843</v>
          </cell>
          <cell r="R4336">
            <v>0</v>
          </cell>
          <cell r="S4336">
            <v>0</v>
          </cell>
          <cell r="T4336">
            <v>0</v>
          </cell>
          <cell r="U4336">
            <v>0</v>
          </cell>
          <cell r="V4336">
            <v>0</v>
          </cell>
          <cell r="W4336">
            <v>0</v>
          </cell>
        </row>
        <row r="4337">
          <cell r="A4337" t="str">
            <v>450340</v>
          </cell>
          <cell r="B4337" t="str">
            <v>1254</v>
          </cell>
          <cell r="C4337" t="str">
            <v>12</v>
          </cell>
          <cell r="D4337" t="str">
            <v>08</v>
          </cell>
          <cell r="E4337">
            <v>1</v>
          </cell>
          <cell r="G4337">
            <v>0</v>
          </cell>
          <cell r="H4337">
            <v>0</v>
          </cell>
          <cell r="I4337">
            <v>0</v>
          </cell>
          <cell r="J4337">
            <v>160481</v>
          </cell>
          <cell r="K4337">
            <v>203317</v>
          </cell>
          <cell r="L4337">
            <v>162371</v>
          </cell>
          <cell r="M4337">
            <v>0</v>
          </cell>
          <cell r="N4337">
            <v>0</v>
          </cell>
          <cell r="O4337">
            <v>0</v>
          </cell>
          <cell r="P4337">
            <v>0</v>
          </cell>
          <cell r="Q4337">
            <v>0</v>
          </cell>
          <cell r="R4337">
            <v>17</v>
          </cell>
          <cell r="S4337">
            <v>0</v>
          </cell>
          <cell r="T4337">
            <v>0</v>
          </cell>
          <cell r="U4337">
            <v>0</v>
          </cell>
          <cell r="V4337">
            <v>0</v>
          </cell>
          <cell r="W4337">
            <v>0</v>
          </cell>
        </row>
        <row r="4338">
          <cell r="A4338" t="str">
            <v>450340</v>
          </cell>
          <cell r="B4338" t="str">
            <v>1254</v>
          </cell>
          <cell r="C4338" t="str">
            <v>12</v>
          </cell>
          <cell r="D4338" t="str">
            <v>08</v>
          </cell>
          <cell r="E4338">
            <v>6</v>
          </cell>
          <cell r="G4338">
            <v>0</v>
          </cell>
          <cell r="H4338">
            <v>0</v>
          </cell>
          <cell r="I4338">
            <v>0</v>
          </cell>
          <cell r="J4338">
            <v>0</v>
          </cell>
          <cell r="K4338">
            <v>0</v>
          </cell>
          <cell r="L4338">
            <v>0</v>
          </cell>
          <cell r="M4338">
            <v>0</v>
          </cell>
          <cell r="N4338">
            <v>0</v>
          </cell>
          <cell r="O4338">
            <v>0</v>
          </cell>
          <cell r="P4338">
            <v>160481</v>
          </cell>
          <cell r="Q4338">
            <v>203317</v>
          </cell>
          <cell r="R4338">
            <v>162388</v>
          </cell>
          <cell r="S4338">
            <v>0</v>
          </cell>
          <cell r="T4338">
            <v>0</v>
          </cell>
          <cell r="U4338">
            <v>20</v>
          </cell>
          <cell r="V4338">
            <v>0</v>
          </cell>
          <cell r="W4338">
            <v>0</v>
          </cell>
        </row>
        <row r="4339">
          <cell r="A4339" t="str">
            <v>450340</v>
          </cell>
          <cell r="B4339" t="str">
            <v>1254</v>
          </cell>
          <cell r="C4339" t="str">
            <v>12</v>
          </cell>
          <cell r="D4339" t="str">
            <v>08</v>
          </cell>
          <cell r="E4339">
            <v>11</v>
          </cell>
          <cell r="G4339">
            <v>0</v>
          </cell>
          <cell r="H4339">
            <v>0</v>
          </cell>
          <cell r="I4339">
            <v>908</v>
          </cell>
          <cell r="J4339">
            <v>0</v>
          </cell>
          <cell r="K4339">
            <v>0</v>
          </cell>
          <cell r="L4339">
            <v>0</v>
          </cell>
          <cell r="M4339">
            <v>0</v>
          </cell>
          <cell r="N4339">
            <v>0</v>
          </cell>
          <cell r="O4339">
            <v>0</v>
          </cell>
          <cell r="P4339">
            <v>0</v>
          </cell>
          <cell r="Q4339">
            <v>7425</v>
          </cell>
          <cell r="R4339">
            <v>0</v>
          </cell>
          <cell r="S4339">
            <v>0</v>
          </cell>
          <cell r="T4339">
            <v>7425</v>
          </cell>
          <cell r="U4339">
            <v>928</v>
          </cell>
          <cell r="V4339">
            <v>0</v>
          </cell>
          <cell r="W4339">
            <v>0</v>
          </cell>
        </row>
        <row r="4340">
          <cell r="A4340" t="str">
            <v>450340</v>
          </cell>
          <cell r="B4340" t="str">
            <v>1254</v>
          </cell>
          <cell r="C4340" t="str">
            <v>12</v>
          </cell>
          <cell r="D4340" t="str">
            <v>08</v>
          </cell>
          <cell r="E4340">
            <v>16</v>
          </cell>
          <cell r="G4340">
            <v>0</v>
          </cell>
          <cell r="H4340">
            <v>0</v>
          </cell>
          <cell r="I4340">
            <v>542</v>
          </cell>
          <cell r="J4340">
            <v>4000</v>
          </cell>
          <cell r="K4340">
            <v>4000</v>
          </cell>
          <cell r="L4340">
            <v>29503</v>
          </cell>
          <cell r="M4340">
            <v>0</v>
          </cell>
          <cell r="N4340">
            <v>145750</v>
          </cell>
          <cell r="O4340">
            <v>146540</v>
          </cell>
          <cell r="P4340">
            <v>0</v>
          </cell>
          <cell r="Q4340">
            <v>0</v>
          </cell>
          <cell r="R4340">
            <v>0</v>
          </cell>
          <cell r="S4340">
            <v>0</v>
          </cell>
          <cell r="T4340">
            <v>0</v>
          </cell>
          <cell r="U4340">
            <v>0</v>
          </cell>
          <cell r="V4340">
            <v>0</v>
          </cell>
          <cell r="W4340">
            <v>0</v>
          </cell>
        </row>
        <row r="4341">
          <cell r="A4341" t="str">
            <v>450340</v>
          </cell>
          <cell r="B4341" t="str">
            <v>1254</v>
          </cell>
          <cell r="C4341" t="str">
            <v>12</v>
          </cell>
          <cell r="D4341" t="str">
            <v>08</v>
          </cell>
          <cell r="E4341">
            <v>21</v>
          </cell>
          <cell r="G4341">
            <v>4000</v>
          </cell>
          <cell r="H4341">
            <v>149750</v>
          </cell>
          <cell r="I4341">
            <v>176585</v>
          </cell>
          <cell r="J4341">
            <v>164481</v>
          </cell>
          <cell r="K4341">
            <v>360492</v>
          </cell>
          <cell r="L4341">
            <v>339901</v>
          </cell>
          <cell r="M4341">
            <v>0</v>
          </cell>
          <cell r="N4341">
            <v>0</v>
          </cell>
          <cell r="O4341">
            <v>0</v>
          </cell>
          <cell r="P4341">
            <v>0</v>
          </cell>
          <cell r="Q4341">
            <v>0</v>
          </cell>
          <cell r="R4341">
            <v>0</v>
          </cell>
          <cell r="S4341">
            <v>0</v>
          </cell>
          <cell r="T4341">
            <v>0</v>
          </cell>
          <cell r="U4341">
            <v>0</v>
          </cell>
          <cell r="V4341">
            <v>0</v>
          </cell>
          <cell r="W4341">
            <v>0</v>
          </cell>
        </row>
        <row r="4342">
          <cell r="A4342" t="str">
            <v>450340</v>
          </cell>
          <cell r="B4342" t="str">
            <v>1254</v>
          </cell>
          <cell r="C4342" t="str">
            <v>12</v>
          </cell>
          <cell r="D4342" t="str">
            <v>09</v>
          </cell>
          <cell r="E4342">
            <v>1</v>
          </cell>
          <cell r="G4342">
            <v>0</v>
          </cell>
          <cell r="H4342">
            <v>0</v>
          </cell>
          <cell r="I4342">
            <v>0</v>
          </cell>
          <cell r="J4342">
            <v>0</v>
          </cell>
          <cell r="K4342">
            <v>0</v>
          </cell>
          <cell r="L4342">
            <v>0</v>
          </cell>
          <cell r="M4342">
            <v>0</v>
          </cell>
          <cell r="N4342">
            <v>0</v>
          </cell>
          <cell r="O4342">
            <v>0</v>
          </cell>
          <cell r="P4342">
            <v>0</v>
          </cell>
          <cell r="Q4342">
            <v>0</v>
          </cell>
          <cell r="R4342">
            <v>0</v>
          </cell>
          <cell r="S4342">
            <v>0</v>
          </cell>
          <cell r="T4342">
            <v>0</v>
          </cell>
          <cell r="U4342">
            <v>0</v>
          </cell>
          <cell r="V4342">
            <v>0</v>
          </cell>
          <cell r="W4342">
            <v>0</v>
          </cell>
        </row>
        <row r="4343">
          <cell r="A4343" t="str">
            <v>450340</v>
          </cell>
          <cell r="B4343" t="str">
            <v>1254</v>
          </cell>
          <cell r="C4343" t="str">
            <v>12</v>
          </cell>
          <cell r="D4343" t="str">
            <v>09</v>
          </cell>
          <cell r="E4343">
            <v>6</v>
          </cell>
          <cell r="G4343">
            <v>2372963</v>
          </cell>
          <cell r="H4343">
            <v>3181561</v>
          </cell>
          <cell r="I4343">
            <v>2691448</v>
          </cell>
          <cell r="J4343">
            <v>38413</v>
          </cell>
          <cell r="K4343">
            <v>41502</v>
          </cell>
          <cell r="L4343">
            <v>48251</v>
          </cell>
          <cell r="M4343">
            <v>0</v>
          </cell>
          <cell r="N4343">
            <v>0</v>
          </cell>
          <cell r="O4343">
            <v>0</v>
          </cell>
          <cell r="P4343">
            <v>0</v>
          </cell>
          <cell r="Q4343">
            <v>0</v>
          </cell>
          <cell r="R4343">
            <v>0</v>
          </cell>
          <cell r="S4343">
            <v>0</v>
          </cell>
          <cell r="T4343">
            <v>51274</v>
          </cell>
          <cell r="U4343">
            <v>49560</v>
          </cell>
          <cell r="V4343">
            <v>0</v>
          </cell>
          <cell r="W4343">
            <v>0</v>
          </cell>
        </row>
        <row r="4344">
          <cell r="A4344" t="str">
            <v>450340</v>
          </cell>
          <cell r="B4344" t="str">
            <v>1254</v>
          </cell>
          <cell r="C4344" t="str">
            <v>12</v>
          </cell>
          <cell r="D4344" t="str">
            <v>09</v>
          </cell>
          <cell r="E4344">
            <v>11</v>
          </cell>
          <cell r="G4344">
            <v>10500</v>
          </cell>
          <cell r="H4344">
            <v>14439</v>
          </cell>
          <cell r="I4344">
            <v>21801</v>
          </cell>
          <cell r="J4344">
            <v>41000</v>
          </cell>
          <cell r="K4344">
            <v>41000</v>
          </cell>
          <cell r="L4344">
            <v>38162</v>
          </cell>
          <cell r="M4344">
            <v>0</v>
          </cell>
          <cell r="N4344">
            <v>0</v>
          </cell>
          <cell r="O4344">
            <v>0</v>
          </cell>
          <cell r="P4344">
            <v>89913</v>
          </cell>
          <cell r="Q4344">
            <v>148215</v>
          </cell>
          <cell r="R4344">
            <v>157774</v>
          </cell>
          <cell r="S4344">
            <v>587047</v>
          </cell>
          <cell r="T4344">
            <v>417940</v>
          </cell>
          <cell r="U4344">
            <v>129122</v>
          </cell>
          <cell r="V4344">
            <v>0</v>
          </cell>
          <cell r="W4344">
            <v>0</v>
          </cell>
        </row>
        <row r="4345">
          <cell r="A4345" t="str">
            <v>450340</v>
          </cell>
          <cell r="B4345" t="str">
            <v>1254</v>
          </cell>
          <cell r="C4345" t="str">
            <v>12</v>
          </cell>
          <cell r="D4345" t="str">
            <v>09</v>
          </cell>
          <cell r="E4345">
            <v>16</v>
          </cell>
          <cell r="G4345">
            <v>0</v>
          </cell>
          <cell r="H4345">
            <v>0</v>
          </cell>
          <cell r="I4345">
            <v>0</v>
          </cell>
          <cell r="J4345">
            <v>0</v>
          </cell>
          <cell r="K4345">
            <v>0</v>
          </cell>
          <cell r="L4345">
            <v>0</v>
          </cell>
          <cell r="M4345">
            <v>0</v>
          </cell>
          <cell r="N4345">
            <v>0</v>
          </cell>
          <cell r="O4345">
            <v>0</v>
          </cell>
          <cell r="P4345">
            <v>0</v>
          </cell>
          <cell r="Q4345">
            <v>19503</v>
          </cell>
          <cell r="R4345">
            <v>4644</v>
          </cell>
          <cell r="S4345">
            <v>0</v>
          </cell>
          <cell r="T4345">
            <v>0</v>
          </cell>
          <cell r="U4345">
            <v>0</v>
          </cell>
          <cell r="V4345">
            <v>0</v>
          </cell>
          <cell r="W4345">
            <v>0</v>
          </cell>
        </row>
        <row r="4346">
          <cell r="A4346" t="str">
            <v>450340</v>
          </cell>
          <cell r="B4346" t="str">
            <v>1254</v>
          </cell>
          <cell r="C4346" t="str">
            <v>12</v>
          </cell>
          <cell r="D4346" t="str">
            <v>09</v>
          </cell>
          <cell r="E4346">
            <v>21</v>
          </cell>
          <cell r="G4346">
            <v>587047</v>
          </cell>
          <cell r="H4346">
            <v>437443</v>
          </cell>
          <cell r="I4346">
            <v>133766</v>
          </cell>
          <cell r="J4346">
            <v>676960</v>
          </cell>
          <cell r="K4346">
            <v>585658</v>
          </cell>
          <cell r="L4346">
            <v>291540</v>
          </cell>
          <cell r="M4346">
            <v>0</v>
          </cell>
          <cell r="N4346">
            <v>0</v>
          </cell>
          <cell r="O4346">
            <v>0</v>
          </cell>
          <cell r="P4346">
            <v>0</v>
          </cell>
          <cell r="Q4346">
            <v>0</v>
          </cell>
          <cell r="R4346">
            <v>0</v>
          </cell>
          <cell r="S4346">
            <v>0</v>
          </cell>
          <cell r="T4346">
            <v>0</v>
          </cell>
          <cell r="U4346">
            <v>0</v>
          </cell>
          <cell r="V4346">
            <v>0</v>
          </cell>
          <cell r="W4346">
            <v>0</v>
          </cell>
        </row>
        <row r="4347">
          <cell r="A4347" t="str">
            <v>450340</v>
          </cell>
          <cell r="B4347" t="str">
            <v>1254</v>
          </cell>
          <cell r="C4347" t="str">
            <v>12</v>
          </cell>
          <cell r="D4347" t="str">
            <v>09</v>
          </cell>
          <cell r="E4347">
            <v>26</v>
          </cell>
          <cell r="G4347">
            <v>0</v>
          </cell>
          <cell r="H4347">
            <v>0</v>
          </cell>
          <cell r="I4347">
            <v>0</v>
          </cell>
          <cell r="J4347">
            <v>3049923</v>
          </cell>
          <cell r="K4347">
            <v>3767219</v>
          </cell>
          <cell r="L4347">
            <v>2982988</v>
          </cell>
          <cell r="M4347">
            <v>0</v>
          </cell>
          <cell r="N4347">
            <v>0</v>
          </cell>
          <cell r="O4347">
            <v>0</v>
          </cell>
          <cell r="P4347">
            <v>0</v>
          </cell>
          <cell r="Q4347">
            <v>0</v>
          </cell>
          <cell r="R4347">
            <v>0</v>
          </cell>
          <cell r="S4347">
            <v>0</v>
          </cell>
          <cell r="T4347">
            <v>0</v>
          </cell>
          <cell r="U4347">
            <v>0</v>
          </cell>
          <cell r="V4347">
            <v>0</v>
          </cell>
          <cell r="W4347">
            <v>0</v>
          </cell>
        </row>
        <row r="4348">
          <cell r="A4348" t="str">
            <v>450340</v>
          </cell>
          <cell r="B4348" t="str">
            <v>1254</v>
          </cell>
          <cell r="C4348" t="str">
            <v>12</v>
          </cell>
          <cell r="D4348" t="str">
            <v>10</v>
          </cell>
          <cell r="E4348">
            <v>1</v>
          </cell>
          <cell r="G4348">
            <v>0</v>
          </cell>
          <cell r="H4348">
            <v>0</v>
          </cell>
          <cell r="I4348">
            <v>0</v>
          </cell>
          <cell r="J4348">
            <v>0</v>
          </cell>
          <cell r="K4348">
            <v>0</v>
          </cell>
          <cell r="L4348">
            <v>0</v>
          </cell>
          <cell r="M4348">
            <v>0</v>
          </cell>
          <cell r="N4348">
            <v>0</v>
          </cell>
          <cell r="O4348">
            <v>0</v>
          </cell>
          <cell r="P4348">
            <v>0</v>
          </cell>
          <cell r="Q4348">
            <v>0</v>
          </cell>
          <cell r="R4348">
            <v>0</v>
          </cell>
          <cell r="S4348">
            <v>0</v>
          </cell>
          <cell r="T4348">
            <v>0</v>
          </cell>
          <cell r="U4348">
            <v>0</v>
          </cell>
          <cell r="V4348">
            <v>0</v>
          </cell>
          <cell r="W4348">
            <v>0</v>
          </cell>
        </row>
        <row r="4349">
          <cell r="A4349" t="str">
            <v>450340</v>
          </cell>
          <cell r="B4349" t="str">
            <v>1254</v>
          </cell>
          <cell r="C4349" t="str">
            <v>12</v>
          </cell>
          <cell r="D4349" t="str">
            <v>10</v>
          </cell>
          <cell r="E4349">
            <v>6</v>
          </cell>
          <cell r="G4349">
            <v>0</v>
          </cell>
          <cell r="H4349">
            <v>0</v>
          </cell>
          <cell r="I4349">
            <v>0</v>
          </cell>
          <cell r="J4349">
            <v>0</v>
          </cell>
          <cell r="K4349">
            <v>0</v>
          </cell>
          <cell r="L4349">
            <v>0</v>
          </cell>
          <cell r="M4349">
            <v>0</v>
          </cell>
          <cell r="N4349">
            <v>0</v>
          </cell>
          <cell r="O4349">
            <v>0</v>
          </cell>
          <cell r="P4349">
            <v>0</v>
          </cell>
          <cell r="Q4349">
            <v>0</v>
          </cell>
          <cell r="R4349">
            <v>0</v>
          </cell>
          <cell r="S4349">
            <v>0</v>
          </cell>
          <cell r="T4349">
            <v>0</v>
          </cell>
          <cell r="U4349">
            <v>0</v>
          </cell>
          <cell r="V4349">
            <v>0</v>
          </cell>
          <cell r="W4349">
            <v>0</v>
          </cell>
        </row>
        <row r="4350">
          <cell r="A4350" t="str">
            <v>450340</v>
          </cell>
          <cell r="B4350" t="str">
            <v>1254</v>
          </cell>
          <cell r="C4350" t="str">
            <v>12</v>
          </cell>
          <cell r="D4350" t="str">
            <v>10</v>
          </cell>
          <cell r="E4350">
            <v>11</v>
          </cell>
          <cell r="G4350">
            <v>0</v>
          </cell>
          <cell r="H4350">
            <v>0</v>
          </cell>
          <cell r="I4350">
            <v>0</v>
          </cell>
          <cell r="J4350">
            <v>0</v>
          </cell>
          <cell r="K4350">
            <v>0</v>
          </cell>
          <cell r="L4350">
            <v>0</v>
          </cell>
          <cell r="M4350">
            <v>0</v>
          </cell>
          <cell r="N4350">
            <v>0</v>
          </cell>
          <cell r="O4350">
            <v>0</v>
          </cell>
          <cell r="P4350">
            <v>0</v>
          </cell>
          <cell r="Q4350">
            <v>0</v>
          </cell>
          <cell r="R4350">
            <v>0</v>
          </cell>
          <cell r="S4350">
            <v>0</v>
          </cell>
          <cell r="T4350">
            <v>0</v>
          </cell>
          <cell r="U4350">
            <v>0</v>
          </cell>
          <cell r="V4350">
            <v>0</v>
          </cell>
          <cell r="W4350">
            <v>0</v>
          </cell>
        </row>
        <row r="4351">
          <cell r="A4351" t="str">
            <v>450340</v>
          </cell>
          <cell r="B4351" t="str">
            <v>1254</v>
          </cell>
          <cell r="C4351" t="str">
            <v>12</v>
          </cell>
          <cell r="D4351" t="str">
            <v>10</v>
          </cell>
          <cell r="E4351">
            <v>16</v>
          </cell>
          <cell r="G4351">
            <v>0</v>
          </cell>
          <cell r="H4351">
            <v>0</v>
          </cell>
          <cell r="I4351">
            <v>0</v>
          </cell>
          <cell r="J4351">
            <v>0</v>
          </cell>
          <cell r="K4351">
            <v>0</v>
          </cell>
          <cell r="L4351">
            <v>0</v>
          </cell>
          <cell r="M4351">
            <v>0</v>
          </cell>
          <cell r="N4351">
            <v>0</v>
          </cell>
          <cell r="O4351">
            <v>0</v>
          </cell>
          <cell r="P4351">
            <v>0</v>
          </cell>
          <cell r="Q4351">
            <v>0</v>
          </cell>
          <cell r="R4351">
            <v>0</v>
          </cell>
          <cell r="S4351">
            <v>0</v>
          </cell>
          <cell r="T4351">
            <v>0</v>
          </cell>
          <cell r="U4351">
            <v>0</v>
          </cell>
          <cell r="V4351">
            <v>0</v>
          </cell>
          <cell r="W4351">
            <v>0</v>
          </cell>
        </row>
        <row r="4352">
          <cell r="A4352" t="str">
            <v>450340</v>
          </cell>
          <cell r="B4352" t="str">
            <v>1254</v>
          </cell>
          <cell r="C4352" t="str">
            <v>12</v>
          </cell>
          <cell r="D4352" t="str">
            <v>10</v>
          </cell>
          <cell r="E4352">
            <v>21</v>
          </cell>
          <cell r="G4352">
            <v>0</v>
          </cell>
          <cell r="H4352">
            <v>0</v>
          </cell>
          <cell r="I4352">
            <v>0</v>
          </cell>
          <cell r="J4352">
            <v>0</v>
          </cell>
          <cell r="K4352">
            <v>0</v>
          </cell>
          <cell r="L4352">
            <v>0</v>
          </cell>
          <cell r="M4352">
            <v>0</v>
          </cell>
          <cell r="N4352">
            <v>0</v>
          </cell>
          <cell r="O4352">
            <v>0</v>
          </cell>
          <cell r="P4352">
            <v>0</v>
          </cell>
          <cell r="Q4352">
            <v>0</v>
          </cell>
          <cell r="R4352">
            <v>0</v>
          </cell>
          <cell r="S4352">
            <v>0</v>
          </cell>
          <cell r="T4352">
            <v>0</v>
          </cell>
          <cell r="U4352">
            <v>0</v>
          </cell>
          <cell r="V4352">
            <v>0</v>
          </cell>
          <cell r="W4352">
            <v>0</v>
          </cell>
        </row>
        <row r="4353">
          <cell r="A4353" t="str">
            <v>450340</v>
          </cell>
          <cell r="B4353" t="str">
            <v>1254</v>
          </cell>
          <cell r="C4353" t="str">
            <v>12</v>
          </cell>
          <cell r="D4353" t="str">
            <v>10</v>
          </cell>
          <cell r="E4353">
            <v>26</v>
          </cell>
          <cell r="G4353">
            <v>0</v>
          </cell>
          <cell r="H4353">
            <v>0</v>
          </cell>
          <cell r="I4353">
            <v>0</v>
          </cell>
          <cell r="J4353">
            <v>0</v>
          </cell>
          <cell r="K4353">
            <v>0</v>
          </cell>
          <cell r="L4353">
            <v>0</v>
          </cell>
          <cell r="M4353">
            <v>0</v>
          </cell>
          <cell r="N4353">
            <v>0</v>
          </cell>
          <cell r="O4353">
            <v>0</v>
          </cell>
          <cell r="P4353">
            <v>0</v>
          </cell>
          <cell r="Q4353">
            <v>0</v>
          </cell>
          <cell r="R4353">
            <v>0</v>
          </cell>
          <cell r="S4353">
            <v>0</v>
          </cell>
          <cell r="T4353">
            <v>0</v>
          </cell>
          <cell r="U4353">
            <v>0</v>
          </cell>
          <cell r="V4353">
            <v>0</v>
          </cell>
          <cell r="W4353">
            <v>0</v>
          </cell>
        </row>
        <row r="4354">
          <cell r="A4354" t="str">
            <v>450340</v>
          </cell>
          <cell r="B4354" t="str">
            <v>1254</v>
          </cell>
          <cell r="C4354" t="str">
            <v>12</v>
          </cell>
          <cell r="D4354" t="str">
            <v>10</v>
          </cell>
          <cell r="E4354">
            <v>31</v>
          </cell>
          <cell r="G4354">
            <v>0</v>
          </cell>
          <cell r="H4354">
            <v>0</v>
          </cell>
          <cell r="I4354">
            <v>0</v>
          </cell>
          <cell r="J4354">
            <v>0</v>
          </cell>
          <cell r="K4354">
            <v>0</v>
          </cell>
          <cell r="L4354">
            <v>0</v>
          </cell>
          <cell r="M4354">
            <v>0</v>
          </cell>
          <cell r="N4354">
            <v>0</v>
          </cell>
          <cell r="O4354">
            <v>0</v>
          </cell>
          <cell r="P4354">
            <v>0</v>
          </cell>
          <cell r="Q4354">
            <v>0</v>
          </cell>
          <cell r="R4354">
            <v>0</v>
          </cell>
          <cell r="S4354">
            <v>0</v>
          </cell>
          <cell r="T4354">
            <v>0</v>
          </cell>
          <cell r="U4354">
            <v>0</v>
          </cell>
          <cell r="V4354">
            <v>0</v>
          </cell>
          <cell r="W4354">
            <v>0</v>
          </cell>
        </row>
        <row r="4355">
          <cell r="A4355" t="str">
            <v>450340</v>
          </cell>
          <cell r="B4355" t="str">
            <v>1254</v>
          </cell>
          <cell r="C4355" t="str">
            <v>12</v>
          </cell>
          <cell r="D4355" t="str">
            <v>10</v>
          </cell>
          <cell r="E4355">
            <v>36</v>
          </cell>
          <cell r="G4355">
            <v>0</v>
          </cell>
          <cell r="H4355">
            <v>0</v>
          </cell>
          <cell r="I4355">
            <v>0</v>
          </cell>
          <cell r="J4355">
            <v>0</v>
          </cell>
          <cell r="K4355">
            <v>0</v>
          </cell>
          <cell r="L4355">
            <v>0</v>
          </cell>
          <cell r="M4355">
            <v>0</v>
          </cell>
          <cell r="N4355">
            <v>0</v>
          </cell>
          <cell r="O4355">
            <v>140</v>
          </cell>
          <cell r="P4355">
            <v>0</v>
          </cell>
          <cell r="Q4355">
            <v>0</v>
          </cell>
          <cell r="R4355">
            <v>0</v>
          </cell>
          <cell r="S4355">
            <v>0</v>
          </cell>
          <cell r="T4355">
            <v>0</v>
          </cell>
          <cell r="U4355">
            <v>0</v>
          </cell>
          <cell r="V4355">
            <v>0</v>
          </cell>
          <cell r="W4355">
            <v>0</v>
          </cell>
        </row>
        <row r="4356">
          <cell r="A4356" t="str">
            <v>450340</v>
          </cell>
          <cell r="B4356" t="str">
            <v>1254</v>
          </cell>
          <cell r="C4356" t="str">
            <v>12</v>
          </cell>
          <cell r="D4356" t="str">
            <v>10</v>
          </cell>
          <cell r="E4356">
            <v>41</v>
          </cell>
          <cell r="G4356">
            <v>0</v>
          </cell>
          <cell r="H4356">
            <v>0</v>
          </cell>
          <cell r="I4356">
            <v>140</v>
          </cell>
          <cell r="J4356">
            <v>0</v>
          </cell>
          <cell r="K4356">
            <v>0</v>
          </cell>
          <cell r="L4356">
            <v>0</v>
          </cell>
          <cell r="M4356">
            <v>0</v>
          </cell>
          <cell r="N4356">
            <v>0</v>
          </cell>
          <cell r="O4356">
            <v>0</v>
          </cell>
          <cell r="P4356">
            <v>0</v>
          </cell>
          <cell r="Q4356">
            <v>0</v>
          </cell>
          <cell r="R4356">
            <v>0</v>
          </cell>
          <cell r="S4356">
            <v>0</v>
          </cell>
          <cell r="T4356">
            <v>0</v>
          </cell>
          <cell r="U4356">
            <v>0</v>
          </cell>
          <cell r="V4356">
            <v>0</v>
          </cell>
          <cell r="W4356">
            <v>0</v>
          </cell>
        </row>
        <row r="4357">
          <cell r="A4357" t="str">
            <v>450340</v>
          </cell>
          <cell r="B4357" t="str">
            <v>1254</v>
          </cell>
          <cell r="C4357" t="str">
            <v>12</v>
          </cell>
          <cell r="D4357" t="str">
            <v>10</v>
          </cell>
          <cell r="E4357">
            <v>46</v>
          </cell>
          <cell r="G4357">
            <v>0</v>
          </cell>
          <cell r="H4357">
            <v>0</v>
          </cell>
          <cell r="I4357">
            <v>0</v>
          </cell>
          <cell r="J4357">
            <v>0</v>
          </cell>
          <cell r="K4357">
            <v>0</v>
          </cell>
          <cell r="L4357">
            <v>0</v>
          </cell>
          <cell r="M4357">
            <v>0</v>
          </cell>
          <cell r="N4357">
            <v>0</v>
          </cell>
          <cell r="O4357">
            <v>10500</v>
          </cell>
          <cell r="P4357">
            <v>0</v>
          </cell>
          <cell r="Q4357">
            <v>0</v>
          </cell>
          <cell r="R4357">
            <v>10500</v>
          </cell>
          <cell r="S4357">
            <v>0</v>
          </cell>
          <cell r="T4357">
            <v>0</v>
          </cell>
          <cell r="U4357">
            <v>6395</v>
          </cell>
          <cell r="V4357">
            <v>0</v>
          </cell>
          <cell r="W4357">
            <v>0</v>
          </cell>
        </row>
        <row r="4358">
          <cell r="A4358" t="str">
            <v>450340</v>
          </cell>
          <cell r="B4358" t="str">
            <v>1254</v>
          </cell>
          <cell r="C4358" t="str">
            <v>12</v>
          </cell>
          <cell r="D4358" t="str">
            <v>10</v>
          </cell>
          <cell r="E4358">
            <v>51</v>
          </cell>
          <cell r="G4358">
            <v>0</v>
          </cell>
          <cell r="H4358">
            <v>0</v>
          </cell>
          <cell r="I4358">
            <v>0</v>
          </cell>
          <cell r="J4358">
            <v>0</v>
          </cell>
          <cell r="K4358">
            <v>0</v>
          </cell>
          <cell r="L4358">
            <v>0</v>
          </cell>
          <cell r="M4358">
            <v>0</v>
          </cell>
          <cell r="N4358">
            <v>10500</v>
          </cell>
          <cell r="O4358">
            <v>16895</v>
          </cell>
          <cell r="P4358">
            <v>0</v>
          </cell>
          <cell r="Q4358">
            <v>10500</v>
          </cell>
          <cell r="R4358">
            <v>17035</v>
          </cell>
          <cell r="S4358">
            <v>0</v>
          </cell>
          <cell r="T4358">
            <v>10500</v>
          </cell>
          <cell r="U4358">
            <v>17035</v>
          </cell>
          <cell r="V4358">
            <v>0</v>
          </cell>
          <cell r="W4358">
            <v>0</v>
          </cell>
        </row>
        <row r="4359">
          <cell r="A4359" t="str">
            <v>450340</v>
          </cell>
          <cell r="B4359" t="str">
            <v>1254</v>
          </cell>
          <cell r="C4359" t="str">
            <v>12</v>
          </cell>
          <cell r="D4359" t="str">
            <v>10</v>
          </cell>
          <cell r="E4359">
            <v>56</v>
          </cell>
          <cell r="G4359">
            <v>219607</v>
          </cell>
          <cell r="H4359">
            <v>72997</v>
          </cell>
          <cell r="I4359">
            <v>72997</v>
          </cell>
          <cell r="J4359">
            <v>0</v>
          </cell>
          <cell r="K4359">
            <v>0</v>
          </cell>
          <cell r="L4359">
            <v>0</v>
          </cell>
          <cell r="M4359">
            <v>0</v>
          </cell>
          <cell r="N4359">
            <v>0</v>
          </cell>
          <cell r="O4359">
            <v>0</v>
          </cell>
          <cell r="P4359">
            <v>219607</v>
          </cell>
          <cell r="Q4359">
            <v>72997</v>
          </cell>
          <cell r="R4359">
            <v>72997</v>
          </cell>
          <cell r="S4359">
            <v>828853</v>
          </cell>
          <cell r="T4359">
            <v>412024</v>
          </cell>
          <cell r="U4359">
            <v>0</v>
          </cell>
          <cell r="V4359">
            <v>0</v>
          </cell>
          <cell r="W4359">
            <v>0</v>
          </cell>
        </row>
        <row r="4360">
          <cell r="A4360" t="str">
            <v>450340</v>
          </cell>
          <cell r="B4360" t="str">
            <v>1254</v>
          </cell>
          <cell r="C4360" t="str">
            <v>12</v>
          </cell>
          <cell r="D4360" t="str">
            <v>10</v>
          </cell>
          <cell r="E4360">
            <v>61</v>
          </cell>
          <cell r="G4360">
            <v>0</v>
          </cell>
          <cell r="H4360">
            <v>0</v>
          </cell>
          <cell r="I4360">
            <v>0</v>
          </cell>
          <cell r="J4360">
            <v>0</v>
          </cell>
          <cell r="K4360">
            <v>0</v>
          </cell>
          <cell r="L4360">
            <v>0</v>
          </cell>
          <cell r="M4360">
            <v>0</v>
          </cell>
          <cell r="N4360">
            <v>129570</v>
          </cell>
          <cell r="O4360">
            <v>0</v>
          </cell>
          <cell r="P4360">
            <v>0</v>
          </cell>
          <cell r="Q4360">
            <v>0</v>
          </cell>
          <cell r="R4360">
            <v>11249</v>
          </cell>
          <cell r="S4360">
            <v>828853</v>
          </cell>
          <cell r="T4360">
            <v>541594</v>
          </cell>
          <cell r="U4360">
            <v>11249</v>
          </cell>
          <cell r="V4360">
            <v>0</v>
          </cell>
          <cell r="W4360">
            <v>0</v>
          </cell>
        </row>
        <row r="4361">
          <cell r="A4361" t="str">
            <v>450340</v>
          </cell>
          <cell r="B4361" t="str">
            <v>1254</v>
          </cell>
          <cell r="C4361" t="str">
            <v>12</v>
          </cell>
          <cell r="D4361" t="str">
            <v>10</v>
          </cell>
          <cell r="E4361">
            <v>66</v>
          </cell>
          <cell r="G4361">
            <v>0</v>
          </cell>
          <cell r="H4361">
            <v>0</v>
          </cell>
          <cell r="I4361">
            <v>0</v>
          </cell>
          <cell r="J4361">
            <v>0</v>
          </cell>
          <cell r="K4361">
            <v>0</v>
          </cell>
          <cell r="L4361">
            <v>0</v>
          </cell>
          <cell r="M4361">
            <v>0</v>
          </cell>
          <cell r="N4361">
            <v>0</v>
          </cell>
          <cell r="O4361">
            <v>0</v>
          </cell>
          <cell r="P4361">
            <v>828853</v>
          </cell>
          <cell r="Q4361">
            <v>541594</v>
          </cell>
          <cell r="R4361">
            <v>11249</v>
          </cell>
          <cell r="S4361">
            <v>0</v>
          </cell>
          <cell r="T4361">
            <v>0</v>
          </cell>
          <cell r="U4361">
            <v>0</v>
          </cell>
          <cell r="V4361">
            <v>0</v>
          </cell>
          <cell r="W4361">
            <v>0</v>
          </cell>
        </row>
        <row r="4362">
          <cell r="A4362" t="str">
            <v>450340</v>
          </cell>
          <cell r="B4362" t="str">
            <v>1254</v>
          </cell>
          <cell r="C4362" t="str">
            <v>12</v>
          </cell>
          <cell r="D4362" t="str">
            <v>10</v>
          </cell>
          <cell r="E4362">
            <v>71</v>
          </cell>
          <cell r="G4362">
            <v>0</v>
          </cell>
          <cell r="H4362">
            <v>0</v>
          </cell>
          <cell r="I4362">
            <v>0</v>
          </cell>
          <cell r="J4362">
            <v>0</v>
          </cell>
          <cell r="K4362">
            <v>0</v>
          </cell>
          <cell r="L4362">
            <v>0</v>
          </cell>
          <cell r="M4362">
            <v>0</v>
          </cell>
          <cell r="N4362">
            <v>0</v>
          </cell>
          <cell r="O4362">
            <v>0</v>
          </cell>
          <cell r="P4362">
            <v>828853</v>
          </cell>
          <cell r="Q4362">
            <v>541594</v>
          </cell>
          <cell r="R4362">
            <v>11249</v>
          </cell>
          <cell r="S4362">
            <v>0</v>
          </cell>
          <cell r="T4362">
            <v>0</v>
          </cell>
          <cell r="U4362">
            <v>0</v>
          </cell>
          <cell r="V4362">
            <v>0</v>
          </cell>
          <cell r="W4362">
            <v>0</v>
          </cell>
        </row>
        <row r="4363">
          <cell r="A4363" t="str">
            <v>450340</v>
          </cell>
          <cell r="B4363" t="str">
            <v>1254</v>
          </cell>
          <cell r="C4363" t="str">
            <v>12</v>
          </cell>
          <cell r="D4363" t="str">
            <v>10</v>
          </cell>
          <cell r="E4363">
            <v>76</v>
          </cell>
          <cell r="G4363">
            <v>0</v>
          </cell>
          <cell r="H4363">
            <v>0</v>
          </cell>
          <cell r="I4363">
            <v>0</v>
          </cell>
          <cell r="J4363">
            <v>0</v>
          </cell>
          <cell r="K4363">
            <v>0</v>
          </cell>
          <cell r="L4363">
            <v>0</v>
          </cell>
          <cell r="M4363">
            <v>0</v>
          </cell>
          <cell r="N4363">
            <v>0</v>
          </cell>
          <cell r="O4363">
            <v>0</v>
          </cell>
          <cell r="P4363">
            <v>0</v>
          </cell>
          <cell r="Q4363">
            <v>0</v>
          </cell>
          <cell r="R4363">
            <v>0</v>
          </cell>
          <cell r="S4363">
            <v>0</v>
          </cell>
          <cell r="T4363">
            <v>0</v>
          </cell>
          <cell r="U4363">
            <v>0</v>
          </cell>
          <cell r="V4363">
            <v>0</v>
          </cell>
          <cell r="W4363">
            <v>0</v>
          </cell>
        </row>
        <row r="4364">
          <cell r="A4364" t="str">
            <v>450340</v>
          </cell>
          <cell r="B4364" t="str">
            <v>1254</v>
          </cell>
          <cell r="C4364" t="str">
            <v>12</v>
          </cell>
          <cell r="D4364" t="str">
            <v>10</v>
          </cell>
          <cell r="E4364">
            <v>81</v>
          </cell>
          <cell r="G4364">
            <v>828853</v>
          </cell>
          <cell r="H4364">
            <v>541594</v>
          </cell>
          <cell r="I4364">
            <v>11249</v>
          </cell>
          <cell r="J4364">
            <v>0</v>
          </cell>
          <cell r="K4364">
            <v>0</v>
          </cell>
          <cell r="L4364">
            <v>0</v>
          </cell>
          <cell r="M4364">
            <v>0</v>
          </cell>
          <cell r="N4364">
            <v>0</v>
          </cell>
          <cell r="O4364">
            <v>0</v>
          </cell>
          <cell r="P4364">
            <v>0</v>
          </cell>
          <cell r="Q4364">
            <v>0</v>
          </cell>
          <cell r="R4364">
            <v>0</v>
          </cell>
          <cell r="S4364">
            <v>0</v>
          </cell>
          <cell r="T4364">
            <v>0</v>
          </cell>
          <cell r="U4364">
            <v>0</v>
          </cell>
          <cell r="V4364">
            <v>0</v>
          </cell>
          <cell r="W4364">
            <v>0</v>
          </cell>
        </row>
        <row r="4365">
          <cell r="A4365" t="str">
            <v>450340</v>
          </cell>
          <cell r="B4365" t="str">
            <v>1254</v>
          </cell>
          <cell r="C4365" t="str">
            <v>12</v>
          </cell>
          <cell r="D4365" t="str">
            <v>10</v>
          </cell>
          <cell r="E4365">
            <v>86</v>
          </cell>
          <cell r="G4365">
            <v>0</v>
          </cell>
          <cell r="H4365">
            <v>0</v>
          </cell>
          <cell r="I4365">
            <v>0</v>
          </cell>
          <cell r="J4365">
            <v>0</v>
          </cell>
          <cell r="K4365">
            <v>0</v>
          </cell>
          <cell r="L4365">
            <v>0</v>
          </cell>
          <cell r="M4365">
            <v>0</v>
          </cell>
          <cell r="N4365">
            <v>0</v>
          </cell>
          <cell r="O4365">
            <v>0</v>
          </cell>
          <cell r="P4365">
            <v>0</v>
          </cell>
          <cell r="Q4365">
            <v>0</v>
          </cell>
          <cell r="R4365">
            <v>0</v>
          </cell>
          <cell r="S4365">
            <v>0</v>
          </cell>
          <cell r="T4365">
            <v>0</v>
          </cell>
          <cell r="U4365">
            <v>0</v>
          </cell>
          <cell r="V4365">
            <v>0</v>
          </cell>
          <cell r="W4365">
            <v>0</v>
          </cell>
        </row>
        <row r="4366">
          <cell r="A4366" t="str">
            <v>450340</v>
          </cell>
          <cell r="B4366" t="str">
            <v>1254</v>
          </cell>
          <cell r="C4366" t="str">
            <v>12</v>
          </cell>
          <cell r="D4366" t="str">
            <v>10</v>
          </cell>
          <cell r="E4366">
            <v>91</v>
          </cell>
          <cell r="G4366">
            <v>0</v>
          </cell>
          <cell r="H4366">
            <v>0</v>
          </cell>
          <cell r="I4366">
            <v>0</v>
          </cell>
          <cell r="J4366">
            <v>0</v>
          </cell>
          <cell r="K4366">
            <v>0</v>
          </cell>
          <cell r="L4366">
            <v>0</v>
          </cell>
          <cell r="M4366">
            <v>0</v>
          </cell>
          <cell r="N4366">
            <v>0</v>
          </cell>
          <cell r="O4366">
            <v>0</v>
          </cell>
          <cell r="P4366">
            <v>0</v>
          </cell>
          <cell r="Q4366">
            <v>0</v>
          </cell>
          <cell r="R4366">
            <v>0</v>
          </cell>
          <cell r="S4366">
            <v>0</v>
          </cell>
          <cell r="T4366">
            <v>0</v>
          </cell>
          <cell r="U4366">
            <v>0</v>
          </cell>
          <cell r="V4366">
            <v>0</v>
          </cell>
          <cell r="W4366">
            <v>0</v>
          </cell>
        </row>
        <row r="4367">
          <cell r="A4367" t="str">
            <v>450340</v>
          </cell>
          <cell r="B4367" t="str">
            <v>1254</v>
          </cell>
          <cell r="C4367" t="str">
            <v>12</v>
          </cell>
          <cell r="D4367" t="str">
            <v>10</v>
          </cell>
          <cell r="E4367">
            <v>96</v>
          </cell>
          <cell r="G4367">
            <v>0</v>
          </cell>
          <cell r="H4367">
            <v>0</v>
          </cell>
          <cell r="I4367">
            <v>0</v>
          </cell>
          <cell r="J4367">
            <v>0</v>
          </cell>
          <cell r="K4367">
            <v>0</v>
          </cell>
          <cell r="L4367">
            <v>0</v>
          </cell>
          <cell r="M4367">
            <v>0</v>
          </cell>
          <cell r="N4367">
            <v>0</v>
          </cell>
          <cell r="O4367">
            <v>0</v>
          </cell>
          <cell r="P4367">
            <v>0</v>
          </cell>
          <cell r="Q4367">
            <v>0</v>
          </cell>
          <cell r="R4367">
            <v>0</v>
          </cell>
          <cell r="S4367">
            <v>0</v>
          </cell>
          <cell r="T4367">
            <v>0</v>
          </cell>
          <cell r="U4367">
            <v>0</v>
          </cell>
          <cell r="V4367">
            <v>0</v>
          </cell>
          <cell r="W4367">
            <v>0</v>
          </cell>
        </row>
        <row r="4368">
          <cell r="A4368" t="str">
            <v>450340</v>
          </cell>
          <cell r="B4368" t="str">
            <v>1254</v>
          </cell>
          <cell r="C4368" t="str">
            <v>12</v>
          </cell>
          <cell r="D4368" t="str">
            <v>10</v>
          </cell>
          <cell r="E4368">
            <v>101</v>
          </cell>
          <cell r="G4368">
            <v>0</v>
          </cell>
          <cell r="H4368">
            <v>0</v>
          </cell>
          <cell r="I4368">
            <v>0</v>
          </cell>
          <cell r="J4368">
            <v>0</v>
          </cell>
          <cell r="K4368">
            <v>0</v>
          </cell>
          <cell r="L4368">
            <v>0</v>
          </cell>
          <cell r="M4368">
            <v>0</v>
          </cell>
          <cell r="N4368">
            <v>0</v>
          </cell>
          <cell r="O4368">
            <v>0</v>
          </cell>
          <cell r="P4368">
            <v>0</v>
          </cell>
          <cell r="Q4368">
            <v>0</v>
          </cell>
          <cell r="R4368">
            <v>0</v>
          </cell>
          <cell r="S4368">
            <v>0</v>
          </cell>
          <cell r="T4368">
            <v>0</v>
          </cell>
          <cell r="U4368">
            <v>0</v>
          </cell>
          <cell r="V4368">
            <v>0</v>
          </cell>
          <cell r="W4368">
            <v>0</v>
          </cell>
        </row>
        <row r="4369">
          <cell r="A4369" t="str">
            <v>450340</v>
          </cell>
          <cell r="B4369" t="str">
            <v>1254</v>
          </cell>
          <cell r="C4369" t="str">
            <v>12</v>
          </cell>
          <cell r="D4369" t="str">
            <v>10</v>
          </cell>
          <cell r="E4369">
            <v>106</v>
          </cell>
          <cell r="G4369">
            <v>0</v>
          </cell>
          <cell r="H4369">
            <v>0</v>
          </cell>
          <cell r="I4369">
            <v>0</v>
          </cell>
          <cell r="J4369">
            <v>0</v>
          </cell>
          <cell r="K4369">
            <v>0</v>
          </cell>
          <cell r="L4369">
            <v>0</v>
          </cell>
          <cell r="M4369">
            <v>0</v>
          </cell>
          <cell r="N4369">
            <v>0</v>
          </cell>
          <cell r="O4369">
            <v>-5329</v>
          </cell>
          <cell r="P4369">
            <v>0</v>
          </cell>
          <cell r="Q4369">
            <v>0</v>
          </cell>
          <cell r="R4369">
            <v>1089</v>
          </cell>
          <cell r="S4369">
            <v>0</v>
          </cell>
          <cell r="T4369">
            <v>0</v>
          </cell>
          <cell r="U4369">
            <v>-27018</v>
          </cell>
          <cell r="V4369">
            <v>0</v>
          </cell>
          <cell r="W4369">
            <v>0</v>
          </cell>
        </row>
        <row r="4370">
          <cell r="A4370" t="str">
            <v>450340</v>
          </cell>
          <cell r="B4370" t="str">
            <v>1254</v>
          </cell>
          <cell r="C4370" t="str">
            <v>12</v>
          </cell>
          <cell r="D4370" t="str">
            <v>10</v>
          </cell>
          <cell r="E4370">
            <v>111</v>
          </cell>
          <cell r="G4370">
            <v>0</v>
          </cell>
          <cell r="H4370">
            <v>0</v>
          </cell>
          <cell r="I4370">
            <v>-31258</v>
          </cell>
          <cell r="J4370">
            <v>1048460</v>
          </cell>
          <cell r="K4370">
            <v>625091</v>
          </cell>
          <cell r="L4370">
            <v>70023</v>
          </cell>
          <cell r="M4370">
            <v>0</v>
          </cell>
          <cell r="N4370">
            <v>0</v>
          </cell>
          <cell r="O4370">
            <v>0</v>
          </cell>
          <cell r="P4370">
            <v>0</v>
          </cell>
          <cell r="Q4370">
            <v>0</v>
          </cell>
          <cell r="R4370">
            <v>0</v>
          </cell>
          <cell r="S4370">
            <v>0</v>
          </cell>
          <cell r="T4370">
            <v>0</v>
          </cell>
          <cell r="U4370">
            <v>0</v>
          </cell>
          <cell r="V4370">
            <v>0</v>
          </cell>
          <cell r="W4370">
            <v>0</v>
          </cell>
        </row>
        <row r="4371">
          <cell r="A4371" t="str">
            <v>450340</v>
          </cell>
          <cell r="B4371" t="str">
            <v>1254</v>
          </cell>
          <cell r="C4371" t="str">
            <v>12</v>
          </cell>
          <cell r="D4371" t="str">
            <v>12</v>
          </cell>
          <cell r="E4371">
            <v>1</v>
          </cell>
          <cell r="G4371">
            <v>24557</v>
          </cell>
          <cell r="H4371">
            <v>62579</v>
          </cell>
          <cell r="I4371">
            <v>46094</v>
          </cell>
          <cell r="J4371">
            <v>910</v>
          </cell>
          <cell r="K4371">
            <v>2210</v>
          </cell>
          <cell r="L4371">
            <v>2155</v>
          </cell>
          <cell r="M4371">
            <v>0</v>
          </cell>
          <cell r="N4371">
            <v>0</v>
          </cell>
          <cell r="O4371">
            <v>0</v>
          </cell>
          <cell r="P4371">
            <v>443</v>
          </cell>
          <cell r="Q4371">
            <v>1349</v>
          </cell>
          <cell r="R4371">
            <v>932</v>
          </cell>
          <cell r="S4371">
            <v>947</v>
          </cell>
          <cell r="T4371">
            <v>3163</v>
          </cell>
          <cell r="U4371">
            <v>2724</v>
          </cell>
          <cell r="V4371">
            <v>0</v>
          </cell>
          <cell r="W4371">
            <v>0</v>
          </cell>
        </row>
        <row r="4372">
          <cell r="A4372" t="str">
            <v>450340</v>
          </cell>
          <cell r="B4372" t="str">
            <v>1254</v>
          </cell>
          <cell r="C4372" t="str">
            <v>12</v>
          </cell>
          <cell r="D4372" t="str">
            <v>12</v>
          </cell>
          <cell r="E4372">
            <v>6</v>
          </cell>
          <cell r="G4372">
            <v>0</v>
          </cell>
          <cell r="H4372">
            <v>0</v>
          </cell>
          <cell r="I4372">
            <v>0</v>
          </cell>
          <cell r="J4372">
            <v>3281</v>
          </cell>
          <cell r="K4372">
            <v>3401</v>
          </cell>
          <cell r="L4372">
            <v>3492</v>
          </cell>
          <cell r="M4372">
            <v>1344</v>
          </cell>
          <cell r="N4372">
            <v>3337</v>
          </cell>
          <cell r="O4372">
            <v>2007</v>
          </cell>
          <cell r="P4372">
            <v>8389</v>
          </cell>
          <cell r="Q4372">
            <v>23415</v>
          </cell>
          <cell r="R4372">
            <v>23388</v>
          </cell>
          <cell r="S4372">
            <v>0</v>
          </cell>
          <cell r="T4372">
            <v>0</v>
          </cell>
          <cell r="U4372">
            <v>0</v>
          </cell>
          <cell r="V4372">
            <v>0</v>
          </cell>
          <cell r="W4372">
            <v>0</v>
          </cell>
        </row>
        <row r="4373">
          <cell r="A4373" t="str">
            <v>450340</v>
          </cell>
          <cell r="B4373" t="str">
            <v>1254</v>
          </cell>
          <cell r="C4373" t="str">
            <v>12</v>
          </cell>
          <cell r="D4373" t="str">
            <v>12</v>
          </cell>
          <cell r="E4373">
            <v>11</v>
          </cell>
          <cell r="G4373">
            <v>5807</v>
          </cell>
          <cell r="H4373">
            <v>19708</v>
          </cell>
          <cell r="I4373">
            <v>19748</v>
          </cell>
          <cell r="J4373">
            <v>1308</v>
          </cell>
          <cell r="K4373">
            <v>1308</v>
          </cell>
          <cell r="L4373">
            <v>2701</v>
          </cell>
          <cell r="M4373">
            <v>1686</v>
          </cell>
          <cell r="N4373">
            <v>5898</v>
          </cell>
          <cell r="O4373">
            <v>10556</v>
          </cell>
          <cell r="P4373">
            <v>0</v>
          </cell>
          <cell r="Q4373">
            <v>0</v>
          </cell>
          <cell r="R4373">
            <v>0</v>
          </cell>
          <cell r="S4373">
            <v>0</v>
          </cell>
          <cell r="T4373">
            <v>0</v>
          </cell>
          <cell r="U4373">
            <v>0</v>
          </cell>
          <cell r="V4373">
            <v>0</v>
          </cell>
          <cell r="W4373">
            <v>0</v>
          </cell>
        </row>
        <row r="4374">
          <cell r="A4374" t="str">
            <v>450340</v>
          </cell>
          <cell r="B4374" t="str">
            <v>1254</v>
          </cell>
          <cell r="C4374" t="str">
            <v>12</v>
          </cell>
          <cell r="D4374" t="str">
            <v>12</v>
          </cell>
          <cell r="E4374">
            <v>16</v>
          </cell>
          <cell r="G4374">
            <v>0</v>
          </cell>
          <cell r="H4374">
            <v>0</v>
          </cell>
          <cell r="I4374">
            <v>0</v>
          </cell>
          <cell r="J4374">
            <v>12915</v>
          </cell>
          <cell r="K4374">
            <v>9590</v>
          </cell>
          <cell r="L4374">
            <v>6448</v>
          </cell>
          <cell r="M4374">
            <v>61587</v>
          </cell>
          <cell r="N4374">
            <v>135958</v>
          </cell>
          <cell r="O4374">
            <v>120245</v>
          </cell>
          <cell r="P4374">
            <v>0</v>
          </cell>
          <cell r="Q4374">
            <v>0</v>
          </cell>
          <cell r="R4374">
            <v>0</v>
          </cell>
          <cell r="S4374">
            <v>0</v>
          </cell>
          <cell r="T4374">
            <v>0</v>
          </cell>
          <cell r="U4374">
            <v>0</v>
          </cell>
          <cell r="V4374">
            <v>0</v>
          </cell>
          <cell r="W4374">
            <v>0</v>
          </cell>
        </row>
        <row r="4375">
          <cell r="A4375" t="str">
            <v>450340</v>
          </cell>
          <cell r="B4375" t="str">
            <v>1254</v>
          </cell>
          <cell r="C4375" t="str">
            <v>12</v>
          </cell>
          <cell r="D4375" t="str">
            <v>12</v>
          </cell>
          <cell r="E4375">
            <v>21</v>
          </cell>
          <cell r="G4375">
            <v>0</v>
          </cell>
          <cell r="H4375">
            <v>0</v>
          </cell>
          <cell r="I4375">
            <v>0</v>
          </cell>
          <cell r="J4375">
            <v>0</v>
          </cell>
          <cell r="K4375">
            <v>0</v>
          </cell>
          <cell r="L4375">
            <v>0</v>
          </cell>
          <cell r="M4375">
            <v>170</v>
          </cell>
          <cell r="N4375">
            <v>170</v>
          </cell>
          <cell r="O4375">
            <v>353</v>
          </cell>
          <cell r="P4375">
            <v>1243</v>
          </cell>
          <cell r="Q4375">
            <v>1243</v>
          </cell>
          <cell r="R4375">
            <v>3171</v>
          </cell>
          <cell r="S4375">
            <v>0</v>
          </cell>
          <cell r="T4375">
            <v>0</v>
          </cell>
          <cell r="U4375">
            <v>0</v>
          </cell>
          <cell r="V4375">
            <v>0</v>
          </cell>
          <cell r="W4375">
            <v>0</v>
          </cell>
        </row>
        <row r="4376">
          <cell r="A4376" t="str">
            <v>450340</v>
          </cell>
          <cell r="B4376" t="str">
            <v>1254</v>
          </cell>
          <cell r="C4376" t="str">
            <v>12</v>
          </cell>
          <cell r="D4376" t="str">
            <v>12</v>
          </cell>
          <cell r="E4376">
            <v>26</v>
          </cell>
          <cell r="G4376">
            <v>0</v>
          </cell>
          <cell r="H4376">
            <v>0</v>
          </cell>
          <cell r="I4376">
            <v>0</v>
          </cell>
          <cell r="J4376">
            <v>0</v>
          </cell>
          <cell r="K4376">
            <v>1325</v>
          </cell>
          <cell r="L4376">
            <v>1325</v>
          </cell>
          <cell r="M4376">
            <v>0</v>
          </cell>
          <cell r="N4376">
            <v>0</v>
          </cell>
          <cell r="O4376">
            <v>0</v>
          </cell>
          <cell r="P4376">
            <v>1413</v>
          </cell>
          <cell r="Q4376">
            <v>2738</v>
          </cell>
          <cell r="R4376">
            <v>4849</v>
          </cell>
          <cell r="S4376">
            <v>0</v>
          </cell>
          <cell r="T4376">
            <v>0</v>
          </cell>
          <cell r="U4376">
            <v>0</v>
          </cell>
          <cell r="V4376">
            <v>0</v>
          </cell>
          <cell r="W4376">
            <v>0</v>
          </cell>
        </row>
        <row r="4377">
          <cell r="A4377" t="str">
            <v>450340</v>
          </cell>
          <cell r="B4377" t="str">
            <v>1254</v>
          </cell>
          <cell r="C4377" t="str">
            <v>12</v>
          </cell>
          <cell r="D4377" t="str">
            <v>12</v>
          </cell>
          <cell r="E4377">
            <v>31</v>
          </cell>
          <cell r="G4377">
            <v>63000</v>
          </cell>
          <cell r="H4377">
            <v>138696</v>
          </cell>
          <cell r="I4377">
            <v>125094</v>
          </cell>
          <cell r="J4377">
            <v>0</v>
          </cell>
          <cell r="K4377">
            <v>0</v>
          </cell>
          <cell r="L4377">
            <v>0</v>
          </cell>
          <cell r="M4377">
            <v>0</v>
          </cell>
          <cell r="N4377">
            <v>0</v>
          </cell>
          <cell r="O4377">
            <v>0</v>
          </cell>
          <cell r="P4377">
            <v>0</v>
          </cell>
          <cell r="Q4377">
            <v>0</v>
          </cell>
          <cell r="R4377">
            <v>0</v>
          </cell>
          <cell r="S4377">
            <v>0</v>
          </cell>
          <cell r="T4377">
            <v>0</v>
          </cell>
          <cell r="U4377">
            <v>0</v>
          </cell>
          <cell r="V4377">
            <v>0</v>
          </cell>
          <cell r="W4377">
            <v>0</v>
          </cell>
        </row>
        <row r="4378">
          <cell r="A4378" t="str">
            <v>450340</v>
          </cell>
          <cell r="B4378" t="str">
            <v>1254</v>
          </cell>
          <cell r="C4378" t="str">
            <v>12</v>
          </cell>
          <cell r="D4378" t="str">
            <v>16</v>
          </cell>
          <cell r="E4378">
            <v>1</v>
          </cell>
          <cell r="G4378">
            <v>0</v>
          </cell>
          <cell r="H4378">
            <v>0</v>
          </cell>
          <cell r="I4378">
            <v>0</v>
          </cell>
          <cell r="J4378">
            <v>0</v>
          </cell>
          <cell r="K4378">
            <v>0</v>
          </cell>
          <cell r="L4378">
            <v>0</v>
          </cell>
          <cell r="M4378">
            <v>0</v>
          </cell>
          <cell r="N4378">
            <v>0</v>
          </cell>
          <cell r="O4378">
            <v>0</v>
          </cell>
          <cell r="P4378">
            <v>0</v>
          </cell>
          <cell r="Q4378">
            <v>0</v>
          </cell>
          <cell r="R4378">
            <v>0</v>
          </cell>
          <cell r="S4378">
            <v>0</v>
          </cell>
          <cell r="T4378">
            <v>0</v>
          </cell>
          <cell r="U4378">
            <v>0</v>
          </cell>
          <cell r="V4378">
            <v>0</v>
          </cell>
          <cell r="W4378">
            <v>0</v>
          </cell>
        </row>
        <row r="4379">
          <cell r="A4379" t="str">
            <v>450340</v>
          </cell>
          <cell r="B4379" t="str">
            <v>1254</v>
          </cell>
          <cell r="C4379" t="str">
            <v>12</v>
          </cell>
          <cell r="D4379" t="str">
            <v>16</v>
          </cell>
          <cell r="E4379">
            <v>5</v>
          </cell>
          <cell r="G4379">
            <v>29000</v>
          </cell>
          <cell r="H4379">
            <v>29000</v>
          </cell>
          <cell r="I4379">
            <v>28387</v>
          </cell>
          <cell r="J4379">
            <v>0</v>
          </cell>
          <cell r="K4379">
            <v>0</v>
          </cell>
          <cell r="L4379">
            <v>0</v>
          </cell>
          <cell r="M4379">
            <v>0</v>
          </cell>
          <cell r="N4379">
            <v>0</v>
          </cell>
          <cell r="O4379">
            <v>0</v>
          </cell>
          <cell r="P4379">
            <v>0</v>
          </cell>
          <cell r="Q4379">
            <v>0</v>
          </cell>
          <cell r="R4379">
            <v>0</v>
          </cell>
          <cell r="S4379">
            <v>310000</v>
          </cell>
          <cell r="T4379">
            <v>357500</v>
          </cell>
          <cell r="U4379">
            <v>357435</v>
          </cell>
          <cell r="V4379">
            <v>0</v>
          </cell>
          <cell r="W4379">
            <v>0</v>
          </cell>
        </row>
        <row r="4380">
          <cell r="A4380" t="str">
            <v>450340</v>
          </cell>
          <cell r="B4380" t="str">
            <v>1254</v>
          </cell>
          <cell r="C4380" t="str">
            <v>12</v>
          </cell>
          <cell r="D4380" t="str">
            <v>16</v>
          </cell>
          <cell r="E4380">
            <v>9</v>
          </cell>
          <cell r="G4380">
            <v>0</v>
          </cell>
          <cell r="H4380">
            <v>0</v>
          </cell>
          <cell r="I4380">
            <v>4043</v>
          </cell>
          <cell r="J4380">
            <v>0</v>
          </cell>
          <cell r="K4380">
            <v>339000</v>
          </cell>
          <cell r="L4380">
            <v>386500</v>
          </cell>
          <cell r="M4380">
            <v>389865</v>
          </cell>
          <cell r="N4380">
            <v>0</v>
          </cell>
          <cell r="O4380">
            <v>0</v>
          </cell>
          <cell r="P4380">
            <v>0</v>
          </cell>
          <cell r="Q4380">
            <v>2166</v>
          </cell>
          <cell r="R4380">
            <v>0</v>
          </cell>
          <cell r="S4380">
            <v>222194</v>
          </cell>
          <cell r="T4380">
            <v>222194</v>
          </cell>
          <cell r="U4380">
            <v>209774</v>
          </cell>
          <cell r="V4380">
            <v>0</v>
          </cell>
          <cell r="W4380">
            <v>0</v>
          </cell>
        </row>
        <row r="4381">
          <cell r="A4381" t="str">
            <v>450340</v>
          </cell>
          <cell r="B4381" t="str">
            <v>1254</v>
          </cell>
          <cell r="C4381" t="str">
            <v>12</v>
          </cell>
          <cell r="D4381" t="str">
            <v>16</v>
          </cell>
          <cell r="E4381">
            <v>13</v>
          </cell>
          <cell r="G4381">
            <v>293264</v>
          </cell>
          <cell r="H4381">
            <v>275386</v>
          </cell>
          <cell r="I4381">
            <v>275386</v>
          </cell>
          <cell r="J4381">
            <v>0</v>
          </cell>
          <cell r="K4381">
            <v>569980</v>
          </cell>
          <cell r="L4381">
            <v>578869</v>
          </cell>
          <cell r="M4381">
            <v>578869</v>
          </cell>
          <cell r="N4381">
            <v>0</v>
          </cell>
          <cell r="O4381">
            <v>85000</v>
          </cell>
          <cell r="P4381">
            <v>85000</v>
          </cell>
          <cell r="Q4381">
            <v>78233</v>
          </cell>
          <cell r="R4381">
            <v>0</v>
          </cell>
          <cell r="S4381">
            <v>0</v>
          </cell>
          <cell r="T4381">
            <v>0</v>
          </cell>
          <cell r="U4381">
            <v>0</v>
          </cell>
          <cell r="V4381">
            <v>0</v>
          </cell>
          <cell r="W4381">
            <v>0</v>
          </cell>
        </row>
        <row r="4382">
          <cell r="A4382" t="str">
            <v>450340</v>
          </cell>
          <cell r="B4382" t="str">
            <v>1254</v>
          </cell>
          <cell r="C4382" t="str">
            <v>12</v>
          </cell>
          <cell r="D4382" t="str">
            <v>16</v>
          </cell>
          <cell r="E4382">
            <v>17</v>
          </cell>
          <cell r="G4382">
            <v>0</v>
          </cell>
          <cell r="H4382">
            <v>0</v>
          </cell>
          <cell r="I4382">
            <v>0</v>
          </cell>
          <cell r="J4382">
            <v>0</v>
          </cell>
          <cell r="K4382">
            <v>0</v>
          </cell>
          <cell r="L4382">
            <v>0</v>
          </cell>
          <cell r="M4382">
            <v>0</v>
          </cell>
          <cell r="N4382">
            <v>0</v>
          </cell>
          <cell r="O4382">
            <v>1170438</v>
          </cell>
          <cell r="P4382">
            <v>1161449</v>
          </cell>
          <cell r="Q4382">
            <v>1142262</v>
          </cell>
          <cell r="R4382">
            <v>0</v>
          </cell>
          <cell r="S4382">
            <v>0</v>
          </cell>
          <cell r="T4382">
            <v>0</v>
          </cell>
          <cell r="U4382">
            <v>0</v>
          </cell>
          <cell r="V4382">
            <v>0</v>
          </cell>
          <cell r="W4382">
            <v>0</v>
          </cell>
        </row>
        <row r="4383">
          <cell r="A4383" t="str">
            <v>450340</v>
          </cell>
          <cell r="B4383" t="str">
            <v>1254</v>
          </cell>
          <cell r="C4383" t="str">
            <v>12</v>
          </cell>
          <cell r="D4383" t="str">
            <v>16</v>
          </cell>
          <cell r="E4383">
            <v>21</v>
          </cell>
          <cell r="G4383">
            <v>0</v>
          </cell>
          <cell r="H4383">
            <v>0</v>
          </cell>
          <cell r="I4383">
            <v>0</v>
          </cell>
          <cell r="J4383">
            <v>0</v>
          </cell>
          <cell r="K4383">
            <v>0</v>
          </cell>
          <cell r="L4383">
            <v>0</v>
          </cell>
          <cell r="M4383">
            <v>0</v>
          </cell>
          <cell r="N4383">
            <v>0</v>
          </cell>
          <cell r="O4383">
            <v>0</v>
          </cell>
          <cell r="P4383">
            <v>0</v>
          </cell>
          <cell r="Q4383">
            <v>0</v>
          </cell>
          <cell r="R4383">
            <v>0</v>
          </cell>
          <cell r="S4383">
            <v>2000</v>
          </cell>
          <cell r="T4383">
            <v>2000</v>
          </cell>
          <cell r="U4383">
            <v>1957</v>
          </cell>
          <cell r="V4383">
            <v>0</v>
          </cell>
          <cell r="W4383">
            <v>0</v>
          </cell>
        </row>
        <row r="4384">
          <cell r="A4384" t="str">
            <v>450340</v>
          </cell>
          <cell r="B4384" t="str">
            <v>1254</v>
          </cell>
          <cell r="C4384" t="str">
            <v>12</v>
          </cell>
          <cell r="D4384" t="str">
            <v>16</v>
          </cell>
          <cell r="E4384">
            <v>25</v>
          </cell>
          <cell r="G4384">
            <v>12000</v>
          </cell>
          <cell r="H4384">
            <v>12000</v>
          </cell>
          <cell r="I4384">
            <v>2871</v>
          </cell>
          <cell r="J4384">
            <v>0</v>
          </cell>
          <cell r="K4384">
            <v>1523438</v>
          </cell>
          <cell r="L4384">
            <v>1561949</v>
          </cell>
          <cell r="M4384">
            <v>1539121</v>
          </cell>
          <cell r="N4384">
            <v>0</v>
          </cell>
          <cell r="O4384">
            <v>17000</v>
          </cell>
          <cell r="P4384">
            <v>17000</v>
          </cell>
          <cell r="Q4384">
            <v>21477</v>
          </cell>
          <cell r="R4384">
            <v>0</v>
          </cell>
          <cell r="S4384">
            <v>0</v>
          </cell>
          <cell r="T4384">
            <v>0</v>
          </cell>
          <cell r="U4384">
            <v>0</v>
          </cell>
          <cell r="V4384">
            <v>0</v>
          </cell>
          <cell r="W4384">
            <v>0</v>
          </cell>
        </row>
        <row r="4385">
          <cell r="A4385" t="str">
            <v>450340</v>
          </cell>
          <cell r="B4385" t="str">
            <v>1254</v>
          </cell>
          <cell r="C4385" t="str">
            <v>12</v>
          </cell>
          <cell r="D4385" t="str">
            <v>16</v>
          </cell>
          <cell r="E4385">
            <v>29</v>
          </cell>
          <cell r="G4385">
            <v>0</v>
          </cell>
          <cell r="H4385">
            <v>0</v>
          </cell>
          <cell r="I4385">
            <v>0</v>
          </cell>
          <cell r="J4385">
            <v>0</v>
          </cell>
          <cell r="K4385">
            <v>0</v>
          </cell>
          <cell r="L4385">
            <v>0</v>
          </cell>
          <cell r="M4385">
            <v>0</v>
          </cell>
          <cell r="N4385">
            <v>0</v>
          </cell>
          <cell r="O4385">
            <v>0</v>
          </cell>
          <cell r="P4385">
            <v>0</v>
          </cell>
          <cell r="Q4385">
            <v>0</v>
          </cell>
          <cell r="R4385">
            <v>0</v>
          </cell>
          <cell r="S4385">
            <v>0</v>
          </cell>
          <cell r="T4385">
            <v>0</v>
          </cell>
          <cell r="U4385">
            <v>0</v>
          </cell>
          <cell r="V4385">
            <v>0</v>
          </cell>
          <cell r="W4385">
            <v>0</v>
          </cell>
        </row>
        <row r="4386">
          <cell r="A4386" t="str">
            <v>450340</v>
          </cell>
          <cell r="B4386" t="str">
            <v>1254</v>
          </cell>
          <cell r="C4386" t="str">
            <v>12</v>
          </cell>
          <cell r="D4386" t="str">
            <v>16</v>
          </cell>
          <cell r="E4386">
            <v>33</v>
          </cell>
          <cell r="G4386">
            <v>0</v>
          </cell>
          <cell r="H4386">
            <v>3555</v>
          </cell>
          <cell r="I4386">
            <v>11312</v>
          </cell>
          <cell r="J4386">
            <v>0</v>
          </cell>
          <cell r="K4386">
            <v>7425</v>
          </cell>
          <cell r="L4386">
            <v>0</v>
          </cell>
          <cell r="M4386">
            <v>0</v>
          </cell>
          <cell r="N4386">
            <v>0</v>
          </cell>
          <cell r="O4386">
            <v>24425</v>
          </cell>
          <cell r="P4386">
            <v>20555</v>
          </cell>
          <cell r="Q4386">
            <v>32789</v>
          </cell>
          <cell r="R4386">
            <v>0</v>
          </cell>
          <cell r="S4386">
            <v>21841</v>
          </cell>
          <cell r="T4386">
            <v>27439</v>
          </cell>
          <cell r="U4386">
            <v>27439</v>
          </cell>
          <cell r="V4386">
            <v>0</v>
          </cell>
          <cell r="W4386">
            <v>0</v>
          </cell>
        </row>
        <row r="4387">
          <cell r="A4387" t="str">
            <v>450340</v>
          </cell>
          <cell r="B4387" t="str">
            <v>1254</v>
          </cell>
          <cell r="C4387" t="str">
            <v>12</v>
          </cell>
          <cell r="D4387" t="str">
            <v>16</v>
          </cell>
          <cell r="E4387">
            <v>37</v>
          </cell>
          <cell r="G4387">
            <v>1736271</v>
          </cell>
          <cell r="H4387">
            <v>1726706</v>
          </cell>
          <cell r="I4387">
            <v>1726706</v>
          </cell>
          <cell r="J4387">
            <v>0</v>
          </cell>
          <cell r="K4387">
            <v>1758112</v>
          </cell>
          <cell r="L4387">
            <v>1754145</v>
          </cell>
          <cell r="M4387">
            <v>1754145</v>
          </cell>
          <cell r="N4387">
            <v>0</v>
          </cell>
          <cell r="O4387">
            <v>640</v>
          </cell>
          <cell r="P4387">
            <v>130486</v>
          </cell>
          <cell r="Q4387">
            <v>130486</v>
          </cell>
          <cell r="R4387">
            <v>0</v>
          </cell>
          <cell r="S4387">
            <v>0</v>
          </cell>
          <cell r="T4387">
            <v>481683</v>
          </cell>
          <cell r="U4387">
            <v>481683</v>
          </cell>
          <cell r="V4387">
            <v>0</v>
          </cell>
          <cell r="W4387">
            <v>0</v>
          </cell>
        </row>
        <row r="4388">
          <cell r="A4388" t="str">
            <v>450340</v>
          </cell>
          <cell r="B4388" t="str">
            <v>1254</v>
          </cell>
          <cell r="C4388" t="str">
            <v>12</v>
          </cell>
          <cell r="D4388" t="str">
            <v>16</v>
          </cell>
          <cell r="E4388">
            <v>41</v>
          </cell>
          <cell r="G4388">
            <v>0</v>
          </cell>
          <cell r="H4388">
            <v>0</v>
          </cell>
          <cell r="I4388">
            <v>0</v>
          </cell>
          <cell r="J4388">
            <v>0</v>
          </cell>
          <cell r="K4388">
            <v>0</v>
          </cell>
          <cell r="L4388">
            <v>19000</v>
          </cell>
          <cell r="M4388">
            <v>19000</v>
          </cell>
          <cell r="N4388">
            <v>0</v>
          </cell>
          <cell r="O4388">
            <v>0</v>
          </cell>
          <cell r="P4388">
            <v>500683</v>
          </cell>
          <cell r="Q4388">
            <v>500683</v>
          </cell>
          <cell r="R4388">
            <v>0</v>
          </cell>
          <cell r="S4388">
            <v>0</v>
          </cell>
          <cell r="T4388">
            <v>0</v>
          </cell>
          <cell r="U4388">
            <v>0</v>
          </cell>
          <cell r="V4388">
            <v>0</v>
          </cell>
          <cell r="W4388">
            <v>0</v>
          </cell>
        </row>
        <row r="4389">
          <cell r="A4389" t="str">
            <v>450340</v>
          </cell>
          <cell r="B4389" t="str">
            <v>1254</v>
          </cell>
          <cell r="C4389" t="str">
            <v>12</v>
          </cell>
          <cell r="D4389" t="str">
            <v>16</v>
          </cell>
          <cell r="E4389">
            <v>45</v>
          </cell>
          <cell r="G4389">
            <v>5335</v>
          </cell>
          <cell r="H4389">
            <v>5335</v>
          </cell>
          <cell r="I4389">
            <v>5335</v>
          </cell>
          <cell r="J4389">
            <v>0</v>
          </cell>
          <cell r="K4389">
            <v>25882</v>
          </cell>
          <cell r="L4389">
            <v>95108</v>
          </cell>
          <cell r="M4389">
            <v>95108</v>
          </cell>
          <cell r="N4389">
            <v>0</v>
          </cell>
          <cell r="O4389">
            <v>31217</v>
          </cell>
          <cell r="P4389">
            <v>100443</v>
          </cell>
          <cell r="Q4389">
            <v>100443</v>
          </cell>
          <cell r="R4389">
            <v>0</v>
          </cell>
          <cell r="S4389">
            <v>582994</v>
          </cell>
          <cell r="T4389">
            <v>690679</v>
          </cell>
          <cell r="U4389">
            <v>204366</v>
          </cell>
          <cell r="V4389">
            <v>0</v>
          </cell>
          <cell r="W4389">
            <v>0</v>
          </cell>
        </row>
        <row r="4390">
          <cell r="A4390" t="str">
            <v>450340</v>
          </cell>
          <cell r="B4390" t="str">
            <v>1254</v>
          </cell>
          <cell r="C4390" t="str">
            <v>12</v>
          </cell>
          <cell r="D4390" t="str">
            <v>16</v>
          </cell>
          <cell r="E4390">
            <v>49</v>
          </cell>
          <cell r="G4390">
            <v>0</v>
          </cell>
          <cell r="H4390">
            <v>0</v>
          </cell>
          <cell r="I4390">
            <v>0</v>
          </cell>
          <cell r="J4390">
            <v>0</v>
          </cell>
          <cell r="K4390">
            <v>0</v>
          </cell>
          <cell r="L4390">
            <v>3800</v>
          </cell>
          <cell r="M4390">
            <v>0</v>
          </cell>
          <cell r="N4390">
            <v>0</v>
          </cell>
          <cell r="O4390">
            <v>0</v>
          </cell>
          <cell r="P4390">
            <v>0</v>
          </cell>
          <cell r="Q4390">
            <v>0</v>
          </cell>
          <cell r="R4390">
            <v>0</v>
          </cell>
          <cell r="S4390">
            <v>0</v>
          </cell>
          <cell r="T4390">
            <v>0</v>
          </cell>
          <cell r="U4390">
            <v>0</v>
          </cell>
          <cell r="V4390">
            <v>0</v>
          </cell>
          <cell r="W4390">
            <v>0</v>
          </cell>
        </row>
        <row r="4391">
          <cell r="A4391" t="str">
            <v>450340</v>
          </cell>
          <cell r="B4391" t="str">
            <v>1254</v>
          </cell>
          <cell r="C4391" t="str">
            <v>12</v>
          </cell>
          <cell r="D4391" t="str">
            <v>16</v>
          </cell>
          <cell r="E4391">
            <v>53</v>
          </cell>
          <cell r="G4391">
            <v>0</v>
          </cell>
          <cell r="H4391">
            <v>0</v>
          </cell>
          <cell r="I4391">
            <v>0</v>
          </cell>
          <cell r="J4391">
            <v>0</v>
          </cell>
          <cell r="K4391">
            <v>0</v>
          </cell>
          <cell r="L4391">
            <v>1325</v>
          </cell>
          <cell r="M4391">
            <v>1325</v>
          </cell>
          <cell r="N4391">
            <v>0</v>
          </cell>
          <cell r="O4391">
            <v>2372963</v>
          </cell>
          <cell r="P4391">
            <v>3181561</v>
          </cell>
          <cell r="Q4391">
            <v>2691448</v>
          </cell>
          <cell r="R4391">
            <v>0</v>
          </cell>
          <cell r="S4391">
            <v>0</v>
          </cell>
          <cell r="T4391">
            <v>0</v>
          </cell>
          <cell r="U4391">
            <v>0</v>
          </cell>
          <cell r="V4391">
            <v>0</v>
          </cell>
          <cell r="W4391">
            <v>0</v>
          </cell>
        </row>
        <row r="4392">
          <cell r="A4392" t="str">
            <v>450340</v>
          </cell>
          <cell r="B4392" t="str">
            <v>1254</v>
          </cell>
          <cell r="C4392" t="str">
            <v>12</v>
          </cell>
          <cell r="D4392" t="str">
            <v>21</v>
          </cell>
          <cell r="E4392">
            <v>1</v>
          </cell>
          <cell r="G4392">
            <v>14034</v>
          </cell>
          <cell r="H4392">
            <v>0</v>
          </cell>
          <cell r="I4392">
            <v>0</v>
          </cell>
          <cell r="J4392">
            <v>0</v>
          </cell>
          <cell r="K4392">
            <v>0</v>
          </cell>
          <cell r="L4392">
            <v>0</v>
          </cell>
          <cell r="M4392">
            <v>27287</v>
          </cell>
          <cell r="N4392">
            <v>0</v>
          </cell>
          <cell r="O4392">
            <v>0</v>
          </cell>
          <cell r="P4392">
            <v>0</v>
          </cell>
          <cell r="Q4392">
            <v>0</v>
          </cell>
          <cell r="R4392">
            <v>0</v>
          </cell>
          <cell r="S4392">
            <v>0</v>
          </cell>
          <cell r="T4392">
            <v>0</v>
          </cell>
          <cell r="U4392">
            <v>0</v>
          </cell>
          <cell r="V4392">
            <v>0</v>
          </cell>
          <cell r="W4392">
            <v>0</v>
          </cell>
        </row>
        <row r="4393">
          <cell r="A4393" t="str">
            <v>450340</v>
          </cell>
          <cell r="B4393" t="str">
            <v>1254</v>
          </cell>
          <cell r="C4393" t="str">
            <v>12</v>
          </cell>
          <cell r="D4393" t="str">
            <v>21</v>
          </cell>
          <cell r="E4393">
            <v>17</v>
          </cell>
          <cell r="G4393">
            <v>14034</v>
          </cell>
          <cell r="H4393">
            <v>0</v>
          </cell>
          <cell r="I4393">
            <v>0</v>
          </cell>
          <cell r="J4393">
            <v>0</v>
          </cell>
          <cell r="K4393">
            <v>0</v>
          </cell>
          <cell r="L4393">
            <v>0</v>
          </cell>
          <cell r="M4393">
            <v>0</v>
          </cell>
          <cell r="N4393">
            <v>0</v>
          </cell>
          <cell r="O4393">
            <v>0</v>
          </cell>
          <cell r="P4393">
            <v>0</v>
          </cell>
          <cell r="Q4393">
            <v>0</v>
          </cell>
          <cell r="R4393">
            <v>0</v>
          </cell>
          <cell r="S4393">
            <v>0</v>
          </cell>
          <cell r="T4393">
            <v>0</v>
          </cell>
          <cell r="U4393">
            <v>0</v>
          </cell>
          <cell r="V4393">
            <v>0</v>
          </cell>
          <cell r="W4393">
            <v>0</v>
          </cell>
        </row>
        <row r="4394">
          <cell r="A4394" t="str">
            <v>450340</v>
          </cell>
          <cell r="B4394" t="str">
            <v>1254</v>
          </cell>
          <cell r="C4394" t="str">
            <v>12</v>
          </cell>
          <cell r="D4394" t="str">
            <v>21</v>
          </cell>
          <cell r="E4394">
            <v>33</v>
          </cell>
          <cell r="G4394">
            <v>14034</v>
          </cell>
          <cell r="H4394">
            <v>0</v>
          </cell>
          <cell r="I4394">
            <v>0</v>
          </cell>
          <cell r="J4394">
            <v>0</v>
          </cell>
          <cell r="K4394">
            <v>0</v>
          </cell>
          <cell r="L4394">
            <v>0</v>
          </cell>
          <cell r="M4394">
            <v>0</v>
          </cell>
          <cell r="N4394">
            <v>0</v>
          </cell>
          <cell r="O4394">
            <v>0</v>
          </cell>
          <cell r="P4394">
            <v>0</v>
          </cell>
          <cell r="Q4394">
            <v>0</v>
          </cell>
          <cell r="R4394">
            <v>0</v>
          </cell>
          <cell r="S4394">
            <v>0</v>
          </cell>
          <cell r="T4394">
            <v>0</v>
          </cell>
          <cell r="U4394">
            <v>0</v>
          </cell>
          <cell r="V4394">
            <v>0</v>
          </cell>
          <cell r="W4394">
            <v>0</v>
          </cell>
        </row>
        <row r="4395">
          <cell r="A4395" t="str">
            <v>450340</v>
          </cell>
          <cell r="B4395" t="str">
            <v>1254</v>
          </cell>
          <cell r="C4395" t="str">
            <v>12</v>
          </cell>
          <cell r="D4395" t="str">
            <v>21</v>
          </cell>
          <cell r="E4395">
            <v>49</v>
          </cell>
          <cell r="G4395">
            <v>14034</v>
          </cell>
          <cell r="H4395">
            <v>0</v>
          </cell>
          <cell r="I4395">
            <v>0</v>
          </cell>
          <cell r="J4395">
            <v>0</v>
          </cell>
          <cell r="K4395">
            <v>0</v>
          </cell>
          <cell r="L4395">
            <v>0</v>
          </cell>
          <cell r="M4395">
            <v>0</v>
          </cell>
          <cell r="N4395">
            <v>0</v>
          </cell>
          <cell r="O4395">
            <v>0</v>
          </cell>
          <cell r="P4395">
            <v>0</v>
          </cell>
          <cell r="Q4395">
            <v>0</v>
          </cell>
          <cell r="R4395">
            <v>0</v>
          </cell>
          <cell r="S4395">
            <v>0</v>
          </cell>
          <cell r="T4395">
            <v>0</v>
          </cell>
          <cell r="U4395">
            <v>0</v>
          </cell>
          <cell r="V4395">
            <v>0</v>
          </cell>
          <cell r="W4395">
            <v>0</v>
          </cell>
        </row>
        <row r="4396">
          <cell r="A4396" t="str">
            <v>450340</v>
          </cell>
          <cell r="B4396" t="str">
            <v>1254</v>
          </cell>
          <cell r="C4396" t="str">
            <v>12</v>
          </cell>
          <cell r="D4396" t="str">
            <v>21</v>
          </cell>
          <cell r="E4396">
            <v>65</v>
          </cell>
          <cell r="G4396">
            <v>14034</v>
          </cell>
          <cell r="H4396">
            <v>0</v>
          </cell>
          <cell r="I4396">
            <v>0</v>
          </cell>
          <cell r="J4396">
            <v>0</v>
          </cell>
          <cell r="K4396">
            <v>0</v>
          </cell>
          <cell r="L4396">
            <v>27287</v>
          </cell>
          <cell r="M4396">
            <v>0</v>
          </cell>
          <cell r="N4396">
            <v>27287</v>
          </cell>
          <cell r="O4396">
            <v>0</v>
          </cell>
          <cell r="P4396">
            <v>27287</v>
          </cell>
          <cell r="Q4396">
            <v>0</v>
          </cell>
          <cell r="R4396">
            <v>0</v>
          </cell>
          <cell r="S4396">
            <v>0</v>
          </cell>
          <cell r="T4396">
            <v>0</v>
          </cell>
          <cell r="U4396">
            <v>0</v>
          </cell>
          <cell r="V4396">
            <v>0</v>
          </cell>
          <cell r="W4396">
            <v>0</v>
          </cell>
        </row>
        <row r="4397">
          <cell r="A4397" t="str">
            <v>450340</v>
          </cell>
          <cell r="B4397" t="str">
            <v>1254</v>
          </cell>
          <cell r="C4397" t="str">
            <v>12</v>
          </cell>
          <cell r="D4397" t="str">
            <v>21</v>
          </cell>
          <cell r="E4397">
            <v>1</v>
          </cell>
          <cell r="G4397">
            <v>452025</v>
          </cell>
          <cell r="H4397">
            <v>0</v>
          </cell>
          <cell r="I4397">
            <v>0</v>
          </cell>
          <cell r="J4397">
            <v>0</v>
          </cell>
          <cell r="K4397">
            <v>0</v>
          </cell>
          <cell r="L4397">
            <v>0</v>
          </cell>
          <cell r="M4397">
            <v>0</v>
          </cell>
          <cell r="N4397">
            <v>0</v>
          </cell>
          <cell r="O4397">
            <v>0</v>
          </cell>
          <cell r="P4397">
            <v>0</v>
          </cell>
          <cell r="Q4397">
            <v>0</v>
          </cell>
          <cell r="R4397">
            <v>0</v>
          </cell>
          <cell r="S4397">
            <v>0</v>
          </cell>
          <cell r="T4397">
            <v>0</v>
          </cell>
          <cell r="U4397">
            <v>0</v>
          </cell>
          <cell r="V4397">
            <v>0</v>
          </cell>
          <cell r="W4397">
            <v>0</v>
          </cell>
        </row>
        <row r="4398">
          <cell r="A4398" t="str">
            <v>450340</v>
          </cell>
          <cell r="B4398" t="str">
            <v>1254</v>
          </cell>
          <cell r="C4398" t="str">
            <v>12</v>
          </cell>
          <cell r="D4398" t="str">
            <v>21</v>
          </cell>
          <cell r="E4398">
            <v>17</v>
          </cell>
          <cell r="G4398">
            <v>452025</v>
          </cell>
          <cell r="H4398">
            <v>0</v>
          </cell>
          <cell r="I4398">
            <v>0</v>
          </cell>
          <cell r="J4398">
            <v>0</v>
          </cell>
          <cell r="K4398">
            <v>0</v>
          </cell>
          <cell r="L4398">
            <v>0</v>
          </cell>
          <cell r="M4398">
            <v>0</v>
          </cell>
          <cell r="N4398">
            <v>0</v>
          </cell>
          <cell r="O4398">
            <v>0</v>
          </cell>
          <cell r="P4398">
            <v>0</v>
          </cell>
          <cell r="Q4398">
            <v>0</v>
          </cell>
          <cell r="R4398">
            <v>0</v>
          </cell>
          <cell r="S4398">
            <v>0</v>
          </cell>
          <cell r="T4398">
            <v>0</v>
          </cell>
          <cell r="U4398">
            <v>0</v>
          </cell>
          <cell r="V4398">
            <v>0</v>
          </cell>
          <cell r="W4398">
            <v>0</v>
          </cell>
        </row>
        <row r="4399">
          <cell r="A4399" t="str">
            <v>450340</v>
          </cell>
          <cell r="B4399" t="str">
            <v>1254</v>
          </cell>
          <cell r="C4399" t="str">
            <v>12</v>
          </cell>
          <cell r="D4399" t="str">
            <v>21</v>
          </cell>
          <cell r="E4399">
            <v>33</v>
          </cell>
          <cell r="G4399">
            <v>452025</v>
          </cell>
          <cell r="H4399">
            <v>0</v>
          </cell>
          <cell r="I4399">
            <v>0</v>
          </cell>
          <cell r="J4399">
            <v>0</v>
          </cell>
          <cell r="K4399">
            <v>0</v>
          </cell>
          <cell r="L4399">
            <v>0</v>
          </cell>
          <cell r="M4399">
            <v>0</v>
          </cell>
          <cell r="N4399">
            <v>0</v>
          </cell>
          <cell r="O4399">
            <v>0</v>
          </cell>
          <cell r="P4399">
            <v>0</v>
          </cell>
          <cell r="Q4399">
            <v>0</v>
          </cell>
          <cell r="R4399">
            <v>0</v>
          </cell>
          <cell r="S4399">
            <v>0</v>
          </cell>
          <cell r="T4399">
            <v>0</v>
          </cell>
          <cell r="U4399">
            <v>0</v>
          </cell>
          <cell r="V4399">
            <v>0</v>
          </cell>
          <cell r="W4399">
            <v>0</v>
          </cell>
        </row>
        <row r="4400">
          <cell r="A4400" t="str">
            <v>450340</v>
          </cell>
          <cell r="B4400" t="str">
            <v>1254</v>
          </cell>
          <cell r="C4400" t="str">
            <v>12</v>
          </cell>
          <cell r="D4400" t="str">
            <v>21</v>
          </cell>
          <cell r="E4400">
            <v>49</v>
          </cell>
          <cell r="G4400">
            <v>452025</v>
          </cell>
          <cell r="H4400">
            <v>0</v>
          </cell>
          <cell r="I4400">
            <v>0</v>
          </cell>
          <cell r="J4400">
            <v>0</v>
          </cell>
          <cell r="K4400">
            <v>0</v>
          </cell>
          <cell r="L4400">
            <v>0</v>
          </cell>
          <cell r="M4400">
            <v>0</v>
          </cell>
          <cell r="N4400">
            <v>0</v>
          </cell>
          <cell r="O4400">
            <v>0</v>
          </cell>
          <cell r="P4400">
            <v>0</v>
          </cell>
          <cell r="Q4400">
            <v>0</v>
          </cell>
          <cell r="R4400">
            <v>0</v>
          </cell>
          <cell r="S4400">
            <v>0</v>
          </cell>
          <cell r="T4400">
            <v>0</v>
          </cell>
          <cell r="U4400">
            <v>0</v>
          </cell>
          <cell r="V4400">
            <v>3878</v>
          </cell>
          <cell r="W4400">
            <v>1471</v>
          </cell>
        </row>
        <row r="4401">
          <cell r="A4401" t="str">
            <v>450340</v>
          </cell>
          <cell r="B4401" t="str">
            <v>1254</v>
          </cell>
          <cell r="C4401" t="str">
            <v>12</v>
          </cell>
          <cell r="D4401" t="str">
            <v>21</v>
          </cell>
          <cell r="E4401">
            <v>65</v>
          </cell>
          <cell r="G4401">
            <v>452025</v>
          </cell>
          <cell r="H4401">
            <v>0</v>
          </cell>
          <cell r="I4401">
            <v>264</v>
          </cell>
          <cell r="J4401">
            <v>0</v>
          </cell>
          <cell r="K4401">
            <v>0</v>
          </cell>
          <cell r="L4401">
            <v>5613</v>
          </cell>
          <cell r="M4401">
            <v>0</v>
          </cell>
          <cell r="N4401">
            <v>5613</v>
          </cell>
          <cell r="O4401">
            <v>0</v>
          </cell>
          <cell r="P4401">
            <v>5613</v>
          </cell>
          <cell r="Q4401">
            <v>0</v>
          </cell>
          <cell r="R4401">
            <v>0</v>
          </cell>
          <cell r="S4401">
            <v>0</v>
          </cell>
          <cell r="T4401">
            <v>0</v>
          </cell>
          <cell r="U4401">
            <v>0</v>
          </cell>
          <cell r="V4401">
            <v>0</v>
          </cell>
          <cell r="W4401">
            <v>0</v>
          </cell>
        </row>
        <row r="4402">
          <cell r="A4402" t="str">
            <v>450340</v>
          </cell>
          <cell r="B4402" t="str">
            <v>1254</v>
          </cell>
          <cell r="C4402" t="str">
            <v>12</v>
          </cell>
          <cell r="D4402" t="str">
            <v>21</v>
          </cell>
          <cell r="E4402">
            <v>1</v>
          </cell>
          <cell r="G4402">
            <v>631211</v>
          </cell>
          <cell r="H4402">
            <v>0</v>
          </cell>
          <cell r="I4402">
            <v>0</v>
          </cell>
          <cell r="J4402">
            <v>0</v>
          </cell>
          <cell r="K4402">
            <v>0</v>
          </cell>
          <cell r="L4402">
            <v>0</v>
          </cell>
          <cell r="M4402">
            <v>10968</v>
          </cell>
          <cell r="N4402">
            <v>0</v>
          </cell>
          <cell r="O4402">
            <v>0</v>
          </cell>
          <cell r="P4402">
            <v>0</v>
          </cell>
          <cell r="Q4402">
            <v>0</v>
          </cell>
          <cell r="R4402">
            <v>0</v>
          </cell>
          <cell r="S4402">
            <v>0</v>
          </cell>
          <cell r="T4402">
            <v>0</v>
          </cell>
          <cell r="U4402">
            <v>0</v>
          </cell>
          <cell r="V4402">
            <v>0</v>
          </cell>
          <cell r="W4402">
            <v>0</v>
          </cell>
        </row>
        <row r="4403">
          <cell r="A4403" t="str">
            <v>450340</v>
          </cell>
          <cell r="B4403" t="str">
            <v>1254</v>
          </cell>
          <cell r="C4403" t="str">
            <v>12</v>
          </cell>
          <cell r="D4403" t="str">
            <v>21</v>
          </cell>
          <cell r="E4403">
            <v>17</v>
          </cell>
          <cell r="G4403">
            <v>631211</v>
          </cell>
          <cell r="H4403">
            <v>0</v>
          </cell>
          <cell r="I4403">
            <v>0</v>
          </cell>
          <cell r="J4403">
            <v>0</v>
          </cell>
          <cell r="K4403">
            <v>0</v>
          </cell>
          <cell r="L4403">
            <v>0</v>
          </cell>
          <cell r="M4403">
            <v>0</v>
          </cell>
          <cell r="N4403">
            <v>0</v>
          </cell>
          <cell r="O4403">
            <v>0</v>
          </cell>
          <cell r="P4403">
            <v>0</v>
          </cell>
          <cell r="Q4403">
            <v>0</v>
          </cell>
          <cell r="R4403">
            <v>0</v>
          </cell>
          <cell r="S4403">
            <v>0</v>
          </cell>
          <cell r="T4403">
            <v>0</v>
          </cell>
          <cell r="U4403">
            <v>0</v>
          </cell>
          <cell r="V4403">
            <v>0</v>
          </cell>
          <cell r="W4403">
            <v>0</v>
          </cell>
        </row>
        <row r="4404">
          <cell r="A4404" t="str">
            <v>450340</v>
          </cell>
          <cell r="B4404" t="str">
            <v>1254</v>
          </cell>
          <cell r="C4404" t="str">
            <v>12</v>
          </cell>
          <cell r="D4404" t="str">
            <v>21</v>
          </cell>
          <cell r="E4404">
            <v>33</v>
          </cell>
          <cell r="G4404">
            <v>631211</v>
          </cell>
          <cell r="H4404">
            <v>0</v>
          </cell>
          <cell r="I4404">
            <v>0</v>
          </cell>
          <cell r="J4404">
            <v>0</v>
          </cell>
          <cell r="K4404">
            <v>0</v>
          </cell>
          <cell r="L4404">
            <v>0</v>
          </cell>
          <cell r="M4404">
            <v>0</v>
          </cell>
          <cell r="N4404">
            <v>0</v>
          </cell>
          <cell r="O4404">
            <v>0</v>
          </cell>
          <cell r="P4404">
            <v>0</v>
          </cell>
          <cell r="Q4404">
            <v>0</v>
          </cell>
          <cell r="R4404">
            <v>0</v>
          </cell>
          <cell r="S4404">
            <v>0</v>
          </cell>
          <cell r="T4404">
            <v>0</v>
          </cell>
          <cell r="U4404">
            <v>0</v>
          </cell>
          <cell r="V4404">
            <v>0</v>
          </cell>
          <cell r="W4404">
            <v>0</v>
          </cell>
        </row>
        <row r="4405">
          <cell r="A4405" t="str">
            <v>450340</v>
          </cell>
          <cell r="B4405" t="str">
            <v>1254</v>
          </cell>
          <cell r="C4405" t="str">
            <v>12</v>
          </cell>
          <cell r="D4405" t="str">
            <v>21</v>
          </cell>
          <cell r="E4405">
            <v>49</v>
          </cell>
          <cell r="G4405">
            <v>631211</v>
          </cell>
          <cell r="H4405">
            <v>0</v>
          </cell>
          <cell r="I4405">
            <v>0</v>
          </cell>
          <cell r="J4405">
            <v>0</v>
          </cell>
          <cell r="K4405">
            <v>0</v>
          </cell>
          <cell r="L4405">
            <v>0</v>
          </cell>
          <cell r="M4405">
            <v>0</v>
          </cell>
          <cell r="N4405">
            <v>0</v>
          </cell>
          <cell r="O4405">
            <v>0</v>
          </cell>
          <cell r="P4405">
            <v>0</v>
          </cell>
          <cell r="Q4405">
            <v>0</v>
          </cell>
          <cell r="R4405">
            <v>0</v>
          </cell>
          <cell r="S4405">
            <v>0</v>
          </cell>
          <cell r="T4405">
            <v>0</v>
          </cell>
          <cell r="U4405">
            <v>0</v>
          </cell>
          <cell r="V4405">
            <v>0</v>
          </cell>
          <cell r="W4405">
            <v>0</v>
          </cell>
        </row>
        <row r="4406">
          <cell r="A4406" t="str">
            <v>450340</v>
          </cell>
          <cell r="B4406" t="str">
            <v>1254</v>
          </cell>
          <cell r="C4406" t="str">
            <v>12</v>
          </cell>
          <cell r="D4406" t="str">
            <v>21</v>
          </cell>
          <cell r="E4406">
            <v>65</v>
          </cell>
          <cell r="G4406">
            <v>631211</v>
          </cell>
          <cell r="H4406">
            <v>0</v>
          </cell>
          <cell r="I4406">
            <v>0</v>
          </cell>
          <cell r="J4406">
            <v>0</v>
          </cell>
          <cell r="K4406">
            <v>0</v>
          </cell>
          <cell r="L4406">
            <v>10968</v>
          </cell>
          <cell r="M4406">
            <v>0</v>
          </cell>
          <cell r="N4406">
            <v>10968</v>
          </cell>
          <cell r="O4406">
            <v>0</v>
          </cell>
          <cell r="P4406">
            <v>10968</v>
          </cell>
          <cell r="Q4406">
            <v>0</v>
          </cell>
          <cell r="R4406">
            <v>0</v>
          </cell>
          <cell r="S4406">
            <v>0</v>
          </cell>
          <cell r="T4406">
            <v>0</v>
          </cell>
          <cell r="U4406">
            <v>0</v>
          </cell>
          <cell r="V4406">
            <v>0</v>
          </cell>
          <cell r="W4406">
            <v>0</v>
          </cell>
        </row>
        <row r="4407">
          <cell r="A4407" t="str">
            <v>450340</v>
          </cell>
          <cell r="B4407" t="str">
            <v>1254</v>
          </cell>
          <cell r="C4407" t="str">
            <v>12</v>
          </cell>
          <cell r="D4407" t="str">
            <v>21</v>
          </cell>
          <cell r="E4407">
            <v>1</v>
          </cell>
          <cell r="G4407">
            <v>701015</v>
          </cell>
          <cell r="H4407">
            <v>0</v>
          </cell>
          <cell r="I4407">
            <v>0</v>
          </cell>
          <cell r="J4407">
            <v>0</v>
          </cell>
          <cell r="K4407">
            <v>0</v>
          </cell>
          <cell r="L4407">
            <v>0</v>
          </cell>
          <cell r="M4407">
            <v>8143</v>
          </cell>
          <cell r="N4407">
            <v>0</v>
          </cell>
          <cell r="O4407">
            <v>0</v>
          </cell>
          <cell r="P4407">
            <v>0</v>
          </cell>
          <cell r="Q4407">
            <v>0</v>
          </cell>
          <cell r="R4407">
            <v>0</v>
          </cell>
          <cell r="S4407">
            <v>0</v>
          </cell>
          <cell r="T4407">
            <v>0</v>
          </cell>
          <cell r="U4407">
            <v>0</v>
          </cell>
          <cell r="V4407">
            <v>0</v>
          </cell>
          <cell r="W4407">
            <v>0</v>
          </cell>
        </row>
        <row r="4408">
          <cell r="A4408" t="str">
            <v>450340</v>
          </cell>
          <cell r="B4408" t="str">
            <v>1254</v>
          </cell>
          <cell r="C4408" t="str">
            <v>12</v>
          </cell>
          <cell r="D4408" t="str">
            <v>21</v>
          </cell>
          <cell r="E4408">
            <v>17</v>
          </cell>
          <cell r="G4408">
            <v>701015</v>
          </cell>
          <cell r="H4408">
            <v>0</v>
          </cell>
          <cell r="I4408">
            <v>0</v>
          </cell>
          <cell r="J4408">
            <v>0</v>
          </cell>
          <cell r="K4408">
            <v>0</v>
          </cell>
          <cell r="L4408">
            <v>0</v>
          </cell>
          <cell r="M4408">
            <v>0</v>
          </cell>
          <cell r="N4408">
            <v>0</v>
          </cell>
          <cell r="O4408">
            <v>0</v>
          </cell>
          <cell r="P4408">
            <v>0</v>
          </cell>
          <cell r="Q4408">
            <v>0</v>
          </cell>
          <cell r="R4408">
            <v>0</v>
          </cell>
          <cell r="S4408">
            <v>0</v>
          </cell>
          <cell r="T4408">
            <v>0</v>
          </cell>
          <cell r="U4408">
            <v>0</v>
          </cell>
          <cell r="V4408">
            <v>0</v>
          </cell>
          <cell r="W4408">
            <v>0</v>
          </cell>
        </row>
        <row r="4409">
          <cell r="A4409" t="str">
            <v>450340</v>
          </cell>
          <cell r="B4409" t="str">
            <v>1254</v>
          </cell>
          <cell r="C4409" t="str">
            <v>12</v>
          </cell>
          <cell r="D4409" t="str">
            <v>21</v>
          </cell>
          <cell r="E4409">
            <v>33</v>
          </cell>
          <cell r="G4409">
            <v>701015</v>
          </cell>
          <cell r="H4409">
            <v>0</v>
          </cell>
          <cell r="I4409">
            <v>0</v>
          </cell>
          <cell r="J4409">
            <v>0</v>
          </cell>
          <cell r="K4409">
            <v>0</v>
          </cell>
          <cell r="L4409">
            <v>0</v>
          </cell>
          <cell r="M4409">
            <v>0</v>
          </cell>
          <cell r="N4409">
            <v>0</v>
          </cell>
          <cell r="O4409">
            <v>0</v>
          </cell>
          <cell r="P4409">
            <v>0</v>
          </cell>
          <cell r="Q4409">
            <v>0</v>
          </cell>
          <cell r="R4409">
            <v>0</v>
          </cell>
          <cell r="S4409">
            <v>0</v>
          </cell>
          <cell r="T4409">
            <v>0</v>
          </cell>
          <cell r="U4409">
            <v>0</v>
          </cell>
          <cell r="V4409">
            <v>0</v>
          </cell>
          <cell r="W4409">
            <v>0</v>
          </cell>
        </row>
        <row r="4410">
          <cell r="A4410" t="str">
            <v>450340</v>
          </cell>
          <cell r="B4410" t="str">
            <v>1254</v>
          </cell>
          <cell r="C4410" t="str">
            <v>12</v>
          </cell>
          <cell r="D4410" t="str">
            <v>21</v>
          </cell>
          <cell r="E4410">
            <v>49</v>
          </cell>
          <cell r="G4410">
            <v>701015</v>
          </cell>
          <cell r="H4410">
            <v>0</v>
          </cell>
          <cell r="I4410">
            <v>0</v>
          </cell>
          <cell r="J4410">
            <v>0</v>
          </cell>
          <cell r="K4410">
            <v>0</v>
          </cell>
          <cell r="L4410">
            <v>0</v>
          </cell>
          <cell r="M4410">
            <v>0</v>
          </cell>
          <cell r="N4410">
            <v>0</v>
          </cell>
          <cell r="O4410">
            <v>0</v>
          </cell>
          <cell r="P4410">
            <v>0</v>
          </cell>
          <cell r="Q4410">
            <v>0</v>
          </cell>
          <cell r="R4410">
            <v>0</v>
          </cell>
          <cell r="S4410">
            <v>0</v>
          </cell>
          <cell r="T4410">
            <v>0</v>
          </cell>
          <cell r="U4410">
            <v>0</v>
          </cell>
          <cell r="V4410">
            <v>0</v>
          </cell>
          <cell r="W4410">
            <v>0</v>
          </cell>
        </row>
        <row r="4411">
          <cell r="A4411" t="str">
            <v>450340</v>
          </cell>
          <cell r="B4411" t="str">
            <v>1254</v>
          </cell>
          <cell r="C4411" t="str">
            <v>12</v>
          </cell>
          <cell r="D4411" t="str">
            <v>21</v>
          </cell>
          <cell r="E4411">
            <v>65</v>
          </cell>
          <cell r="G4411">
            <v>701015</v>
          </cell>
          <cell r="H4411">
            <v>0</v>
          </cell>
          <cell r="I4411">
            <v>0</v>
          </cell>
          <cell r="J4411">
            <v>0</v>
          </cell>
          <cell r="K4411">
            <v>0</v>
          </cell>
          <cell r="L4411">
            <v>8143</v>
          </cell>
          <cell r="M4411">
            <v>0</v>
          </cell>
          <cell r="N4411">
            <v>8143</v>
          </cell>
          <cell r="O4411">
            <v>0</v>
          </cell>
          <cell r="P4411">
            <v>8143</v>
          </cell>
          <cell r="Q4411">
            <v>0</v>
          </cell>
          <cell r="R4411">
            <v>0</v>
          </cell>
          <cell r="S4411">
            <v>0</v>
          </cell>
          <cell r="T4411">
            <v>0</v>
          </cell>
          <cell r="U4411">
            <v>0</v>
          </cell>
          <cell r="V4411">
            <v>0</v>
          </cell>
          <cell r="W4411">
            <v>0</v>
          </cell>
        </row>
        <row r="4412">
          <cell r="A4412" t="str">
            <v>450340</v>
          </cell>
          <cell r="B4412" t="str">
            <v>1254</v>
          </cell>
          <cell r="C4412" t="str">
            <v>12</v>
          </cell>
          <cell r="D4412" t="str">
            <v>21</v>
          </cell>
          <cell r="E4412">
            <v>1</v>
          </cell>
          <cell r="G4412">
            <v>751153</v>
          </cell>
          <cell r="H4412">
            <v>208095</v>
          </cell>
          <cell r="I4412">
            <v>35256</v>
          </cell>
          <cell r="J4412">
            <v>1565</v>
          </cell>
          <cell r="K4412">
            <v>244916</v>
          </cell>
          <cell r="L4412">
            <v>76164</v>
          </cell>
          <cell r="M4412">
            <v>52924</v>
          </cell>
          <cell r="N4412">
            <v>6692</v>
          </cell>
          <cell r="O4412">
            <v>0</v>
          </cell>
          <cell r="P4412">
            <v>0</v>
          </cell>
          <cell r="Q4412">
            <v>0</v>
          </cell>
          <cell r="R4412">
            <v>0</v>
          </cell>
          <cell r="S4412">
            <v>0</v>
          </cell>
          <cell r="T4412">
            <v>0</v>
          </cell>
          <cell r="U4412">
            <v>0</v>
          </cell>
          <cell r="V4412">
            <v>0</v>
          </cell>
          <cell r="W4412">
            <v>0</v>
          </cell>
        </row>
        <row r="4413">
          <cell r="A4413" t="str">
            <v>450340</v>
          </cell>
          <cell r="B4413" t="str">
            <v>1254</v>
          </cell>
          <cell r="C4413" t="str">
            <v>12</v>
          </cell>
          <cell r="D4413" t="str">
            <v>21</v>
          </cell>
          <cell r="E4413">
            <v>17</v>
          </cell>
          <cell r="G4413">
            <v>751153</v>
          </cell>
          <cell r="H4413">
            <v>0</v>
          </cell>
          <cell r="I4413">
            <v>0</v>
          </cell>
          <cell r="J4413">
            <v>0</v>
          </cell>
          <cell r="K4413">
            <v>0</v>
          </cell>
          <cell r="L4413">
            <v>0</v>
          </cell>
          <cell r="M4413">
            <v>0</v>
          </cell>
          <cell r="N4413">
            <v>0</v>
          </cell>
          <cell r="O4413">
            <v>0</v>
          </cell>
          <cell r="P4413">
            <v>0</v>
          </cell>
          <cell r="Q4413">
            <v>0</v>
          </cell>
          <cell r="R4413">
            <v>0</v>
          </cell>
          <cell r="S4413">
            <v>0</v>
          </cell>
          <cell r="T4413">
            <v>0</v>
          </cell>
          <cell r="U4413">
            <v>0</v>
          </cell>
          <cell r="V4413">
            <v>0</v>
          </cell>
          <cell r="W4413">
            <v>0</v>
          </cell>
        </row>
        <row r="4414">
          <cell r="A4414" t="str">
            <v>450340</v>
          </cell>
          <cell r="B4414" t="str">
            <v>1254</v>
          </cell>
          <cell r="C4414" t="str">
            <v>12</v>
          </cell>
          <cell r="D4414" t="str">
            <v>21</v>
          </cell>
          <cell r="E4414">
            <v>33</v>
          </cell>
          <cell r="G4414">
            <v>751153</v>
          </cell>
          <cell r="H4414">
            <v>0</v>
          </cell>
          <cell r="I4414">
            <v>0</v>
          </cell>
          <cell r="J4414">
            <v>0</v>
          </cell>
          <cell r="K4414">
            <v>0</v>
          </cell>
          <cell r="L4414">
            <v>0</v>
          </cell>
          <cell r="M4414">
            <v>0</v>
          </cell>
          <cell r="N4414">
            <v>0</v>
          </cell>
          <cell r="O4414">
            <v>0</v>
          </cell>
          <cell r="P4414">
            <v>0</v>
          </cell>
          <cell r="Q4414">
            <v>0</v>
          </cell>
          <cell r="R4414">
            <v>0</v>
          </cell>
          <cell r="S4414">
            <v>0</v>
          </cell>
          <cell r="T4414">
            <v>0</v>
          </cell>
          <cell r="U4414">
            <v>0</v>
          </cell>
          <cell r="V4414">
            <v>0</v>
          </cell>
          <cell r="W4414">
            <v>0</v>
          </cell>
        </row>
        <row r="4415">
          <cell r="A4415" t="str">
            <v>450340</v>
          </cell>
          <cell r="B4415" t="str">
            <v>1254</v>
          </cell>
          <cell r="C4415" t="str">
            <v>12</v>
          </cell>
          <cell r="D4415" t="str">
            <v>21</v>
          </cell>
          <cell r="E4415">
            <v>49</v>
          </cell>
          <cell r="G4415">
            <v>751153</v>
          </cell>
          <cell r="H4415">
            <v>0</v>
          </cell>
          <cell r="I4415">
            <v>0</v>
          </cell>
          <cell r="J4415">
            <v>0</v>
          </cell>
          <cell r="K4415">
            <v>0</v>
          </cell>
          <cell r="L4415">
            <v>0</v>
          </cell>
          <cell r="M4415">
            <v>0</v>
          </cell>
          <cell r="N4415">
            <v>0</v>
          </cell>
          <cell r="O4415">
            <v>0</v>
          </cell>
          <cell r="P4415">
            <v>0</v>
          </cell>
          <cell r="Q4415">
            <v>0</v>
          </cell>
          <cell r="R4415">
            <v>0</v>
          </cell>
          <cell r="S4415">
            <v>0</v>
          </cell>
          <cell r="T4415">
            <v>30</v>
          </cell>
          <cell r="U4415">
            <v>0</v>
          </cell>
          <cell r="V4415">
            <v>0</v>
          </cell>
          <cell r="W4415">
            <v>6316</v>
          </cell>
        </row>
        <row r="4416">
          <cell r="A4416" t="str">
            <v>450340</v>
          </cell>
          <cell r="B4416" t="str">
            <v>1254</v>
          </cell>
          <cell r="C4416" t="str">
            <v>12</v>
          </cell>
          <cell r="D4416" t="str">
            <v>21</v>
          </cell>
          <cell r="E4416">
            <v>65</v>
          </cell>
          <cell r="G4416">
            <v>751153</v>
          </cell>
          <cell r="H4416">
            <v>0</v>
          </cell>
          <cell r="I4416">
            <v>1066</v>
          </cell>
          <cell r="J4416">
            <v>0</v>
          </cell>
          <cell r="K4416">
            <v>1550</v>
          </cell>
          <cell r="L4416">
            <v>389658</v>
          </cell>
          <cell r="M4416">
            <v>0</v>
          </cell>
          <cell r="N4416">
            <v>389658</v>
          </cell>
          <cell r="O4416">
            <v>0</v>
          </cell>
          <cell r="P4416">
            <v>389658</v>
          </cell>
          <cell r="Q4416">
            <v>97</v>
          </cell>
          <cell r="R4416">
            <v>97</v>
          </cell>
          <cell r="S4416">
            <v>0</v>
          </cell>
          <cell r="T4416">
            <v>0</v>
          </cell>
          <cell r="U4416">
            <v>0</v>
          </cell>
          <cell r="V4416">
            <v>0</v>
          </cell>
          <cell r="W4416">
            <v>0</v>
          </cell>
        </row>
        <row r="4417">
          <cell r="A4417" t="str">
            <v>450340</v>
          </cell>
          <cell r="B4417" t="str">
            <v>1254</v>
          </cell>
          <cell r="C4417" t="str">
            <v>12</v>
          </cell>
          <cell r="D4417" t="str">
            <v>21</v>
          </cell>
          <cell r="E4417">
            <v>1</v>
          </cell>
          <cell r="G4417">
            <v>751164</v>
          </cell>
          <cell r="H4417">
            <v>0</v>
          </cell>
          <cell r="I4417">
            <v>0</v>
          </cell>
          <cell r="J4417">
            <v>540</v>
          </cell>
          <cell r="K4417">
            <v>540</v>
          </cell>
          <cell r="L4417">
            <v>157</v>
          </cell>
          <cell r="M4417">
            <v>588</v>
          </cell>
          <cell r="N4417">
            <v>0</v>
          </cell>
          <cell r="O4417">
            <v>120</v>
          </cell>
          <cell r="P4417">
            <v>0</v>
          </cell>
          <cell r="Q4417">
            <v>0</v>
          </cell>
          <cell r="R4417">
            <v>0</v>
          </cell>
          <cell r="S4417">
            <v>173</v>
          </cell>
          <cell r="T4417">
            <v>0</v>
          </cell>
          <cell r="U4417">
            <v>293</v>
          </cell>
          <cell r="V4417">
            <v>0</v>
          </cell>
          <cell r="W4417">
            <v>0</v>
          </cell>
        </row>
        <row r="4418">
          <cell r="A4418" t="str">
            <v>450340</v>
          </cell>
          <cell r="B4418" t="str">
            <v>1254</v>
          </cell>
          <cell r="C4418" t="str">
            <v>12</v>
          </cell>
          <cell r="D4418" t="str">
            <v>21</v>
          </cell>
          <cell r="E4418">
            <v>17</v>
          </cell>
          <cell r="G4418">
            <v>751164</v>
          </cell>
          <cell r="H4418">
            <v>0</v>
          </cell>
          <cell r="I4418">
            <v>0</v>
          </cell>
          <cell r="J4418">
            <v>0</v>
          </cell>
          <cell r="K4418">
            <v>0</v>
          </cell>
          <cell r="L4418">
            <v>0</v>
          </cell>
          <cell r="M4418">
            <v>0</v>
          </cell>
          <cell r="N4418">
            <v>293</v>
          </cell>
          <cell r="O4418">
            <v>0</v>
          </cell>
          <cell r="P4418">
            <v>292</v>
          </cell>
          <cell r="Q4418">
            <v>0</v>
          </cell>
          <cell r="R4418">
            <v>0</v>
          </cell>
          <cell r="S4418">
            <v>0</v>
          </cell>
          <cell r="T4418">
            <v>0</v>
          </cell>
          <cell r="U4418">
            <v>0</v>
          </cell>
          <cell r="V4418">
            <v>0</v>
          </cell>
          <cell r="W4418">
            <v>0</v>
          </cell>
        </row>
        <row r="4419">
          <cell r="A4419" t="str">
            <v>450340</v>
          </cell>
          <cell r="B4419" t="str">
            <v>1254</v>
          </cell>
          <cell r="C4419" t="str">
            <v>12</v>
          </cell>
          <cell r="D4419" t="str">
            <v>21</v>
          </cell>
          <cell r="E4419">
            <v>33</v>
          </cell>
          <cell r="G4419">
            <v>751164</v>
          </cell>
          <cell r="H4419">
            <v>0</v>
          </cell>
          <cell r="I4419">
            <v>0</v>
          </cell>
          <cell r="J4419">
            <v>0</v>
          </cell>
          <cell r="K4419">
            <v>0</v>
          </cell>
          <cell r="L4419">
            <v>0</v>
          </cell>
          <cell r="M4419">
            <v>0</v>
          </cell>
          <cell r="N4419">
            <v>292</v>
          </cell>
          <cell r="O4419">
            <v>0</v>
          </cell>
          <cell r="P4419">
            <v>0</v>
          </cell>
          <cell r="Q4419">
            <v>0</v>
          </cell>
          <cell r="R4419">
            <v>0</v>
          </cell>
          <cell r="S4419">
            <v>0</v>
          </cell>
          <cell r="T4419">
            <v>0</v>
          </cell>
          <cell r="U4419">
            <v>0</v>
          </cell>
          <cell r="V4419">
            <v>0</v>
          </cell>
          <cell r="W4419">
            <v>0</v>
          </cell>
        </row>
        <row r="4420">
          <cell r="A4420" t="str">
            <v>450340</v>
          </cell>
          <cell r="B4420" t="str">
            <v>1254</v>
          </cell>
          <cell r="C4420" t="str">
            <v>12</v>
          </cell>
          <cell r="D4420" t="str">
            <v>21</v>
          </cell>
          <cell r="E4420">
            <v>49</v>
          </cell>
          <cell r="G4420">
            <v>751164</v>
          </cell>
          <cell r="H4420">
            <v>0</v>
          </cell>
          <cell r="I4420">
            <v>0</v>
          </cell>
          <cell r="J4420">
            <v>0</v>
          </cell>
          <cell r="K4420">
            <v>0</v>
          </cell>
          <cell r="L4420">
            <v>0</v>
          </cell>
          <cell r="M4420">
            <v>0</v>
          </cell>
          <cell r="N4420">
            <v>0</v>
          </cell>
          <cell r="O4420">
            <v>0</v>
          </cell>
          <cell r="P4420">
            <v>0</v>
          </cell>
          <cell r="Q4420">
            <v>0</v>
          </cell>
          <cell r="R4420">
            <v>292</v>
          </cell>
          <cell r="S4420">
            <v>0</v>
          </cell>
          <cell r="T4420">
            <v>0</v>
          </cell>
          <cell r="U4420">
            <v>0</v>
          </cell>
          <cell r="V4420">
            <v>0</v>
          </cell>
          <cell r="W4420">
            <v>0</v>
          </cell>
        </row>
        <row r="4421">
          <cell r="A4421" t="str">
            <v>450340</v>
          </cell>
          <cell r="B4421" t="str">
            <v>1254</v>
          </cell>
          <cell r="C4421" t="str">
            <v>12</v>
          </cell>
          <cell r="D4421" t="str">
            <v>21</v>
          </cell>
          <cell r="E4421">
            <v>65</v>
          </cell>
          <cell r="G4421">
            <v>751164</v>
          </cell>
          <cell r="H4421">
            <v>0</v>
          </cell>
          <cell r="I4421">
            <v>0</v>
          </cell>
          <cell r="J4421">
            <v>0</v>
          </cell>
          <cell r="K4421">
            <v>0</v>
          </cell>
          <cell r="L4421">
            <v>1870</v>
          </cell>
          <cell r="M4421">
            <v>0</v>
          </cell>
          <cell r="N4421">
            <v>1870</v>
          </cell>
          <cell r="O4421">
            <v>0</v>
          </cell>
          <cell r="P4421">
            <v>1870</v>
          </cell>
          <cell r="Q4421">
            <v>0</v>
          </cell>
          <cell r="R4421">
            <v>0</v>
          </cell>
          <cell r="S4421">
            <v>0</v>
          </cell>
          <cell r="T4421">
            <v>0</v>
          </cell>
          <cell r="U4421">
            <v>0</v>
          </cell>
          <cell r="V4421">
            <v>0</v>
          </cell>
          <cell r="W4421">
            <v>0</v>
          </cell>
        </row>
        <row r="4422">
          <cell r="A4422" t="str">
            <v>450340</v>
          </cell>
          <cell r="B4422" t="str">
            <v>1254</v>
          </cell>
          <cell r="C4422" t="str">
            <v>12</v>
          </cell>
          <cell r="D4422" t="str">
            <v>21</v>
          </cell>
          <cell r="E4422">
            <v>1</v>
          </cell>
          <cell r="G4422">
            <v>751175</v>
          </cell>
          <cell r="H4422">
            <v>0</v>
          </cell>
          <cell r="I4422">
            <v>227</v>
          </cell>
          <cell r="J4422">
            <v>2932</v>
          </cell>
          <cell r="K4422">
            <v>3159</v>
          </cell>
          <cell r="L4422">
            <v>890</v>
          </cell>
          <cell r="M4422">
            <v>1854</v>
          </cell>
          <cell r="N4422">
            <v>77</v>
          </cell>
          <cell r="O4422">
            <v>0</v>
          </cell>
          <cell r="P4422">
            <v>0</v>
          </cell>
          <cell r="Q4422">
            <v>0</v>
          </cell>
          <cell r="R4422">
            <v>0</v>
          </cell>
          <cell r="S4422">
            <v>0</v>
          </cell>
          <cell r="T4422">
            <v>0</v>
          </cell>
          <cell r="U4422">
            <v>0</v>
          </cell>
          <cell r="V4422">
            <v>0</v>
          </cell>
          <cell r="W4422">
            <v>0</v>
          </cell>
        </row>
        <row r="4423">
          <cell r="A4423" t="str">
            <v>450340</v>
          </cell>
          <cell r="B4423" t="str">
            <v>1254</v>
          </cell>
          <cell r="C4423" t="str">
            <v>12</v>
          </cell>
          <cell r="D4423" t="str">
            <v>21</v>
          </cell>
          <cell r="E4423">
            <v>17</v>
          </cell>
          <cell r="G4423">
            <v>751175</v>
          </cell>
          <cell r="H4423">
            <v>0</v>
          </cell>
          <cell r="I4423">
            <v>0</v>
          </cell>
          <cell r="J4423">
            <v>0</v>
          </cell>
          <cell r="K4423">
            <v>0</v>
          </cell>
          <cell r="L4423">
            <v>0</v>
          </cell>
          <cell r="M4423">
            <v>0</v>
          </cell>
          <cell r="N4423">
            <v>0</v>
          </cell>
          <cell r="O4423">
            <v>0</v>
          </cell>
          <cell r="P4423">
            <v>0</v>
          </cell>
          <cell r="Q4423">
            <v>0</v>
          </cell>
          <cell r="R4423">
            <v>0</v>
          </cell>
          <cell r="S4423">
            <v>0</v>
          </cell>
          <cell r="T4423">
            <v>0</v>
          </cell>
          <cell r="U4423">
            <v>0</v>
          </cell>
          <cell r="V4423">
            <v>0</v>
          </cell>
          <cell r="W4423">
            <v>0</v>
          </cell>
        </row>
        <row r="4424">
          <cell r="A4424" t="str">
            <v>450340</v>
          </cell>
          <cell r="B4424" t="str">
            <v>1254</v>
          </cell>
          <cell r="C4424" t="str">
            <v>12</v>
          </cell>
          <cell r="D4424" t="str">
            <v>21</v>
          </cell>
          <cell r="E4424">
            <v>33</v>
          </cell>
          <cell r="G4424">
            <v>751175</v>
          </cell>
          <cell r="H4424">
            <v>0</v>
          </cell>
          <cell r="I4424">
            <v>0</v>
          </cell>
          <cell r="J4424">
            <v>0</v>
          </cell>
          <cell r="K4424">
            <v>0</v>
          </cell>
          <cell r="L4424">
            <v>0</v>
          </cell>
          <cell r="M4424">
            <v>0</v>
          </cell>
          <cell r="N4424">
            <v>0</v>
          </cell>
          <cell r="O4424">
            <v>0</v>
          </cell>
          <cell r="P4424">
            <v>0</v>
          </cell>
          <cell r="Q4424">
            <v>0</v>
          </cell>
          <cell r="R4424">
            <v>0</v>
          </cell>
          <cell r="S4424">
            <v>0</v>
          </cell>
          <cell r="T4424">
            <v>0</v>
          </cell>
          <cell r="U4424">
            <v>0</v>
          </cell>
          <cell r="V4424">
            <v>0</v>
          </cell>
          <cell r="W4424">
            <v>0</v>
          </cell>
        </row>
        <row r="4425">
          <cell r="A4425" t="str">
            <v>450340</v>
          </cell>
          <cell r="B4425" t="str">
            <v>1254</v>
          </cell>
          <cell r="C4425" t="str">
            <v>12</v>
          </cell>
          <cell r="D4425" t="str">
            <v>21</v>
          </cell>
          <cell r="E4425">
            <v>49</v>
          </cell>
          <cell r="G4425">
            <v>751175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</row>
        <row r="4426">
          <cell r="A4426" t="str">
            <v>450340</v>
          </cell>
          <cell r="B4426" t="str">
            <v>1254</v>
          </cell>
          <cell r="C4426" t="str">
            <v>12</v>
          </cell>
          <cell r="D4426" t="str">
            <v>21</v>
          </cell>
          <cell r="E4426">
            <v>65</v>
          </cell>
          <cell r="G4426">
            <v>751175</v>
          </cell>
          <cell r="H4426">
            <v>0</v>
          </cell>
          <cell r="I4426">
            <v>0</v>
          </cell>
          <cell r="J4426">
            <v>0</v>
          </cell>
          <cell r="K4426">
            <v>0</v>
          </cell>
          <cell r="L4426">
            <v>5980</v>
          </cell>
          <cell r="M4426">
            <v>0</v>
          </cell>
          <cell r="N4426">
            <v>5980</v>
          </cell>
          <cell r="O4426">
            <v>0</v>
          </cell>
          <cell r="P4426">
            <v>5980</v>
          </cell>
          <cell r="Q4426">
            <v>0</v>
          </cell>
          <cell r="R4426">
            <v>0</v>
          </cell>
          <cell r="S4426">
            <v>0</v>
          </cell>
          <cell r="T4426">
            <v>0</v>
          </cell>
          <cell r="U4426">
            <v>0</v>
          </cell>
          <cell r="V4426">
            <v>0</v>
          </cell>
          <cell r="W4426">
            <v>0</v>
          </cell>
        </row>
        <row r="4427">
          <cell r="A4427" t="str">
            <v>450340</v>
          </cell>
          <cell r="B4427" t="str">
            <v>1254</v>
          </cell>
          <cell r="C4427" t="str">
            <v>12</v>
          </cell>
          <cell r="D4427" t="str">
            <v>21</v>
          </cell>
          <cell r="E4427">
            <v>1</v>
          </cell>
          <cell r="G4427">
            <v>751186</v>
          </cell>
          <cell r="H4427">
            <v>0</v>
          </cell>
          <cell r="I4427">
            <v>460</v>
          </cell>
          <cell r="J4427">
            <v>2347</v>
          </cell>
          <cell r="K4427">
            <v>2807</v>
          </cell>
          <cell r="L4427">
            <v>787</v>
          </cell>
          <cell r="M4427">
            <v>569</v>
          </cell>
          <cell r="N4427">
            <v>0</v>
          </cell>
          <cell r="O4427">
            <v>0</v>
          </cell>
          <cell r="P4427">
            <v>0</v>
          </cell>
          <cell r="Q4427">
            <v>0</v>
          </cell>
          <cell r="R4427">
            <v>0</v>
          </cell>
          <cell r="S4427">
            <v>0</v>
          </cell>
          <cell r="T4427">
            <v>0</v>
          </cell>
          <cell r="U4427">
            <v>0</v>
          </cell>
          <cell r="V4427">
            <v>0</v>
          </cell>
          <cell r="W4427">
            <v>0</v>
          </cell>
        </row>
        <row r="4428">
          <cell r="A4428" t="str">
            <v>450340</v>
          </cell>
          <cell r="B4428" t="str">
            <v>1254</v>
          </cell>
          <cell r="C4428" t="str">
            <v>12</v>
          </cell>
          <cell r="D4428" t="str">
            <v>21</v>
          </cell>
          <cell r="E4428">
            <v>17</v>
          </cell>
          <cell r="G4428">
            <v>751186</v>
          </cell>
          <cell r="H4428">
            <v>0</v>
          </cell>
          <cell r="I4428">
            <v>0</v>
          </cell>
          <cell r="J4428">
            <v>0</v>
          </cell>
          <cell r="K4428">
            <v>0</v>
          </cell>
          <cell r="L4428">
            <v>0</v>
          </cell>
          <cell r="M4428">
            <v>0</v>
          </cell>
          <cell r="N4428">
            <v>0</v>
          </cell>
          <cell r="O4428">
            <v>0</v>
          </cell>
          <cell r="P4428">
            <v>0</v>
          </cell>
          <cell r="Q4428">
            <v>0</v>
          </cell>
          <cell r="R4428">
            <v>0</v>
          </cell>
          <cell r="S4428">
            <v>0</v>
          </cell>
          <cell r="T4428">
            <v>0</v>
          </cell>
          <cell r="U4428">
            <v>0</v>
          </cell>
          <cell r="V4428">
            <v>0</v>
          </cell>
          <cell r="W4428">
            <v>0</v>
          </cell>
        </row>
        <row r="4429">
          <cell r="A4429" t="str">
            <v>450340</v>
          </cell>
          <cell r="B4429" t="str">
            <v>1254</v>
          </cell>
          <cell r="C4429" t="str">
            <v>12</v>
          </cell>
          <cell r="D4429" t="str">
            <v>21</v>
          </cell>
          <cell r="E4429">
            <v>33</v>
          </cell>
          <cell r="G4429">
            <v>751186</v>
          </cell>
          <cell r="H4429">
            <v>0</v>
          </cell>
          <cell r="I4429">
            <v>0</v>
          </cell>
          <cell r="J4429">
            <v>0</v>
          </cell>
          <cell r="K4429">
            <v>0</v>
          </cell>
          <cell r="L4429">
            <v>0</v>
          </cell>
          <cell r="M4429">
            <v>0</v>
          </cell>
          <cell r="N4429">
            <v>0</v>
          </cell>
          <cell r="O4429">
            <v>0</v>
          </cell>
          <cell r="P4429">
            <v>0</v>
          </cell>
          <cell r="Q4429">
            <v>0</v>
          </cell>
          <cell r="R4429">
            <v>0</v>
          </cell>
          <cell r="S4429">
            <v>0</v>
          </cell>
          <cell r="T4429">
            <v>0</v>
          </cell>
          <cell r="U4429">
            <v>0</v>
          </cell>
          <cell r="V4429">
            <v>0</v>
          </cell>
          <cell r="W4429">
            <v>0</v>
          </cell>
        </row>
        <row r="4430">
          <cell r="A4430" t="str">
            <v>450340</v>
          </cell>
          <cell r="B4430" t="str">
            <v>1254</v>
          </cell>
          <cell r="C4430" t="str">
            <v>12</v>
          </cell>
          <cell r="D4430" t="str">
            <v>21</v>
          </cell>
          <cell r="E4430">
            <v>49</v>
          </cell>
          <cell r="G4430">
            <v>751186</v>
          </cell>
          <cell r="H4430">
            <v>0</v>
          </cell>
          <cell r="I4430">
            <v>0</v>
          </cell>
          <cell r="J4430">
            <v>0</v>
          </cell>
          <cell r="K4430">
            <v>0</v>
          </cell>
          <cell r="L4430">
            <v>0</v>
          </cell>
          <cell r="M4430">
            <v>0</v>
          </cell>
          <cell r="N4430">
            <v>0</v>
          </cell>
          <cell r="O4430">
            <v>0</v>
          </cell>
          <cell r="P4430">
            <v>0</v>
          </cell>
          <cell r="Q4430">
            <v>0</v>
          </cell>
          <cell r="R4430">
            <v>0</v>
          </cell>
          <cell r="S4430">
            <v>0</v>
          </cell>
          <cell r="T4430">
            <v>0</v>
          </cell>
          <cell r="U4430">
            <v>0</v>
          </cell>
          <cell r="V4430">
            <v>0</v>
          </cell>
          <cell r="W4430">
            <v>0</v>
          </cell>
        </row>
        <row r="4431">
          <cell r="A4431" t="str">
            <v>450340</v>
          </cell>
          <cell r="B4431" t="str">
            <v>1254</v>
          </cell>
          <cell r="C4431" t="str">
            <v>12</v>
          </cell>
          <cell r="D4431" t="str">
            <v>21</v>
          </cell>
          <cell r="E4431">
            <v>65</v>
          </cell>
          <cell r="G4431">
            <v>751186</v>
          </cell>
          <cell r="H4431">
            <v>0</v>
          </cell>
          <cell r="I4431">
            <v>0</v>
          </cell>
          <cell r="J4431">
            <v>0</v>
          </cell>
          <cell r="K4431">
            <v>0</v>
          </cell>
          <cell r="L4431">
            <v>4163</v>
          </cell>
          <cell r="M4431">
            <v>0</v>
          </cell>
          <cell r="N4431">
            <v>4163</v>
          </cell>
          <cell r="O4431">
            <v>0</v>
          </cell>
          <cell r="P4431">
            <v>4163</v>
          </cell>
          <cell r="Q4431">
            <v>0</v>
          </cell>
          <cell r="R4431">
            <v>0</v>
          </cell>
          <cell r="S4431">
            <v>0</v>
          </cell>
          <cell r="T4431">
            <v>0</v>
          </cell>
          <cell r="U4431">
            <v>0</v>
          </cell>
          <cell r="V4431">
            <v>0</v>
          </cell>
          <cell r="W4431">
            <v>0</v>
          </cell>
        </row>
        <row r="4432">
          <cell r="A4432" t="str">
            <v>450340</v>
          </cell>
          <cell r="B4432" t="str">
            <v>1254</v>
          </cell>
          <cell r="C4432" t="str">
            <v>12</v>
          </cell>
          <cell r="D4432" t="str">
            <v>21</v>
          </cell>
          <cell r="E4432">
            <v>1</v>
          </cell>
          <cell r="G4432">
            <v>751669</v>
          </cell>
          <cell r="H4432">
            <v>139208</v>
          </cell>
          <cell r="I4432">
            <v>36099</v>
          </cell>
          <cell r="J4432">
            <v>0</v>
          </cell>
          <cell r="K4432">
            <v>175307</v>
          </cell>
          <cell r="L4432">
            <v>54984</v>
          </cell>
          <cell r="M4432">
            <v>22669</v>
          </cell>
          <cell r="N4432">
            <v>1568</v>
          </cell>
          <cell r="O4432">
            <v>0</v>
          </cell>
          <cell r="P4432">
            <v>0</v>
          </cell>
          <cell r="Q4432">
            <v>0</v>
          </cell>
          <cell r="R4432">
            <v>0</v>
          </cell>
          <cell r="S4432">
            <v>0</v>
          </cell>
          <cell r="T4432">
            <v>0</v>
          </cell>
          <cell r="U4432">
            <v>0</v>
          </cell>
          <cell r="V4432">
            <v>0</v>
          </cell>
          <cell r="W4432">
            <v>13000</v>
          </cell>
        </row>
        <row r="4433">
          <cell r="A4433" t="str">
            <v>450340</v>
          </cell>
          <cell r="B4433" t="str">
            <v>1254</v>
          </cell>
          <cell r="C4433" t="str">
            <v>12</v>
          </cell>
          <cell r="D4433" t="str">
            <v>21</v>
          </cell>
          <cell r="E4433">
            <v>17</v>
          </cell>
          <cell r="G4433">
            <v>751669</v>
          </cell>
          <cell r="H4433">
            <v>0</v>
          </cell>
          <cell r="I4433">
            <v>0</v>
          </cell>
          <cell r="J4433">
            <v>0</v>
          </cell>
          <cell r="K4433">
            <v>0</v>
          </cell>
          <cell r="L4433">
            <v>0</v>
          </cell>
          <cell r="M4433">
            <v>13000</v>
          </cell>
          <cell r="N4433">
            <v>13000</v>
          </cell>
          <cell r="O4433">
            <v>0</v>
          </cell>
          <cell r="P4433">
            <v>0</v>
          </cell>
          <cell r="Q4433">
            <v>0</v>
          </cell>
          <cell r="R4433">
            <v>0</v>
          </cell>
          <cell r="S4433">
            <v>0</v>
          </cell>
          <cell r="T4433">
            <v>0</v>
          </cell>
          <cell r="U4433">
            <v>0</v>
          </cell>
          <cell r="V4433">
            <v>0</v>
          </cell>
          <cell r="W4433">
            <v>0</v>
          </cell>
        </row>
        <row r="4434">
          <cell r="A4434" t="str">
            <v>450340</v>
          </cell>
          <cell r="B4434" t="str">
            <v>1254</v>
          </cell>
          <cell r="C4434" t="str">
            <v>12</v>
          </cell>
          <cell r="D4434" t="str">
            <v>21</v>
          </cell>
          <cell r="E4434">
            <v>33</v>
          </cell>
          <cell r="G4434">
            <v>751669</v>
          </cell>
          <cell r="H4434">
            <v>0</v>
          </cell>
          <cell r="I4434">
            <v>0</v>
          </cell>
          <cell r="J4434">
            <v>0</v>
          </cell>
          <cell r="K4434">
            <v>0</v>
          </cell>
          <cell r="L4434">
            <v>0</v>
          </cell>
          <cell r="M4434">
            <v>0</v>
          </cell>
          <cell r="N4434">
            <v>0</v>
          </cell>
          <cell r="O4434">
            <v>0</v>
          </cell>
          <cell r="P4434">
            <v>0</v>
          </cell>
          <cell r="Q4434">
            <v>0</v>
          </cell>
          <cell r="R4434">
            <v>0</v>
          </cell>
          <cell r="S4434">
            <v>0</v>
          </cell>
          <cell r="T4434">
            <v>0</v>
          </cell>
          <cell r="U4434">
            <v>0</v>
          </cell>
          <cell r="V4434">
            <v>0</v>
          </cell>
          <cell r="W4434">
            <v>0</v>
          </cell>
        </row>
        <row r="4435">
          <cell r="A4435" t="str">
            <v>450340</v>
          </cell>
          <cell r="B4435" t="str">
            <v>1254</v>
          </cell>
          <cell r="C4435" t="str">
            <v>12</v>
          </cell>
          <cell r="D4435" t="str">
            <v>21</v>
          </cell>
          <cell r="E4435">
            <v>49</v>
          </cell>
          <cell r="G4435">
            <v>751669</v>
          </cell>
          <cell r="H4435">
            <v>0</v>
          </cell>
          <cell r="I4435">
            <v>0</v>
          </cell>
          <cell r="J4435">
            <v>0</v>
          </cell>
          <cell r="K4435">
            <v>0</v>
          </cell>
          <cell r="L4435">
            <v>0</v>
          </cell>
          <cell r="M4435">
            <v>0</v>
          </cell>
          <cell r="N4435">
            <v>0</v>
          </cell>
          <cell r="O4435">
            <v>0</v>
          </cell>
          <cell r="P4435">
            <v>0</v>
          </cell>
          <cell r="Q4435">
            <v>0</v>
          </cell>
          <cell r="R4435">
            <v>0</v>
          </cell>
          <cell r="S4435">
            <v>0</v>
          </cell>
          <cell r="T4435">
            <v>0</v>
          </cell>
          <cell r="U4435">
            <v>0</v>
          </cell>
          <cell r="V4435">
            <v>0</v>
          </cell>
          <cell r="W4435">
            <v>109</v>
          </cell>
        </row>
        <row r="4436">
          <cell r="A4436" t="str">
            <v>450340</v>
          </cell>
          <cell r="B4436" t="str">
            <v>1254</v>
          </cell>
          <cell r="C4436" t="str">
            <v>12</v>
          </cell>
          <cell r="D4436" t="str">
            <v>21</v>
          </cell>
          <cell r="E4436">
            <v>65</v>
          </cell>
          <cell r="G4436">
            <v>751669</v>
          </cell>
          <cell r="H4436">
            <v>0</v>
          </cell>
          <cell r="I4436">
            <v>22</v>
          </cell>
          <cell r="J4436">
            <v>0</v>
          </cell>
          <cell r="K4436">
            <v>0</v>
          </cell>
          <cell r="L4436">
            <v>267659</v>
          </cell>
          <cell r="M4436">
            <v>0</v>
          </cell>
          <cell r="N4436">
            <v>267659</v>
          </cell>
          <cell r="O4436">
            <v>0</v>
          </cell>
          <cell r="P4436">
            <v>267659</v>
          </cell>
          <cell r="Q4436">
            <v>2</v>
          </cell>
          <cell r="R4436">
            <v>2</v>
          </cell>
          <cell r="S4436">
            <v>58</v>
          </cell>
          <cell r="T4436">
            <v>58</v>
          </cell>
          <cell r="U4436">
            <v>0</v>
          </cell>
          <cell r="V4436">
            <v>0</v>
          </cell>
          <cell r="W4436">
            <v>0</v>
          </cell>
        </row>
        <row r="4437">
          <cell r="A4437" t="str">
            <v>450340</v>
          </cell>
          <cell r="B4437" t="str">
            <v>1254</v>
          </cell>
          <cell r="C4437" t="str">
            <v>12</v>
          </cell>
          <cell r="D4437" t="str">
            <v>21</v>
          </cell>
          <cell r="E4437">
            <v>1</v>
          </cell>
          <cell r="G4437">
            <v>751670</v>
          </cell>
          <cell r="H4437">
            <v>0</v>
          </cell>
          <cell r="I4437">
            <v>0</v>
          </cell>
          <cell r="J4437">
            <v>0</v>
          </cell>
          <cell r="K4437">
            <v>0</v>
          </cell>
          <cell r="L4437">
            <v>0</v>
          </cell>
          <cell r="M4437">
            <v>286</v>
          </cell>
          <cell r="N4437">
            <v>0</v>
          </cell>
          <cell r="O4437">
            <v>0</v>
          </cell>
          <cell r="P4437">
            <v>0</v>
          </cell>
          <cell r="Q4437">
            <v>0</v>
          </cell>
          <cell r="R4437">
            <v>0</v>
          </cell>
          <cell r="S4437">
            <v>0</v>
          </cell>
          <cell r="T4437">
            <v>0</v>
          </cell>
          <cell r="U4437">
            <v>0</v>
          </cell>
          <cell r="V4437">
            <v>0</v>
          </cell>
          <cell r="W4437">
            <v>0</v>
          </cell>
        </row>
        <row r="4438">
          <cell r="A4438" t="str">
            <v>450340</v>
          </cell>
          <cell r="B4438" t="str">
            <v>1254</v>
          </cell>
          <cell r="C4438" t="str">
            <v>12</v>
          </cell>
          <cell r="D4438" t="str">
            <v>21</v>
          </cell>
          <cell r="E4438">
            <v>17</v>
          </cell>
          <cell r="G4438">
            <v>751670</v>
          </cell>
          <cell r="H4438">
            <v>0</v>
          </cell>
          <cell r="I4438">
            <v>0</v>
          </cell>
          <cell r="J4438">
            <v>0</v>
          </cell>
          <cell r="K4438">
            <v>0</v>
          </cell>
          <cell r="L4438">
            <v>0</v>
          </cell>
          <cell r="M4438">
            <v>0</v>
          </cell>
          <cell r="N4438">
            <v>0</v>
          </cell>
          <cell r="O4438">
            <v>0</v>
          </cell>
          <cell r="P4438">
            <v>0</v>
          </cell>
          <cell r="Q4438">
            <v>0</v>
          </cell>
          <cell r="R4438">
            <v>0</v>
          </cell>
          <cell r="S4438">
            <v>0</v>
          </cell>
          <cell r="T4438">
            <v>0</v>
          </cell>
          <cell r="U4438">
            <v>0</v>
          </cell>
          <cell r="V4438">
            <v>0</v>
          </cell>
          <cell r="W4438">
            <v>0</v>
          </cell>
        </row>
        <row r="4439">
          <cell r="A4439" t="str">
            <v>450340</v>
          </cell>
          <cell r="B4439" t="str">
            <v>1254</v>
          </cell>
          <cell r="C4439" t="str">
            <v>12</v>
          </cell>
          <cell r="D4439" t="str">
            <v>21</v>
          </cell>
          <cell r="E4439">
            <v>33</v>
          </cell>
          <cell r="G4439">
            <v>751670</v>
          </cell>
          <cell r="H4439">
            <v>0</v>
          </cell>
          <cell r="I4439">
            <v>0</v>
          </cell>
          <cell r="J4439">
            <v>0</v>
          </cell>
          <cell r="K4439">
            <v>0</v>
          </cell>
          <cell r="L4439">
            <v>0</v>
          </cell>
          <cell r="M4439">
            <v>0</v>
          </cell>
          <cell r="N4439">
            <v>0</v>
          </cell>
          <cell r="O4439">
            <v>0</v>
          </cell>
          <cell r="P4439">
            <v>0</v>
          </cell>
          <cell r="Q4439">
            <v>0</v>
          </cell>
          <cell r="R4439">
            <v>0</v>
          </cell>
          <cell r="S4439">
            <v>0</v>
          </cell>
          <cell r="T4439">
            <v>0</v>
          </cell>
          <cell r="U4439">
            <v>0</v>
          </cell>
          <cell r="V4439">
            <v>0</v>
          </cell>
          <cell r="W4439">
            <v>0</v>
          </cell>
        </row>
        <row r="4440">
          <cell r="A4440" t="str">
            <v>450340</v>
          </cell>
          <cell r="B4440" t="str">
            <v>1254</v>
          </cell>
          <cell r="C4440" t="str">
            <v>12</v>
          </cell>
          <cell r="D4440" t="str">
            <v>21</v>
          </cell>
          <cell r="E4440">
            <v>49</v>
          </cell>
          <cell r="G4440">
            <v>751670</v>
          </cell>
          <cell r="H4440">
            <v>0</v>
          </cell>
          <cell r="I4440">
            <v>0</v>
          </cell>
          <cell r="J4440">
            <v>0</v>
          </cell>
          <cell r="K4440">
            <v>0</v>
          </cell>
          <cell r="L4440">
            <v>0</v>
          </cell>
          <cell r="M4440">
            <v>0</v>
          </cell>
          <cell r="N4440">
            <v>0</v>
          </cell>
          <cell r="O4440">
            <v>0</v>
          </cell>
          <cell r="P4440">
            <v>0</v>
          </cell>
          <cell r="Q4440">
            <v>0</v>
          </cell>
          <cell r="R4440">
            <v>0</v>
          </cell>
          <cell r="S4440">
            <v>0</v>
          </cell>
          <cell r="T4440">
            <v>0</v>
          </cell>
          <cell r="U4440">
            <v>0</v>
          </cell>
          <cell r="V4440">
            <v>0</v>
          </cell>
          <cell r="W4440">
            <v>0</v>
          </cell>
        </row>
        <row r="4441">
          <cell r="A4441" t="str">
            <v>450340</v>
          </cell>
          <cell r="B4441" t="str">
            <v>1254</v>
          </cell>
          <cell r="C4441" t="str">
            <v>12</v>
          </cell>
          <cell r="D4441" t="str">
            <v>21</v>
          </cell>
          <cell r="E4441">
            <v>65</v>
          </cell>
          <cell r="G4441">
            <v>751670</v>
          </cell>
          <cell r="H4441">
            <v>0</v>
          </cell>
          <cell r="I4441">
            <v>0</v>
          </cell>
          <cell r="J4441">
            <v>0</v>
          </cell>
          <cell r="K4441">
            <v>0</v>
          </cell>
          <cell r="L4441">
            <v>286</v>
          </cell>
          <cell r="M4441">
            <v>0</v>
          </cell>
          <cell r="N4441">
            <v>286</v>
          </cell>
          <cell r="O4441">
            <v>0</v>
          </cell>
          <cell r="P4441">
            <v>286</v>
          </cell>
          <cell r="Q4441">
            <v>0</v>
          </cell>
          <cell r="R4441">
            <v>0</v>
          </cell>
          <cell r="S4441">
            <v>0</v>
          </cell>
          <cell r="T4441">
            <v>0</v>
          </cell>
          <cell r="U4441">
            <v>0</v>
          </cell>
          <cell r="V4441">
            <v>0</v>
          </cell>
          <cell r="W4441">
            <v>0</v>
          </cell>
        </row>
        <row r="4442">
          <cell r="A4442" t="str">
            <v>450340</v>
          </cell>
          <cell r="B4442" t="str">
            <v>1254</v>
          </cell>
          <cell r="C4442" t="str">
            <v>12</v>
          </cell>
          <cell r="D4442" t="str">
            <v>21</v>
          </cell>
          <cell r="E4442">
            <v>1</v>
          </cell>
          <cell r="G4442">
            <v>751845</v>
          </cell>
          <cell r="H4442">
            <v>55936</v>
          </cell>
          <cell r="I4442">
            <v>2278</v>
          </cell>
          <cell r="J4442">
            <v>30055</v>
          </cell>
          <cell r="K4442">
            <v>88269</v>
          </cell>
          <cell r="L4442">
            <v>28701</v>
          </cell>
          <cell r="M4442">
            <v>135895</v>
          </cell>
          <cell r="N4442">
            <v>74417</v>
          </cell>
          <cell r="O4442">
            <v>0</v>
          </cell>
          <cell r="P4442">
            <v>0</v>
          </cell>
          <cell r="Q4442">
            <v>0</v>
          </cell>
          <cell r="R4442">
            <v>0</v>
          </cell>
          <cell r="S4442">
            <v>6530</v>
          </cell>
          <cell r="T4442">
            <v>0</v>
          </cell>
          <cell r="U4442">
            <v>6530</v>
          </cell>
          <cell r="V4442">
            <v>0</v>
          </cell>
          <cell r="W4442">
            <v>0</v>
          </cell>
        </row>
        <row r="4443">
          <cell r="A4443" t="str">
            <v>450340</v>
          </cell>
          <cell r="B4443" t="str">
            <v>1254</v>
          </cell>
          <cell r="C4443" t="str">
            <v>12</v>
          </cell>
          <cell r="D4443" t="str">
            <v>21</v>
          </cell>
          <cell r="E4443">
            <v>17</v>
          </cell>
          <cell r="G4443">
            <v>751845</v>
          </cell>
          <cell r="H4443">
            <v>0</v>
          </cell>
          <cell r="I4443">
            <v>0</v>
          </cell>
          <cell r="J4443">
            <v>0</v>
          </cell>
          <cell r="K4443">
            <v>0</v>
          </cell>
          <cell r="L4443">
            <v>0</v>
          </cell>
          <cell r="M4443">
            <v>0</v>
          </cell>
          <cell r="N4443">
            <v>6530</v>
          </cell>
          <cell r="O4443">
            <v>0</v>
          </cell>
          <cell r="P4443">
            <v>34610</v>
          </cell>
          <cell r="Q4443">
            <v>0</v>
          </cell>
          <cell r="R4443">
            <v>0</v>
          </cell>
          <cell r="S4443">
            <v>0</v>
          </cell>
          <cell r="T4443">
            <v>0</v>
          </cell>
          <cell r="U4443">
            <v>0</v>
          </cell>
          <cell r="V4443">
            <v>0</v>
          </cell>
          <cell r="W4443">
            <v>10000</v>
          </cell>
        </row>
        <row r="4444">
          <cell r="A4444" t="str">
            <v>450340</v>
          </cell>
          <cell r="B4444" t="str">
            <v>1254</v>
          </cell>
          <cell r="C4444" t="str">
            <v>12</v>
          </cell>
          <cell r="D4444" t="str">
            <v>21</v>
          </cell>
          <cell r="E4444">
            <v>33</v>
          </cell>
          <cell r="G4444">
            <v>751845</v>
          </cell>
          <cell r="H4444">
            <v>10736</v>
          </cell>
          <cell r="I4444">
            <v>20736</v>
          </cell>
          <cell r="J4444">
            <v>0</v>
          </cell>
          <cell r="K4444">
            <v>0</v>
          </cell>
          <cell r="L4444">
            <v>0</v>
          </cell>
          <cell r="M4444">
            <v>0</v>
          </cell>
          <cell r="N4444">
            <v>55346</v>
          </cell>
          <cell r="O4444">
            <v>0</v>
          </cell>
          <cell r="P4444">
            <v>0</v>
          </cell>
          <cell r="Q4444">
            <v>0</v>
          </cell>
          <cell r="R4444">
            <v>0</v>
          </cell>
          <cell r="S4444">
            <v>36593</v>
          </cell>
          <cell r="T4444">
            <v>36593</v>
          </cell>
          <cell r="U4444">
            <v>0</v>
          </cell>
          <cell r="V4444">
            <v>0</v>
          </cell>
          <cell r="W4444">
            <v>0</v>
          </cell>
        </row>
        <row r="4445">
          <cell r="A4445" t="str">
            <v>450340</v>
          </cell>
          <cell r="B4445" t="str">
            <v>1254</v>
          </cell>
          <cell r="C4445" t="str">
            <v>12</v>
          </cell>
          <cell r="D4445" t="str">
            <v>21</v>
          </cell>
          <cell r="E4445">
            <v>49</v>
          </cell>
          <cell r="G4445">
            <v>751845</v>
          </cell>
          <cell r="H4445">
            <v>0</v>
          </cell>
          <cell r="I4445">
            <v>0</v>
          </cell>
          <cell r="J4445">
            <v>0</v>
          </cell>
          <cell r="K4445">
            <v>0</v>
          </cell>
          <cell r="L4445">
            <v>0</v>
          </cell>
          <cell r="M4445">
            <v>0</v>
          </cell>
          <cell r="N4445">
            <v>0</v>
          </cell>
          <cell r="O4445">
            <v>0</v>
          </cell>
          <cell r="P4445">
            <v>0</v>
          </cell>
          <cell r="Q4445">
            <v>36593</v>
          </cell>
          <cell r="R4445">
            <v>91939</v>
          </cell>
          <cell r="S4445">
            <v>0</v>
          </cell>
          <cell r="T4445">
            <v>5723</v>
          </cell>
          <cell r="U4445">
            <v>255</v>
          </cell>
          <cell r="V4445">
            <v>10619</v>
          </cell>
          <cell r="W4445">
            <v>274655</v>
          </cell>
        </row>
        <row r="4446">
          <cell r="A4446" t="str">
            <v>450340</v>
          </cell>
          <cell r="B4446" t="str">
            <v>1254</v>
          </cell>
          <cell r="C4446" t="str">
            <v>12</v>
          </cell>
          <cell r="D4446" t="str">
            <v>21</v>
          </cell>
          <cell r="E4446">
            <v>65</v>
          </cell>
          <cell r="G4446">
            <v>751845</v>
          </cell>
          <cell r="H4446">
            <v>0</v>
          </cell>
          <cell r="I4446">
            <v>52879</v>
          </cell>
          <cell r="J4446">
            <v>0</v>
          </cell>
          <cell r="K4446">
            <v>7500</v>
          </cell>
          <cell r="L4446">
            <v>777382</v>
          </cell>
          <cell r="M4446">
            <v>0</v>
          </cell>
          <cell r="N4446">
            <v>777382</v>
          </cell>
          <cell r="O4446">
            <v>85700</v>
          </cell>
          <cell r="P4446">
            <v>863082</v>
          </cell>
          <cell r="Q4446">
            <v>130</v>
          </cell>
          <cell r="R4446">
            <v>131</v>
          </cell>
          <cell r="S4446">
            <v>0</v>
          </cell>
          <cell r="T4446">
            <v>0</v>
          </cell>
          <cell r="U4446">
            <v>0</v>
          </cell>
          <cell r="V4446">
            <v>0</v>
          </cell>
          <cell r="W4446">
            <v>0</v>
          </cell>
        </row>
        <row r="4447">
          <cell r="A4447" t="str">
            <v>450340</v>
          </cell>
          <cell r="B4447" t="str">
            <v>1254</v>
          </cell>
          <cell r="C4447" t="str">
            <v>12</v>
          </cell>
          <cell r="D4447" t="str">
            <v>21</v>
          </cell>
          <cell r="E4447">
            <v>1</v>
          </cell>
          <cell r="G4447">
            <v>751856</v>
          </cell>
          <cell r="H4447">
            <v>0</v>
          </cell>
          <cell r="I4447">
            <v>0</v>
          </cell>
          <cell r="J4447">
            <v>0</v>
          </cell>
          <cell r="K4447">
            <v>0</v>
          </cell>
          <cell r="L4447">
            <v>0</v>
          </cell>
          <cell r="M4447">
            <v>942</v>
          </cell>
          <cell r="N4447">
            <v>1</v>
          </cell>
          <cell r="O4447">
            <v>0</v>
          </cell>
          <cell r="P4447">
            <v>0</v>
          </cell>
          <cell r="Q4447">
            <v>0</v>
          </cell>
          <cell r="R4447">
            <v>0</v>
          </cell>
          <cell r="S4447">
            <v>0</v>
          </cell>
          <cell r="T4447">
            <v>0</v>
          </cell>
          <cell r="U4447">
            <v>0</v>
          </cell>
          <cell r="V4447">
            <v>0</v>
          </cell>
          <cell r="W4447">
            <v>0</v>
          </cell>
        </row>
        <row r="4448">
          <cell r="A4448" t="str">
            <v>450340</v>
          </cell>
          <cell r="B4448" t="str">
            <v>1254</v>
          </cell>
          <cell r="C4448" t="str">
            <v>12</v>
          </cell>
          <cell r="D4448" t="str">
            <v>21</v>
          </cell>
          <cell r="E4448">
            <v>17</v>
          </cell>
          <cell r="G4448">
            <v>751856</v>
          </cell>
          <cell r="H4448">
            <v>0</v>
          </cell>
          <cell r="I4448">
            <v>0</v>
          </cell>
          <cell r="J4448">
            <v>0</v>
          </cell>
          <cell r="K4448">
            <v>0</v>
          </cell>
          <cell r="L4448">
            <v>0</v>
          </cell>
          <cell r="M4448">
            <v>0</v>
          </cell>
          <cell r="N4448">
            <v>0</v>
          </cell>
          <cell r="O4448">
            <v>0</v>
          </cell>
          <cell r="P4448">
            <v>0</v>
          </cell>
          <cell r="Q4448">
            <v>0</v>
          </cell>
          <cell r="R4448">
            <v>0</v>
          </cell>
          <cell r="S4448">
            <v>0</v>
          </cell>
          <cell r="T4448">
            <v>0</v>
          </cell>
          <cell r="U4448">
            <v>0</v>
          </cell>
          <cell r="V4448">
            <v>0</v>
          </cell>
          <cell r="W4448">
            <v>0</v>
          </cell>
        </row>
        <row r="4449">
          <cell r="A4449" t="str">
            <v>450340</v>
          </cell>
          <cell r="B4449" t="str">
            <v>1254</v>
          </cell>
          <cell r="C4449" t="str">
            <v>12</v>
          </cell>
          <cell r="D4449" t="str">
            <v>21</v>
          </cell>
          <cell r="E4449">
            <v>33</v>
          </cell>
          <cell r="G4449">
            <v>751856</v>
          </cell>
          <cell r="H4449">
            <v>0</v>
          </cell>
          <cell r="I4449">
            <v>0</v>
          </cell>
          <cell r="J4449">
            <v>0</v>
          </cell>
          <cell r="K4449">
            <v>0</v>
          </cell>
          <cell r="L4449">
            <v>0</v>
          </cell>
          <cell r="M4449">
            <v>0</v>
          </cell>
          <cell r="N4449">
            <v>0</v>
          </cell>
          <cell r="O4449">
            <v>0</v>
          </cell>
          <cell r="P4449">
            <v>0</v>
          </cell>
          <cell r="Q4449">
            <v>0</v>
          </cell>
          <cell r="R4449">
            <v>0</v>
          </cell>
          <cell r="S4449">
            <v>0</v>
          </cell>
          <cell r="T4449">
            <v>0</v>
          </cell>
          <cell r="U4449">
            <v>0</v>
          </cell>
          <cell r="V4449">
            <v>0</v>
          </cell>
          <cell r="W4449">
            <v>0</v>
          </cell>
        </row>
        <row r="4450">
          <cell r="A4450" t="str">
            <v>450340</v>
          </cell>
          <cell r="B4450" t="str">
            <v>1254</v>
          </cell>
          <cell r="C4450" t="str">
            <v>12</v>
          </cell>
          <cell r="D4450" t="str">
            <v>21</v>
          </cell>
          <cell r="E4450">
            <v>49</v>
          </cell>
          <cell r="G4450">
            <v>751856</v>
          </cell>
          <cell r="H4450">
            <v>0</v>
          </cell>
          <cell r="I4450">
            <v>0</v>
          </cell>
          <cell r="J4450">
            <v>0</v>
          </cell>
          <cell r="K4450">
            <v>0</v>
          </cell>
          <cell r="L4450">
            <v>0</v>
          </cell>
          <cell r="M4450">
            <v>0</v>
          </cell>
          <cell r="N4450">
            <v>0</v>
          </cell>
          <cell r="O4450">
            <v>0</v>
          </cell>
          <cell r="P4450">
            <v>0</v>
          </cell>
          <cell r="Q4450">
            <v>0</v>
          </cell>
          <cell r="R4450">
            <v>0</v>
          </cell>
          <cell r="S4450">
            <v>0</v>
          </cell>
          <cell r="T4450">
            <v>0</v>
          </cell>
          <cell r="U4450">
            <v>0</v>
          </cell>
          <cell r="V4450">
            <v>0</v>
          </cell>
          <cell r="W4450">
            <v>0</v>
          </cell>
        </row>
        <row r="4451">
          <cell r="A4451" t="str">
            <v>450340</v>
          </cell>
          <cell r="B4451" t="str">
            <v>1254</v>
          </cell>
          <cell r="C4451" t="str">
            <v>12</v>
          </cell>
          <cell r="D4451" t="str">
            <v>21</v>
          </cell>
          <cell r="E4451">
            <v>65</v>
          </cell>
          <cell r="G4451">
            <v>751856</v>
          </cell>
          <cell r="H4451">
            <v>0</v>
          </cell>
          <cell r="I4451">
            <v>0</v>
          </cell>
          <cell r="J4451">
            <v>0</v>
          </cell>
          <cell r="K4451">
            <v>0</v>
          </cell>
          <cell r="L4451">
            <v>943</v>
          </cell>
          <cell r="M4451">
            <v>0</v>
          </cell>
          <cell r="N4451">
            <v>943</v>
          </cell>
          <cell r="O4451">
            <v>0</v>
          </cell>
          <cell r="P4451">
            <v>943</v>
          </cell>
          <cell r="Q4451">
            <v>0</v>
          </cell>
          <cell r="R4451">
            <v>0</v>
          </cell>
          <cell r="S4451">
            <v>0</v>
          </cell>
          <cell r="T4451">
            <v>0</v>
          </cell>
          <cell r="U4451">
            <v>0</v>
          </cell>
          <cell r="V4451">
            <v>0</v>
          </cell>
          <cell r="W4451">
            <v>0</v>
          </cell>
        </row>
        <row r="4452">
          <cell r="A4452" t="str">
            <v>450340</v>
          </cell>
          <cell r="B4452" t="str">
            <v>1254</v>
          </cell>
          <cell r="C4452" t="str">
            <v>12</v>
          </cell>
          <cell r="D4452" t="str">
            <v>21</v>
          </cell>
          <cell r="E4452">
            <v>1</v>
          </cell>
          <cell r="G4452">
            <v>751878</v>
          </cell>
          <cell r="H4452">
            <v>0</v>
          </cell>
          <cell r="I4452">
            <v>0</v>
          </cell>
          <cell r="J4452">
            <v>0</v>
          </cell>
          <cell r="K4452">
            <v>0</v>
          </cell>
          <cell r="L4452">
            <v>0</v>
          </cell>
          <cell r="M4452">
            <v>24725</v>
          </cell>
          <cell r="N4452">
            <v>0</v>
          </cell>
          <cell r="O4452">
            <v>0</v>
          </cell>
          <cell r="P4452">
            <v>0</v>
          </cell>
          <cell r="Q4452">
            <v>0</v>
          </cell>
          <cell r="R4452">
            <v>0</v>
          </cell>
          <cell r="S4452">
            <v>0</v>
          </cell>
          <cell r="T4452">
            <v>0</v>
          </cell>
          <cell r="U4452">
            <v>0</v>
          </cell>
          <cell r="V4452">
            <v>0</v>
          </cell>
          <cell r="W4452">
            <v>0</v>
          </cell>
        </row>
        <row r="4453">
          <cell r="A4453" t="str">
            <v>450340</v>
          </cell>
          <cell r="B4453" t="str">
            <v>1254</v>
          </cell>
          <cell r="C4453" t="str">
            <v>12</v>
          </cell>
          <cell r="D4453" t="str">
            <v>21</v>
          </cell>
          <cell r="E4453">
            <v>17</v>
          </cell>
          <cell r="G4453">
            <v>751878</v>
          </cell>
          <cell r="H4453">
            <v>0</v>
          </cell>
          <cell r="I4453">
            <v>0</v>
          </cell>
          <cell r="J4453">
            <v>0</v>
          </cell>
          <cell r="K4453">
            <v>0</v>
          </cell>
          <cell r="L4453">
            <v>0</v>
          </cell>
          <cell r="M4453">
            <v>0</v>
          </cell>
          <cell r="N4453">
            <v>0</v>
          </cell>
          <cell r="O4453">
            <v>0</v>
          </cell>
          <cell r="P4453">
            <v>0</v>
          </cell>
          <cell r="Q4453">
            <v>0</v>
          </cell>
          <cell r="R4453">
            <v>0</v>
          </cell>
          <cell r="S4453">
            <v>0</v>
          </cell>
          <cell r="T4453">
            <v>0</v>
          </cell>
          <cell r="U4453">
            <v>0</v>
          </cell>
          <cell r="V4453">
            <v>0</v>
          </cell>
          <cell r="W4453">
            <v>0</v>
          </cell>
        </row>
        <row r="4454">
          <cell r="A4454" t="str">
            <v>450340</v>
          </cell>
          <cell r="B4454" t="str">
            <v>1254</v>
          </cell>
          <cell r="C4454" t="str">
            <v>12</v>
          </cell>
          <cell r="D4454" t="str">
            <v>21</v>
          </cell>
          <cell r="E4454">
            <v>33</v>
          </cell>
          <cell r="G4454">
            <v>751878</v>
          </cell>
          <cell r="H4454">
            <v>0</v>
          </cell>
          <cell r="I4454">
            <v>0</v>
          </cell>
          <cell r="J4454">
            <v>0</v>
          </cell>
          <cell r="K4454">
            <v>0</v>
          </cell>
          <cell r="L4454">
            <v>0</v>
          </cell>
          <cell r="M4454">
            <v>0</v>
          </cell>
          <cell r="N4454">
            <v>0</v>
          </cell>
          <cell r="O4454">
            <v>0</v>
          </cell>
          <cell r="P4454">
            <v>0</v>
          </cell>
          <cell r="Q4454">
            <v>0</v>
          </cell>
          <cell r="R4454">
            <v>0</v>
          </cell>
          <cell r="S4454">
            <v>0</v>
          </cell>
          <cell r="T4454">
            <v>0</v>
          </cell>
          <cell r="U4454">
            <v>0</v>
          </cell>
          <cell r="V4454">
            <v>0</v>
          </cell>
          <cell r="W4454">
            <v>0</v>
          </cell>
        </row>
        <row r="4455">
          <cell r="A4455" t="str">
            <v>450340</v>
          </cell>
          <cell r="B4455" t="str">
            <v>1254</v>
          </cell>
          <cell r="C4455" t="str">
            <v>12</v>
          </cell>
          <cell r="D4455" t="str">
            <v>21</v>
          </cell>
          <cell r="E4455">
            <v>49</v>
          </cell>
          <cell r="G4455">
            <v>751878</v>
          </cell>
          <cell r="H4455">
            <v>0</v>
          </cell>
          <cell r="I4455">
            <v>0</v>
          </cell>
          <cell r="J4455">
            <v>0</v>
          </cell>
          <cell r="K4455">
            <v>3440</v>
          </cell>
          <cell r="L4455">
            <v>3440</v>
          </cell>
          <cell r="M4455">
            <v>0</v>
          </cell>
          <cell r="N4455">
            <v>0</v>
          </cell>
          <cell r="O4455">
            <v>0</v>
          </cell>
          <cell r="P4455">
            <v>0</v>
          </cell>
          <cell r="Q4455">
            <v>3440</v>
          </cell>
          <cell r="R4455">
            <v>3440</v>
          </cell>
          <cell r="S4455">
            <v>0</v>
          </cell>
          <cell r="T4455">
            <v>0</v>
          </cell>
          <cell r="U4455">
            <v>0</v>
          </cell>
          <cell r="V4455">
            <v>0</v>
          </cell>
          <cell r="W4455">
            <v>0</v>
          </cell>
        </row>
        <row r="4456">
          <cell r="A4456" t="str">
            <v>450340</v>
          </cell>
          <cell r="B4456" t="str">
            <v>1254</v>
          </cell>
          <cell r="C4456" t="str">
            <v>12</v>
          </cell>
          <cell r="D4456" t="str">
            <v>21</v>
          </cell>
          <cell r="E4456">
            <v>65</v>
          </cell>
          <cell r="G4456">
            <v>751878</v>
          </cell>
          <cell r="H4456">
            <v>0</v>
          </cell>
          <cell r="I4456">
            <v>0</v>
          </cell>
          <cell r="J4456">
            <v>0</v>
          </cell>
          <cell r="K4456">
            <v>0</v>
          </cell>
          <cell r="L4456">
            <v>28165</v>
          </cell>
          <cell r="M4456">
            <v>0</v>
          </cell>
          <cell r="N4456">
            <v>28165</v>
          </cell>
          <cell r="O4456">
            <v>0</v>
          </cell>
          <cell r="P4456">
            <v>28165</v>
          </cell>
          <cell r="Q4456">
            <v>0</v>
          </cell>
          <cell r="R4456">
            <v>0</v>
          </cell>
          <cell r="S4456">
            <v>0</v>
          </cell>
          <cell r="T4456">
            <v>0</v>
          </cell>
          <cell r="U4456">
            <v>0</v>
          </cell>
          <cell r="V4456">
            <v>0</v>
          </cell>
          <cell r="W4456">
            <v>0</v>
          </cell>
        </row>
        <row r="4457">
          <cell r="A4457" t="str">
            <v>450340</v>
          </cell>
          <cell r="B4457" t="str">
            <v>1254</v>
          </cell>
          <cell r="C4457" t="str">
            <v>12</v>
          </cell>
          <cell r="D4457" t="str">
            <v>21</v>
          </cell>
          <cell r="E4457">
            <v>1</v>
          </cell>
          <cell r="G4457">
            <v>751922</v>
          </cell>
          <cell r="H4457">
            <v>0</v>
          </cell>
          <cell r="I4457">
            <v>0</v>
          </cell>
          <cell r="J4457">
            <v>0</v>
          </cell>
          <cell r="K4457">
            <v>0</v>
          </cell>
          <cell r="L4457">
            <v>0</v>
          </cell>
          <cell r="M4457">
            <v>0</v>
          </cell>
          <cell r="N4457">
            <v>0</v>
          </cell>
          <cell r="O4457">
            <v>0</v>
          </cell>
          <cell r="P4457">
            <v>0</v>
          </cell>
          <cell r="Q4457">
            <v>0</v>
          </cell>
          <cell r="R4457">
            <v>0</v>
          </cell>
          <cell r="S4457">
            <v>6267</v>
          </cell>
          <cell r="T4457">
            <v>0</v>
          </cell>
          <cell r="U4457">
            <v>6267</v>
          </cell>
          <cell r="V4457">
            <v>0</v>
          </cell>
          <cell r="W4457">
            <v>0</v>
          </cell>
        </row>
        <row r="4458">
          <cell r="A4458" t="str">
            <v>450340</v>
          </cell>
          <cell r="B4458" t="str">
            <v>1254</v>
          </cell>
          <cell r="C4458" t="str">
            <v>12</v>
          </cell>
          <cell r="D4458" t="str">
            <v>21</v>
          </cell>
          <cell r="E4458">
            <v>17</v>
          </cell>
          <cell r="G4458">
            <v>751922</v>
          </cell>
          <cell r="H4458">
            <v>0</v>
          </cell>
          <cell r="I4458">
            <v>0</v>
          </cell>
          <cell r="J4458">
            <v>0</v>
          </cell>
          <cell r="K4458">
            <v>0</v>
          </cell>
          <cell r="L4458">
            <v>0</v>
          </cell>
          <cell r="M4458">
            <v>0</v>
          </cell>
          <cell r="N4458">
            <v>6267</v>
          </cell>
          <cell r="O4458">
            <v>0</v>
          </cell>
          <cell r="P4458">
            <v>0</v>
          </cell>
          <cell r="Q4458">
            <v>0</v>
          </cell>
          <cell r="R4458">
            <v>0</v>
          </cell>
          <cell r="S4458">
            <v>0</v>
          </cell>
          <cell r="T4458">
            <v>0</v>
          </cell>
          <cell r="U4458">
            <v>0</v>
          </cell>
          <cell r="V4458">
            <v>0</v>
          </cell>
          <cell r="W4458">
            <v>0</v>
          </cell>
        </row>
        <row r="4459">
          <cell r="A4459" t="str">
            <v>450340</v>
          </cell>
          <cell r="B4459" t="str">
            <v>1254</v>
          </cell>
          <cell r="C4459" t="str">
            <v>12</v>
          </cell>
          <cell r="D4459" t="str">
            <v>21</v>
          </cell>
          <cell r="E4459">
            <v>33</v>
          </cell>
          <cell r="G4459">
            <v>751922</v>
          </cell>
          <cell r="H4459">
            <v>0</v>
          </cell>
          <cell r="I4459">
            <v>0</v>
          </cell>
          <cell r="J4459">
            <v>0</v>
          </cell>
          <cell r="K4459">
            <v>0</v>
          </cell>
          <cell r="L4459">
            <v>0</v>
          </cell>
          <cell r="M4459">
            <v>0</v>
          </cell>
          <cell r="N4459">
            <v>0</v>
          </cell>
          <cell r="O4459">
            <v>0</v>
          </cell>
          <cell r="P4459">
            <v>0</v>
          </cell>
          <cell r="Q4459">
            <v>0</v>
          </cell>
          <cell r="R4459">
            <v>0</v>
          </cell>
          <cell r="S4459">
            <v>0</v>
          </cell>
          <cell r="T4459">
            <v>0</v>
          </cell>
          <cell r="U4459">
            <v>0</v>
          </cell>
          <cell r="V4459">
            <v>0</v>
          </cell>
          <cell r="W4459">
            <v>0</v>
          </cell>
        </row>
        <row r="4460">
          <cell r="A4460" t="str">
            <v>450340</v>
          </cell>
          <cell r="B4460" t="str">
            <v>1254</v>
          </cell>
          <cell r="C4460" t="str">
            <v>12</v>
          </cell>
          <cell r="D4460" t="str">
            <v>21</v>
          </cell>
          <cell r="E4460">
            <v>49</v>
          </cell>
          <cell r="G4460">
            <v>751922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2903091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</row>
        <row r="4461">
          <cell r="A4461" t="str">
            <v>450340</v>
          </cell>
          <cell r="B4461" t="str">
            <v>1254</v>
          </cell>
          <cell r="C4461" t="str">
            <v>12</v>
          </cell>
          <cell r="D4461" t="str">
            <v>21</v>
          </cell>
          <cell r="E4461">
            <v>65</v>
          </cell>
          <cell r="G4461">
            <v>751922</v>
          </cell>
          <cell r="H4461">
            <v>0</v>
          </cell>
          <cell r="I4461">
            <v>0</v>
          </cell>
          <cell r="J4461">
            <v>0</v>
          </cell>
          <cell r="K4461">
            <v>0</v>
          </cell>
          <cell r="L4461">
            <v>2909358</v>
          </cell>
          <cell r="M4461">
            <v>0</v>
          </cell>
          <cell r="N4461">
            <v>2909358</v>
          </cell>
          <cell r="O4461">
            <v>0</v>
          </cell>
          <cell r="P4461">
            <v>2909358</v>
          </cell>
          <cell r="Q4461">
            <v>0</v>
          </cell>
          <cell r="R4461">
            <v>0</v>
          </cell>
          <cell r="S4461">
            <v>0</v>
          </cell>
          <cell r="T4461">
            <v>0</v>
          </cell>
          <cell r="U4461">
            <v>0</v>
          </cell>
          <cell r="V4461">
            <v>0</v>
          </cell>
          <cell r="W4461">
            <v>0</v>
          </cell>
        </row>
        <row r="4462">
          <cell r="A4462" t="str">
            <v>450340</v>
          </cell>
          <cell r="B4462" t="str">
            <v>1254</v>
          </cell>
          <cell r="C4462" t="str">
            <v>12</v>
          </cell>
          <cell r="D4462" t="str">
            <v>21</v>
          </cell>
          <cell r="E4462">
            <v>1</v>
          </cell>
          <cell r="G4462">
            <v>751999</v>
          </cell>
          <cell r="H4462">
            <v>0</v>
          </cell>
          <cell r="I4462">
            <v>0</v>
          </cell>
          <cell r="J4462">
            <v>0</v>
          </cell>
          <cell r="K4462">
            <v>0</v>
          </cell>
          <cell r="L4462">
            <v>0</v>
          </cell>
          <cell r="M4462">
            <v>0</v>
          </cell>
          <cell r="N4462">
            <v>0</v>
          </cell>
          <cell r="O4462">
            <v>0</v>
          </cell>
          <cell r="P4462">
            <v>0</v>
          </cell>
          <cell r="Q4462">
            <v>0</v>
          </cell>
          <cell r="R4462">
            <v>0</v>
          </cell>
          <cell r="S4462">
            <v>0</v>
          </cell>
          <cell r="T4462">
            <v>0</v>
          </cell>
          <cell r="U4462">
            <v>0</v>
          </cell>
          <cell r="V4462">
            <v>0</v>
          </cell>
          <cell r="W4462">
            <v>0</v>
          </cell>
        </row>
        <row r="4463">
          <cell r="A4463" t="str">
            <v>450340</v>
          </cell>
          <cell r="B4463" t="str">
            <v>1254</v>
          </cell>
          <cell r="C4463" t="str">
            <v>12</v>
          </cell>
          <cell r="D4463" t="str">
            <v>21</v>
          </cell>
          <cell r="E4463">
            <v>17</v>
          </cell>
          <cell r="G4463">
            <v>751999</v>
          </cell>
          <cell r="H4463">
            <v>0</v>
          </cell>
          <cell r="I4463">
            <v>0</v>
          </cell>
          <cell r="J4463">
            <v>0</v>
          </cell>
          <cell r="K4463">
            <v>0</v>
          </cell>
          <cell r="L4463">
            <v>0</v>
          </cell>
          <cell r="M4463">
            <v>0</v>
          </cell>
          <cell r="N4463">
            <v>0</v>
          </cell>
          <cell r="O4463">
            <v>0</v>
          </cell>
          <cell r="P4463">
            <v>0</v>
          </cell>
          <cell r="Q4463">
            <v>0</v>
          </cell>
          <cell r="R4463">
            <v>0</v>
          </cell>
          <cell r="S4463">
            <v>0</v>
          </cell>
          <cell r="T4463">
            <v>0</v>
          </cell>
          <cell r="U4463">
            <v>0</v>
          </cell>
          <cell r="V4463">
            <v>0</v>
          </cell>
          <cell r="W4463">
            <v>0</v>
          </cell>
        </row>
        <row r="4464">
          <cell r="A4464" t="str">
            <v>450340</v>
          </cell>
          <cell r="B4464" t="str">
            <v>1254</v>
          </cell>
          <cell r="C4464" t="str">
            <v>12</v>
          </cell>
          <cell r="D4464" t="str">
            <v>21</v>
          </cell>
          <cell r="E4464">
            <v>33</v>
          </cell>
          <cell r="G4464">
            <v>751999</v>
          </cell>
          <cell r="H4464">
            <v>0</v>
          </cell>
          <cell r="I4464">
            <v>0</v>
          </cell>
          <cell r="J4464">
            <v>0</v>
          </cell>
          <cell r="K4464">
            <v>0</v>
          </cell>
          <cell r="L4464">
            <v>0</v>
          </cell>
          <cell r="M4464">
            <v>0</v>
          </cell>
          <cell r="N4464">
            <v>0</v>
          </cell>
          <cell r="O4464">
            <v>0</v>
          </cell>
          <cell r="P4464">
            <v>0</v>
          </cell>
          <cell r="Q4464">
            <v>0</v>
          </cell>
          <cell r="R4464">
            <v>0</v>
          </cell>
          <cell r="S4464">
            <v>0</v>
          </cell>
          <cell r="T4464">
            <v>0</v>
          </cell>
          <cell r="U4464">
            <v>0</v>
          </cell>
          <cell r="V4464">
            <v>0</v>
          </cell>
          <cell r="W4464">
            <v>0</v>
          </cell>
        </row>
        <row r="4465">
          <cell r="A4465" t="str">
            <v>450340</v>
          </cell>
          <cell r="B4465" t="str">
            <v>1254</v>
          </cell>
          <cell r="C4465" t="str">
            <v>12</v>
          </cell>
          <cell r="D4465" t="str">
            <v>21</v>
          </cell>
          <cell r="E4465">
            <v>49</v>
          </cell>
          <cell r="G4465">
            <v>751999</v>
          </cell>
          <cell r="H4465">
            <v>0</v>
          </cell>
          <cell r="I4465">
            <v>0</v>
          </cell>
          <cell r="J4465">
            <v>0</v>
          </cell>
          <cell r="K4465">
            <v>0</v>
          </cell>
          <cell r="L4465">
            <v>0</v>
          </cell>
          <cell r="M4465">
            <v>0</v>
          </cell>
          <cell r="N4465">
            <v>0</v>
          </cell>
          <cell r="O4465">
            <v>0</v>
          </cell>
          <cell r="P4465">
            <v>0</v>
          </cell>
          <cell r="Q4465">
            <v>0</v>
          </cell>
          <cell r="R4465">
            <v>0</v>
          </cell>
          <cell r="S4465">
            <v>0</v>
          </cell>
          <cell r="T4465">
            <v>0</v>
          </cell>
          <cell r="U4465">
            <v>0</v>
          </cell>
          <cell r="V4465">
            <v>0</v>
          </cell>
          <cell r="W4465">
            <v>0</v>
          </cell>
        </row>
        <row r="4466">
          <cell r="A4466" t="str">
            <v>450340</v>
          </cell>
          <cell r="B4466" t="str">
            <v>1254</v>
          </cell>
          <cell r="C4466" t="str">
            <v>12</v>
          </cell>
          <cell r="D4466" t="str">
            <v>21</v>
          </cell>
          <cell r="E4466">
            <v>65</v>
          </cell>
          <cell r="G4466">
            <v>751999</v>
          </cell>
          <cell r="H4466">
            <v>0</v>
          </cell>
          <cell r="I4466">
            <v>0</v>
          </cell>
          <cell r="J4466">
            <v>0</v>
          </cell>
          <cell r="K4466">
            <v>0</v>
          </cell>
          <cell r="L4466">
            <v>0</v>
          </cell>
          <cell r="M4466">
            <v>0</v>
          </cell>
          <cell r="N4466">
            <v>0</v>
          </cell>
          <cell r="O4466">
            <v>65044</v>
          </cell>
          <cell r="P4466">
            <v>65044</v>
          </cell>
          <cell r="Q4466">
            <v>0</v>
          </cell>
          <cell r="R4466">
            <v>0</v>
          </cell>
          <cell r="S4466">
            <v>0</v>
          </cell>
          <cell r="T4466">
            <v>0</v>
          </cell>
          <cell r="U4466">
            <v>0</v>
          </cell>
          <cell r="V4466">
            <v>0</v>
          </cell>
          <cell r="W4466">
            <v>0</v>
          </cell>
        </row>
        <row r="4467">
          <cell r="A4467" t="str">
            <v>450340</v>
          </cell>
          <cell r="B4467" t="str">
            <v>1254</v>
          </cell>
          <cell r="C4467" t="str">
            <v>12</v>
          </cell>
          <cell r="D4467" t="str">
            <v>21</v>
          </cell>
          <cell r="E4467">
            <v>1</v>
          </cell>
          <cell r="G4467">
            <v>851242</v>
          </cell>
          <cell r="H4467">
            <v>0</v>
          </cell>
          <cell r="I4467">
            <v>0</v>
          </cell>
          <cell r="J4467">
            <v>0</v>
          </cell>
          <cell r="K4467">
            <v>0</v>
          </cell>
          <cell r="L4467">
            <v>0</v>
          </cell>
          <cell r="M4467">
            <v>4273</v>
          </cell>
          <cell r="N4467">
            <v>0</v>
          </cell>
          <cell r="O4467">
            <v>0</v>
          </cell>
          <cell r="P4467">
            <v>0</v>
          </cell>
          <cell r="Q4467">
            <v>0</v>
          </cell>
          <cell r="R4467">
            <v>0</v>
          </cell>
          <cell r="S4467">
            <v>0</v>
          </cell>
          <cell r="T4467">
            <v>0</v>
          </cell>
          <cell r="U4467">
            <v>0</v>
          </cell>
          <cell r="V4467">
            <v>0</v>
          </cell>
          <cell r="W4467">
            <v>0</v>
          </cell>
        </row>
        <row r="4468">
          <cell r="A4468" t="str">
            <v>450340</v>
          </cell>
          <cell r="B4468" t="str">
            <v>1254</v>
          </cell>
          <cell r="C4468" t="str">
            <v>12</v>
          </cell>
          <cell r="D4468" t="str">
            <v>21</v>
          </cell>
          <cell r="E4468">
            <v>17</v>
          </cell>
          <cell r="G4468">
            <v>851242</v>
          </cell>
          <cell r="H4468">
            <v>0</v>
          </cell>
          <cell r="I4468">
            <v>0</v>
          </cell>
          <cell r="J4468">
            <v>0</v>
          </cell>
          <cell r="K4468">
            <v>0</v>
          </cell>
          <cell r="L4468">
            <v>0</v>
          </cell>
          <cell r="M4468">
            <v>0</v>
          </cell>
          <cell r="N4468">
            <v>0</v>
          </cell>
          <cell r="O4468">
            <v>0</v>
          </cell>
          <cell r="P4468">
            <v>0</v>
          </cell>
          <cell r="Q4468">
            <v>0</v>
          </cell>
          <cell r="R4468">
            <v>0</v>
          </cell>
          <cell r="S4468">
            <v>0</v>
          </cell>
          <cell r="T4468">
            <v>0</v>
          </cell>
          <cell r="U4468">
            <v>0</v>
          </cell>
          <cell r="V4468">
            <v>0</v>
          </cell>
          <cell r="W4468">
            <v>0</v>
          </cell>
        </row>
        <row r="4469">
          <cell r="A4469" t="str">
            <v>450340</v>
          </cell>
          <cell r="B4469" t="str">
            <v>1254</v>
          </cell>
          <cell r="C4469" t="str">
            <v>12</v>
          </cell>
          <cell r="D4469" t="str">
            <v>21</v>
          </cell>
          <cell r="E4469">
            <v>33</v>
          </cell>
          <cell r="G4469">
            <v>851242</v>
          </cell>
          <cell r="H4469">
            <v>0</v>
          </cell>
          <cell r="I4469">
            <v>0</v>
          </cell>
          <cell r="J4469">
            <v>0</v>
          </cell>
          <cell r="K4469">
            <v>0</v>
          </cell>
          <cell r="L4469">
            <v>0</v>
          </cell>
          <cell r="M4469">
            <v>0</v>
          </cell>
          <cell r="N4469">
            <v>0</v>
          </cell>
          <cell r="O4469">
            <v>0</v>
          </cell>
          <cell r="P4469">
            <v>0</v>
          </cell>
          <cell r="Q4469">
            <v>0</v>
          </cell>
          <cell r="R4469">
            <v>0</v>
          </cell>
          <cell r="S4469">
            <v>0</v>
          </cell>
          <cell r="T4469">
            <v>0</v>
          </cell>
          <cell r="U4469">
            <v>0</v>
          </cell>
          <cell r="V4469">
            <v>0</v>
          </cell>
          <cell r="W4469">
            <v>0</v>
          </cell>
        </row>
        <row r="4470">
          <cell r="A4470" t="str">
            <v>450340</v>
          </cell>
          <cell r="B4470" t="str">
            <v>1254</v>
          </cell>
          <cell r="C4470" t="str">
            <v>12</v>
          </cell>
          <cell r="D4470" t="str">
            <v>21</v>
          </cell>
          <cell r="E4470">
            <v>49</v>
          </cell>
          <cell r="G4470">
            <v>851242</v>
          </cell>
          <cell r="H4470">
            <v>0</v>
          </cell>
          <cell r="I4470">
            <v>0</v>
          </cell>
          <cell r="J4470">
            <v>0</v>
          </cell>
          <cell r="K4470">
            <v>0</v>
          </cell>
          <cell r="L4470">
            <v>0</v>
          </cell>
          <cell r="M4470">
            <v>0</v>
          </cell>
          <cell r="N4470">
            <v>0</v>
          </cell>
          <cell r="O4470">
            <v>0</v>
          </cell>
          <cell r="P4470">
            <v>0</v>
          </cell>
          <cell r="Q4470">
            <v>0</v>
          </cell>
          <cell r="R4470">
            <v>0</v>
          </cell>
          <cell r="S4470">
            <v>0</v>
          </cell>
          <cell r="T4470">
            <v>0</v>
          </cell>
          <cell r="U4470">
            <v>0</v>
          </cell>
          <cell r="V4470">
            <v>0</v>
          </cell>
          <cell r="W4470">
            <v>0</v>
          </cell>
        </row>
        <row r="4471">
          <cell r="A4471" t="str">
            <v>450340</v>
          </cell>
          <cell r="B4471" t="str">
            <v>1254</v>
          </cell>
          <cell r="C4471" t="str">
            <v>12</v>
          </cell>
          <cell r="D4471" t="str">
            <v>21</v>
          </cell>
          <cell r="E4471">
            <v>65</v>
          </cell>
          <cell r="G4471">
            <v>851242</v>
          </cell>
          <cell r="H4471">
            <v>0</v>
          </cell>
          <cell r="I4471">
            <v>0</v>
          </cell>
          <cell r="J4471">
            <v>0</v>
          </cell>
          <cell r="K4471">
            <v>0</v>
          </cell>
          <cell r="L4471">
            <v>4273</v>
          </cell>
          <cell r="M4471">
            <v>0</v>
          </cell>
          <cell r="N4471">
            <v>4273</v>
          </cell>
          <cell r="O4471">
            <v>0</v>
          </cell>
          <cell r="P4471">
            <v>4273</v>
          </cell>
          <cell r="Q4471">
            <v>0</v>
          </cell>
          <cell r="R4471">
            <v>0</v>
          </cell>
          <cell r="S4471">
            <v>0</v>
          </cell>
          <cell r="T4471">
            <v>0</v>
          </cell>
          <cell r="U4471">
            <v>0</v>
          </cell>
          <cell r="V4471">
            <v>0</v>
          </cell>
          <cell r="W4471">
            <v>0</v>
          </cell>
        </row>
        <row r="4472">
          <cell r="A4472" t="str">
            <v>450340</v>
          </cell>
          <cell r="B4472" t="str">
            <v>1254</v>
          </cell>
          <cell r="C4472" t="str">
            <v>12</v>
          </cell>
          <cell r="D4472" t="str">
            <v>21</v>
          </cell>
          <cell r="E4472">
            <v>1</v>
          </cell>
          <cell r="G4472">
            <v>852018</v>
          </cell>
          <cell r="H4472">
            <v>0</v>
          </cell>
          <cell r="I4472">
            <v>0</v>
          </cell>
          <cell r="J4472">
            <v>0</v>
          </cell>
          <cell r="K4472">
            <v>0</v>
          </cell>
          <cell r="L4472">
            <v>0</v>
          </cell>
          <cell r="M4472">
            <v>531</v>
          </cell>
          <cell r="N4472">
            <v>0</v>
          </cell>
          <cell r="O4472">
            <v>0</v>
          </cell>
          <cell r="P4472">
            <v>0</v>
          </cell>
          <cell r="Q4472">
            <v>0</v>
          </cell>
          <cell r="R4472">
            <v>0</v>
          </cell>
          <cell r="S4472">
            <v>0</v>
          </cell>
          <cell r="T4472">
            <v>0</v>
          </cell>
          <cell r="U4472">
            <v>0</v>
          </cell>
          <cell r="V4472">
            <v>0</v>
          </cell>
          <cell r="W4472">
            <v>0</v>
          </cell>
        </row>
        <row r="4473">
          <cell r="A4473" t="str">
            <v>450340</v>
          </cell>
          <cell r="B4473" t="str">
            <v>1254</v>
          </cell>
          <cell r="C4473" t="str">
            <v>12</v>
          </cell>
          <cell r="D4473" t="str">
            <v>21</v>
          </cell>
          <cell r="E4473">
            <v>17</v>
          </cell>
          <cell r="G4473">
            <v>852018</v>
          </cell>
          <cell r="H4473">
            <v>0</v>
          </cell>
          <cell r="I4473">
            <v>0</v>
          </cell>
          <cell r="J4473">
            <v>0</v>
          </cell>
          <cell r="K4473">
            <v>0</v>
          </cell>
          <cell r="L4473">
            <v>0</v>
          </cell>
          <cell r="M4473">
            <v>0</v>
          </cell>
          <cell r="N4473">
            <v>0</v>
          </cell>
          <cell r="O4473">
            <v>0</v>
          </cell>
          <cell r="P4473">
            <v>0</v>
          </cell>
          <cell r="Q4473">
            <v>0</v>
          </cell>
          <cell r="R4473">
            <v>0</v>
          </cell>
          <cell r="S4473">
            <v>0</v>
          </cell>
          <cell r="T4473">
            <v>0</v>
          </cell>
          <cell r="U4473">
            <v>0</v>
          </cell>
          <cell r="V4473">
            <v>0</v>
          </cell>
          <cell r="W4473">
            <v>0</v>
          </cell>
        </row>
        <row r="4474">
          <cell r="A4474" t="str">
            <v>450340</v>
          </cell>
          <cell r="B4474" t="str">
            <v>1254</v>
          </cell>
          <cell r="C4474" t="str">
            <v>12</v>
          </cell>
          <cell r="D4474" t="str">
            <v>21</v>
          </cell>
          <cell r="E4474">
            <v>33</v>
          </cell>
          <cell r="G4474">
            <v>852018</v>
          </cell>
          <cell r="H4474">
            <v>0</v>
          </cell>
          <cell r="I4474">
            <v>0</v>
          </cell>
          <cell r="J4474">
            <v>0</v>
          </cell>
          <cell r="K4474">
            <v>0</v>
          </cell>
          <cell r="L4474">
            <v>0</v>
          </cell>
          <cell r="M4474">
            <v>0</v>
          </cell>
          <cell r="N4474">
            <v>0</v>
          </cell>
          <cell r="O4474">
            <v>0</v>
          </cell>
          <cell r="P4474">
            <v>0</v>
          </cell>
          <cell r="Q4474">
            <v>0</v>
          </cell>
          <cell r="R4474">
            <v>0</v>
          </cell>
          <cell r="S4474">
            <v>0</v>
          </cell>
          <cell r="T4474">
            <v>0</v>
          </cell>
          <cell r="U4474">
            <v>0</v>
          </cell>
          <cell r="V4474">
            <v>0</v>
          </cell>
          <cell r="W4474">
            <v>0</v>
          </cell>
        </row>
        <row r="4475">
          <cell r="A4475" t="str">
            <v>450340</v>
          </cell>
          <cell r="B4475" t="str">
            <v>1254</v>
          </cell>
          <cell r="C4475" t="str">
            <v>12</v>
          </cell>
          <cell r="D4475" t="str">
            <v>21</v>
          </cell>
          <cell r="E4475">
            <v>49</v>
          </cell>
          <cell r="G4475">
            <v>852018</v>
          </cell>
          <cell r="H4475">
            <v>0</v>
          </cell>
          <cell r="I4475">
            <v>0</v>
          </cell>
          <cell r="J4475">
            <v>0</v>
          </cell>
          <cell r="K4475">
            <v>0</v>
          </cell>
          <cell r="L4475">
            <v>0</v>
          </cell>
          <cell r="M4475">
            <v>0</v>
          </cell>
          <cell r="N4475">
            <v>0</v>
          </cell>
          <cell r="O4475">
            <v>0</v>
          </cell>
          <cell r="P4475">
            <v>0</v>
          </cell>
          <cell r="Q4475">
            <v>0</v>
          </cell>
          <cell r="R4475">
            <v>0</v>
          </cell>
          <cell r="S4475">
            <v>0</v>
          </cell>
          <cell r="T4475">
            <v>0</v>
          </cell>
          <cell r="U4475">
            <v>0</v>
          </cell>
          <cell r="V4475">
            <v>0</v>
          </cell>
          <cell r="W4475">
            <v>0</v>
          </cell>
        </row>
        <row r="4476">
          <cell r="A4476" t="str">
            <v>450340</v>
          </cell>
          <cell r="B4476" t="str">
            <v>1254</v>
          </cell>
          <cell r="C4476" t="str">
            <v>12</v>
          </cell>
          <cell r="D4476" t="str">
            <v>21</v>
          </cell>
          <cell r="E4476">
            <v>65</v>
          </cell>
          <cell r="G4476">
            <v>852018</v>
          </cell>
          <cell r="H4476">
            <v>0</v>
          </cell>
          <cell r="I4476">
            <v>0</v>
          </cell>
          <cell r="J4476">
            <v>0</v>
          </cell>
          <cell r="K4476">
            <v>0</v>
          </cell>
          <cell r="L4476">
            <v>531</v>
          </cell>
          <cell r="M4476">
            <v>0</v>
          </cell>
          <cell r="N4476">
            <v>531</v>
          </cell>
          <cell r="O4476">
            <v>0</v>
          </cell>
          <cell r="P4476">
            <v>531</v>
          </cell>
          <cell r="Q4476">
            <v>0</v>
          </cell>
          <cell r="R4476">
            <v>0</v>
          </cell>
          <cell r="S4476">
            <v>0</v>
          </cell>
          <cell r="T4476">
            <v>0</v>
          </cell>
          <cell r="U4476">
            <v>0</v>
          </cell>
          <cell r="V4476">
            <v>0</v>
          </cell>
          <cell r="W4476">
            <v>0</v>
          </cell>
        </row>
        <row r="4477">
          <cell r="A4477" t="str">
            <v>450340</v>
          </cell>
          <cell r="B4477" t="str">
            <v>1254</v>
          </cell>
          <cell r="C4477" t="str">
            <v>12</v>
          </cell>
          <cell r="D4477" t="str">
            <v>21</v>
          </cell>
          <cell r="E4477">
            <v>1</v>
          </cell>
          <cell r="G4477">
            <v>853277</v>
          </cell>
          <cell r="H4477">
            <v>0</v>
          </cell>
          <cell r="I4477">
            <v>0</v>
          </cell>
          <cell r="J4477">
            <v>0</v>
          </cell>
          <cell r="K4477">
            <v>0</v>
          </cell>
          <cell r="L4477">
            <v>0</v>
          </cell>
          <cell r="M4477">
            <v>0</v>
          </cell>
          <cell r="N4477">
            <v>0</v>
          </cell>
          <cell r="O4477">
            <v>0</v>
          </cell>
          <cell r="P4477">
            <v>0</v>
          </cell>
          <cell r="Q4477">
            <v>0</v>
          </cell>
          <cell r="R4477">
            <v>0</v>
          </cell>
          <cell r="S4477">
            <v>0</v>
          </cell>
          <cell r="T4477">
            <v>0</v>
          </cell>
          <cell r="U4477">
            <v>0</v>
          </cell>
          <cell r="V4477">
            <v>0</v>
          </cell>
          <cell r="W4477">
            <v>0</v>
          </cell>
        </row>
        <row r="4478">
          <cell r="A4478" t="str">
            <v>450340</v>
          </cell>
          <cell r="B4478" t="str">
            <v>1254</v>
          </cell>
          <cell r="C4478" t="str">
            <v>12</v>
          </cell>
          <cell r="D4478" t="str">
            <v>21</v>
          </cell>
          <cell r="E4478">
            <v>17</v>
          </cell>
          <cell r="G4478">
            <v>853277</v>
          </cell>
          <cell r="H4478">
            <v>0</v>
          </cell>
          <cell r="I4478">
            <v>0</v>
          </cell>
          <cell r="J4478">
            <v>0</v>
          </cell>
          <cell r="K4478">
            <v>0</v>
          </cell>
          <cell r="L4478">
            <v>0</v>
          </cell>
          <cell r="M4478">
            <v>0</v>
          </cell>
          <cell r="N4478">
            <v>0</v>
          </cell>
          <cell r="O4478">
            <v>0</v>
          </cell>
          <cell r="P4478">
            <v>35004</v>
          </cell>
          <cell r="Q4478">
            <v>0</v>
          </cell>
          <cell r="R4478">
            <v>0</v>
          </cell>
          <cell r="S4478">
            <v>0</v>
          </cell>
          <cell r="T4478">
            <v>0</v>
          </cell>
          <cell r="U4478">
            <v>0</v>
          </cell>
          <cell r="V4478">
            <v>0</v>
          </cell>
          <cell r="W4478">
            <v>0</v>
          </cell>
        </row>
        <row r="4479">
          <cell r="A4479" t="str">
            <v>450340</v>
          </cell>
          <cell r="B4479" t="str">
            <v>1254</v>
          </cell>
          <cell r="C4479" t="str">
            <v>12</v>
          </cell>
          <cell r="D4479" t="str">
            <v>21</v>
          </cell>
          <cell r="E4479">
            <v>33</v>
          </cell>
          <cell r="G4479">
            <v>853277</v>
          </cell>
          <cell r="H4479">
            <v>0</v>
          </cell>
          <cell r="I4479">
            <v>0</v>
          </cell>
          <cell r="J4479">
            <v>0</v>
          </cell>
          <cell r="K4479">
            <v>0</v>
          </cell>
          <cell r="L4479">
            <v>0</v>
          </cell>
          <cell r="M4479">
            <v>0</v>
          </cell>
          <cell r="N4479">
            <v>35004</v>
          </cell>
          <cell r="O4479">
            <v>0</v>
          </cell>
          <cell r="P4479">
            <v>0</v>
          </cell>
          <cell r="Q4479">
            <v>0</v>
          </cell>
          <cell r="R4479">
            <v>0</v>
          </cell>
          <cell r="S4479">
            <v>0</v>
          </cell>
          <cell r="T4479">
            <v>0</v>
          </cell>
          <cell r="U4479">
            <v>0</v>
          </cell>
          <cell r="V4479">
            <v>0</v>
          </cell>
          <cell r="W4479">
            <v>0</v>
          </cell>
        </row>
        <row r="4480">
          <cell r="A4480" t="str">
            <v>450340</v>
          </cell>
          <cell r="B4480" t="str">
            <v>1254</v>
          </cell>
          <cell r="C4480" t="str">
            <v>12</v>
          </cell>
          <cell r="D4480" t="str">
            <v>21</v>
          </cell>
          <cell r="E4480">
            <v>49</v>
          </cell>
          <cell r="G4480">
            <v>853277</v>
          </cell>
          <cell r="H4480">
            <v>0</v>
          </cell>
          <cell r="I4480">
            <v>0</v>
          </cell>
          <cell r="J4480">
            <v>0</v>
          </cell>
          <cell r="K4480">
            <v>0</v>
          </cell>
          <cell r="L4480">
            <v>0</v>
          </cell>
          <cell r="M4480">
            <v>0</v>
          </cell>
          <cell r="N4480">
            <v>0</v>
          </cell>
          <cell r="O4480">
            <v>0</v>
          </cell>
          <cell r="P4480">
            <v>0</v>
          </cell>
          <cell r="Q4480">
            <v>0</v>
          </cell>
          <cell r="R4480">
            <v>35004</v>
          </cell>
          <cell r="S4480">
            <v>0</v>
          </cell>
          <cell r="T4480">
            <v>0</v>
          </cell>
          <cell r="U4480">
            <v>0</v>
          </cell>
          <cell r="V4480">
            <v>0</v>
          </cell>
          <cell r="W4480">
            <v>0</v>
          </cell>
        </row>
        <row r="4481">
          <cell r="A4481" t="str">
            <v>450340</v>
          </cell>
          <cell r="B4481" t="str">
            <v>1254</v>
          </cell>
          <cell r="C4481" t="str">
            <v>12</v>
          </cell>
          <cell r="D4481" t="str">
            <v>21</v>
          </cell>
          <cell r="E4481">
            <v>65</v>
          </cell>
          <cell r="G4481">
            <v>853277</v>
          </cell>
          <cell r="H4481">
            <v>0</v>
          </cell>
          <cell r="I4481">
            <v>0</v>
          </cell>
          <cell r="J4481">
            <v>0</v>
          </cell>
          <cell r="K4481">
            <v>0</v>
          </cell>
          <cell r="L4481">
            <v>35004</v>
          </cell>
          <cell r="M4481">
            <v>0</v>
          </cell>
          <cell r="N4481">
            <v>35004</v>
          </cell>
          <cell r="O4481">
            <v>0</v>
          </cell>
          <cell r="P4481">
            <v>35004</v>
          </cell>
          <cell r="Q4481">
            <v>0</v>
          </cell>
          <cell r="R4481">
            <v>0</v>
          </cell>
          <cell r="S4481">
            <v>0</v>
          </cell>
          <cell r="T4481">
            <v>0</v>
          </cell>
          <cell r="U4481">
            <v>0</v>
          </cell>
          <cell r="V4481">
            <v>0</v>
          </cell>
          <cell r="W4481">
            <v>0</v>
          </cell>
        </row>
        <row r="4482">
          <cell r="A4482" t="str">
            <v>450340</v>
          </cell>
          <cell r="B4482" t="str">
            <v>1254</v>
          </cell>
          <cell r="C4482" t="str">
            <v>12</v>
          </cell>
          <cell r="D4482" t="str">
            <v>21</v>
          </cell>
          <cell r="E4482">
            <v>1</v>
          </cell>
          <cell r="G4482">
            <v>853288</v>
          </cell>
          <cell r="H4482">
            <v>0</v>
          </cell>
          <cell r="I4482">
            <v>0</v>
          </cell>
          <cell r="J4482">
            <v>0</v>
          </cell>
          <cell r="K4482">
            <v>0</v>
          </cell>
          <cell r="L4482">
            <v>0</v>
          </cell>
          <cell r="M4482">
            <v>5681</v>
          </cell>
          <cell r="N4482">
            <v>0</v>
          </cell>
          <cell r="O4482">
            <v>1376</v>
          </cell>
          <cell r="P4482">
            <v>0</v>
          </cell>
          <cell r="Q4482">
            <v>0</v>
          </cell>
          <cell r="R4482">
            <v>0</v>
          </cell>
          <cell r="S4482">
            <v>0</v>
          </cell>
          <cell r="T4482">
            <v>0</v>
          </cell>
          <cell r="U4482">
            <v>1376</v>
          </cell>
          <cell r="V4482">
            <v>0</v>
          </cell>
          <cell r="W4482">
            <v>0</v>
          </cell>
        </row>
        <row r="4483">
          <cell r="A4483" t="str">
            <v>450340</v>
          </cell>
          <cell r="B4483" t="str">
            <v>1254</v>
          </cell>
          <cell r="C4483" t="str">
            <v>12</v>
          </cell>
          <cell r="D4483" t="str">
            <v>21</v>
          </cell>
          <cell r="E4483">
            <v>17</v>
          </cell>
          <cell r="G4483">
            <v>853288</v>
          </cell>
          <cell r="H4483">
            <v>0</v>
          </cell>
          <cell r="I4483">
            <v>0</v>
          </cell>
          <cell r="J4483">
            <v>0</v>
          </cell>
          <cell r="K4483">
            <v>0</v>
          </cell>
          <cell r="L4483">
            <v>0</v>
          </cell>
          <cell r="M4483">
            <v>0</v>
          </cell>
          <cell r="N4483">
            <v>1376</v>
          </cell>
          <cell r="O4483">
            <v>0</v>
          </cell>
          <cell r="P4483">
            <v>0</v>
          </cell>
          <cell r="Q4483">
            <v>0</v>
          </cell>
          <cell r="R4483">
            <v>0</v>
          </cell>
          <cell r="S4483">
            <v>0</v>
          </cell>
          <cell r="T4483">
            <v>0</v>
          </cell>
          <cell r="U4483">
            <v>0</v>
          </cell>
          <cell r="V4483">
            <v>0</v>
          </cell>
          <cell r="W4483">
            <v>0</v>
          </cell>
        </row>
        <row r="4484">
          <cell r="A4484" t="str">
            <v>450340</v>
          </cell>
          <cell r="B4484" t="str">
            <v>1254</v>
          </cell>
          <cell r="C4484" t="str">
            <v>12</v>
          </cell>
          <cell r="D4484" t="str">
            <v>21</v>
          </cell>
          <cell r="E4484">
            <v>33</v>
          </cell>
          <cell r="G4484">
            <v>853288</v>
          </cell>
          <cell r="H4484">
            <v>0</v>
          </cell>
          <cell r="I4484">
            <v>0</v>
          </cell>
          <cell r="J4484">
            <v>0</v>
          </cell>
          <cell r="K4484">
            <v>0</v>
          </cell>
          <cell r="L4484">
            <v>0</v>
          </cell>
          <cell r="M4484">
            <v>0</v>
          </cell>
          <cell r="N4484">
            <v>0</v>
          </cell>
          <cell r="O4484">
            <v>0</v>
          </cell>
          <cell r="P4484">
            <v>0</v>
          </cell>
          <cell r="Q4484">
            <v>0</v>
          </cell>
          <cell r="R4484">
            <v>0</v>
          </cell>
          <cell r="S4484">
            <v>0</v>
          </cell>
          <cell r="T4484">
            <v>0</v>
          </cell>
          <cell r="U4484">
            <v>0</v>
          </cell>
          <cell r="V4484">
            <v>0</v>
          </cell>
          <cell r="W4484">
            <v>0</v>
          </cell>
        </row>
        <row r="4485">
          <cell r="A4485" t="str">
            <v>450340</v>
          </cell>
          <cell r="B4485" t="str">
            <v>1254</v>
          </cell>
          <cell r="C4485" t="str">
            <v>12</v>
          </cell>
          <cell r="D4485" t="str">
            <v>21</v>
          </cell>
          <cell r="E4485">
            <v>49</v>
          </cell>
          <cell r="G4485">
            <v>853288</v>
          </cell>
          <cell r="H4485">
            <v>0</v>
          </cell>
          <cell r="I4485">
            <v>0</v>
          </cell>
          <cell r="J4485">
            <v>0</v>
          </cell>
          <cell r="K4485">
            <v>0</v>
          </cell>
          <cell r="L4485">
            <v>0</v>
          </cell>
          <cell r="M4485">
            <v>0</v>
          </cell>
          <cell r="N4485">
            <v>0</v>
          </cell>
          <cell r="O4485">
            <v>0</v>
          </cell>
          <cell r="P4485">
            <v>0</v>
          </cell>
          <cell r="Q4485">
            <v>0</v>
          </cell>
          <cell r="R4485">
            <v>0</v>
          </cell>
          <cell r="S4485">
            <v>0</v>
          </cell>
          <cell r="T4485">
            <v>0</v>
          </cell>
          <cell r="U4485">
            <v>0</v>
          </cell>
          <cell r="V4485">
            <v>0</v>
          </cell>
          <cell r="W4485">
            <v>0</v>
          </cell>
        </row>
        <row r="4486">
          <cell r="A4486" t="str">
            <v>450340</v>
          </cell>
          <cell r="B4486" t="str">
            <v>1254</v>
          </cell>
          <cell r="C4486" t="str">
            <v>12</v>
          </cell>
          <cell r="D4486" t="str">
            <v>21</v>
          </cell>
          <cell r="E4486">
            <v>65</v>
          </cell>
          <cell r="G4486">
            <v>853288</v>
          </cell>
          <cell r="H4486">
            <v>0</v>
          </cell>
          <cell r="I4486">
            <v>0</v>
          </cell>
          <cell r="J4486">
            <v>0</v>
          </cell>
          <cell r="K4486">
            <v>0</v>
          </cell>
          <cell r="L4486">
            <v>7057</v>
          </cell>
          <cell r="M4486">
            <v>0</v>
          </cell>
          <cell r="N4486">
            <v>7057</v>
          </cell>
          <cell r="O4486">
            <v>0</v>
          </cell>
          <cell r="P4486">
            <v>7057</v>
          </cell>
          <cell r="Q4486">
            <v>0</v>
          </cell>
          <cell r="R4486">
            <v>0</v>
          </cell>
          <cell r="S4486">
            <v>0</v>
          </cell>
          <cell r="T4486">
            <v>0</v>
          </cell>
          <cell r="U4486">
            <v>0</v>
          </cell>
          <cell r="V4486">
            <v>0</v>
          </cell>
          <cell r="W4486">
            <v>0</v>
          </cell>
        </row>
        <row r="4487">
          <cell r="A4487" t="str">
            <v>450340</v>
          </cell>
          <cell r="B4487" t="str">
            <v>1254</v>
          </cell>
          <cell r="C4487" t="str">
            <v>12</v>
          </cell>
          <cell r="D4487" t="str">
            <v>21</v>
          </cell>
          <cell r="E4487">
            <v>1</v>
          </cell>
          <cell r="G4487">
            <v>853311</v>
          </cell>
          <cell r="H4487">
            <v>0</v>
          </cell>
          <cell r="I4487">
            <v>0</v>
          </cell>
          <cell r="J4487">
            <v>0</v>
          </cell>
          <cell r="K4487">
            <v>0</v>
          </cell>
          <cell r="L4487">
            <v>4276</v>
          </cell>
          <cell r="M4487">
            <v>1176</v>
          </cell>
          <cell r="N4487">
            <v>0</v>
          </cell>
          <cell r="O4487">
            <v>0</v>
          </cell>
          <cell r="P4487">
            <v>0</v>
          </cell>
          <cell r="Q4487">
            <v>0</v>
          </cell>
          <cell r="R4487">
            <v>0</v>
          </cell>
          <cell r="S4487">
            <v>0</v>
          </cell>
          <cell r="T4487">
            <v>0</v>
          </cell>
          <cell r="U4487">
            <v>0</v>
          </cell>
          <cell r="V4487">
            <v>0</v>
          </cell>
          <cell r="W4487">
            <v>0</v>
          </cell>
        </row>
        <row r="4488">
          <cell r="A4488" t="str">
            <v>450340</v>
          </cell>
          <cell r="B4488" t="str">
            <v>1254</v>
          </cell>
          <cell r="C4488" t="str">
            <v>12</v>
          </cell>
          <cell r="D4488" t="str">
            <v>21</v>
          </cell>
          <cell r="E4488">
            <v>17</v>
          </cell>
          <cell r="G4488">
            <v>853311</v>
          </cell>
          <cell r="H4488">
            <v>0</v>
          </cell>
          <cell r="I4488">
            <v>0</v>
          </cell>
          <cell r="J4488">
            <v>0</v>
          </cell>
          <cell r="K4488">
            <v>0</v>
          </cell>
          <cell r="L4488">
            <v>0</v>
          </cell>
          <cell r="M4488">
            <v>0</v>
          </cell>
          <cell r="N4488">
            <v>0</v>
          </cell>
          <cell r="O4488">
            <v>0</v>
          </cell>
          <cell r="P4488">
            <v>0</v>
          </cell>
          <cell r="Q4488">
            <v>0</v>
          </cell>
          <cell r="R4488">
            <v>0</v>
          </cell>
          <cell r="S4488">
            <v>0</v>
          </cell>
          <cell r="T4488">
            <v>0</v>
          </cell>
          <cell r="U4488">
            <v>0</v>
          </cell>
          <cell r="V4488">
            <v>0</v>
          </cell>
          <cell r="W4488">
            <v>0</v>
          </cell>
        </row>
        <row r="4489">
          <cell r="A4489" t="str">
            <v>450340</v>
          </cell>
          <cell r="B4489" t="str">
            <v>1254</v>
          </cell>
          <cell r="C4489" t="str">
            <v>12</v>
          </cell>
          <cell r="D4489" t="str">
            <v>21</v>
          </cell>
          <cell r="E4489">
            <v>33</v>
          </cell>
          <cell r="G4489">
            <v>853311</v>
          </cell>
          <cell r="H4489">
            <v>0</v>
          </cell>
          <cell r="I4489">
            <v>0</v>
          </cell>
          <cell r="J4489">
            <v>0</v>
          </cell>
          <cell r="K4489">
            <v>0</v>
          </cell>
          <cell r="L4489">
            <v>0</v>
          </cell>
          <cell r="M4489">
            <v>0</v>
          </cell>
          <cell r="N4489">
            <v>0</v>
          </cell>
          <cell r="O4489">
            <v>0</v>
          </cell>
          <cell r="P4489">
            <v>0</v>
          </cell>
          <cell r="Q4489">
            <v>0</v>
          </cell>
          <cell r="R4489">
            <v>0</v>
          </cell>
          <cell r="S4489">
            <v>0</v>
          </cell>
          <cell r="T4489">
            <v>0</v>
          </cell>
          <cell r="U4489">
            <v>0</v>
          </cell>
          <cell r="V4489">
            <v>0</v>
          </cell>
          <cell r="W4489">
            <v>0</v>
          </cell>
        </row>
        <row r="4490">
          <cell r="A4490" t="str">
            <v>450340</v>
          </cell>
          <cell r="B4490" t="str">
            <v>1254</v>
          </cell>
          <cell r="C4490" t="str">
            <v>12</v>
          </cell>
          <cell r="D4490" t="str">
            <v>21</v>
          </cell>
          <cell r="E4490">
            <v>49</v>
          </cell>
          <cell r="G4490">
            <v>853311</v>
          </cell>
          <cell r="H4490">
            <v>0</v>
          </cell>
          <cell r="I4490">
            <v>0</v>
          </cell>
          <cell r="J4490">
            <v>0</v>
          </cell>
          <cell r="K4490">
            <v>0</v>
          </cell>
          <cell r="L4490">
            <v>0</v>
          </cell>
          <cell r="M4490">
            <v>0</v>
          </cell>
          <cell r="N4490">
            <v>0</v>
          </cell>
          <cell r="O4490">
            <v>0</v>
          </cell>
          <cell r="P4490">
            <v>0</v>
          </cell>
          <cell r="Q4490">
            <v>0</v>
          </cell>
          <cell r="R4490">
            <v>0</v>
          </cell>
          <cell r="S4490">
            <v>0</v>
          </cell>
          <cell r="T4490">
            <v>31796</v>
          </cell>
          <cell r="U4490">
            <v>0</v>
          </cell>
          <cell r="V4490">
            <v>0</v>
          </cell>
          <cell r="W4490">
            <v>0</v>
          </cell>
        </row>
        <row r="4491">
          <cell r="A4491" t="str">
            <v>450340</v>
          </cell>
          <cell r="B4491" t="str">
            <v>1254</v>
          </cell>
          <cell r="C4491" t="str">
            <v>12</v>
          </cell>
          <cell r="D4491" t="str">
            <v>21</v>
          </cell>
          <cell r="E4491">
            <v>65</v>
          </cell>
          <cell r="G4491">
            <v>853311</v>
          </cell>
          <cell r="H4491">
            <v>0</v>
          </cell>
          <cell r="I4491">
            <v>0</v>
          </cell>
          <cell r="J4491">
            <v>0</v>
          </cell>
          <cell r="K4491">
            <v>0</v>
          </cell>
          <cell r="L4491">
            <v>37248</v>
          </cell>
          <cell r="M4491">
            <v>0</v>
          </cell>
          <cell r="N4491">
            <v>37248</v>
          </cell>
          <cell r="O4491">
            <v>0</v>
          </cell>
          <cell r="P4491">
            <v>37248</v>
          </cell>
          <cell r="Q4491">
            <v>0</v>
          </cell>
          <cell r="R4491">
            <v>0</v>
          </cell>
          <cell r="S4491">
            <v>0</v>
          </cell>
          <cell r="T4491">
            <v>0</v>
          </cell>
          <cell r="U4491">
            <v>0</v>
          </cell>
          <cell r="V4491">
            <v>0</v>
          </cell>
          <cell r="W4491">
            <v>0</v>
          </cell>
        </row>
        <row r="4492">
          <cell r="A4492" t="str">
            <v>450340</v>
          </cell>
          <cell r="B4492" t="str">
            <v>1254</v>
          </cell>
          <cell r="C4492" t="str">
            <v>12</v>
          </cell>
          <cell r="D4492" t="str">
            <v>21</v>
          </cell>
          <cell r="E4492">
            <v>1</v>
          </cell>
          <cell r="G4492">
            <v>853322</v>
          </cell>
          <cell r="H4492">
            <v>0</v>
          </cell>
          <cell r="I4492">
            <v>0</v>
          </cell>
          <cell r="J4492">
            <v>0</v>
          </cell>
          <cell r="K4492">
            <v>0</v>
          </cell>
          <cell r="L4492">
            <v>0</v>
          </cell>
          <cell r="M4492">
            <v>189</v>
          </cell>
          <cell r="N4492">
            <v>0</v>
          </cell>
          <cell r="O4492">
            <v>0</v>
          </cell>
          <cell r="P4492">
            <v>0</v>
          </cell>
          <cell r="Q4492">
            <v>0</v>
          </cell>
          <cell r="R4492">
            <v>0</v>
          </cell>
          <cell r="S4492">
            <v>0</v>
          </cell>
          <cell r="T4492">
            <v>0</v>
          </cell>
          <cell r="U4492">
            <v>0</v>
          </cell>
          <cell r="V4492">
            <v>0</v>
          </cell>
          <cell r="W4492">
            <v>0</v>
          </cell>
        </row>
        <row r="4493">
          <cell r="A4493" t="str">
            <v>450340</v>
          </cell>
          <cell r="B4493" t="str">
            <v>1254</v>
          </cell>
          <cell r="C4493" t="str">
            <v>12</v>
          </cell>
          <cell r="D4493" t="str">
            <v>21</v>
          </cell>
          <cell r="E4493">
            <v>17</v>
          </cell>
          <cell r="G4493">
            <v>853322</v>
          </cell>
          <cell r="H4493">
            <v>0</v>
          </cell>
          <cell r="I4493">
            <v>0</v>
          </cell>
          <cell r="J4493">
            <v>0</v>
          </cell>
          <cell r="K4493">
            <v>0</v>
          </cell>
          <cell r="L4493">
            <v>0</v>
          </cell>
          <cell r="M4493">
            <v>0</v>
          </cell>
          <cell r="N4493">
            <v>0</v>
          </cell>
          <cell r="O4493">
            <v>0</v>
          </cell>
          <cell r="P4493">
            <v>0</v>
          </cell>
          <cell r="Q4493">
            <v>0</v>
          </cell>
          <cell r="R4493">
            <v>0</v>
          </cell>
          <cell r="S4493">
            <v>0</v>
          </cell>
          <cell r="T4493">
            <v>0</v>
          </cell>
          <cell r="U4493">
            <v>0</v>
          </cell>
          <cell r="V4493">
            <v>0</v>
          </cell>
          <cell r="W4493">
            <v>0</v>
          </cell>
        </row>
        <row r="4494">
          <cell r="A4494" t="str">
            <v>450340</v>
          </cell>
          <cell r="B4494" t="str">
            <v>1254</v>
          </cell>
          <cell r="C4494" t="str">
            <v>12</v>
          </cell>
          <cell r="D4494" t="str">
            <v>21</v>
          </cell>
          <cell r="E4494">
            <v>33</v>
          </cell>
          <cell r="G4494">
            <v>853322</v>
          </cell>
          <cell r="H4494">
            <v>0</v>
          </cell>
          <cell r="I4494">
            <v>0</v>
          </cell>
          <cell r="J4494">
            <v>0</v>
          </cell>
          <cell r="K4494">
            <v>0</v>
          </cell>
          <cell r="L4494">
            <v>0</v>
          </cell>
          <cell r="M4494">
            <v>0</v>
          </cell>
          <cell r="N4494">
            <v>0</v>
          </cell>
          <cell r="O4494">
            <v>0</v>
          </cell>
          <cell r="P4494">
            <v>0</v>
          </cell>
          <cell r="Q4494">
            <v>0</v>
          </cell>
          <cell r="R4494">
            <v>0</v>
          </cell>
          <cell r="S4494">
            <v>0</v>
          </cell>
          <cell r="T4494">
            <v>0</v>
          </cell>
          <cell r="U4494">
            <v>0</v>
          </cell>
          <cell r="V4494">
            <v>0</v>
          </cell>
          <cell r="W4494">
            <v>0</v>
          </cell>
        </row>
        <row r="4495">
          <cell r="A4495" t="str">
            <v>450340</v>
          </cell>
          <cell r="B4495" t="str">
            <v>1254</v>
          </cell>
          <cell r="C4495" t="str">
            <v>12</v>
          </cell>
          <cell r="D4495" t="str">
            <v>21</v>
          </cell>
          <cell r="E4495">
            <v>49</v>
          </cell>
          <cell r="G4495">
            <v>853322</v>
          </cell>
          <cell r="H4495">
            <v>0</v>
          </cell>
          <cell r="I4495">
            <v>0</v>
          </cell>
          <cell r="J4495">
            <v>0</v>
          </cell>
          <cell r="K4495">
            <v>0</v>
          </cell>
          <cell r="L4495">
            <v>0</v>
          </cell>
          <cell r="M4495">
            <v>0</v>
          </cell>
          <cell r="N4495">
            <v>0</v>
          </cell>
          <cell r="O4495">
            <v>0</v>
          </cell>
          <cell r="P4495">
            <v>0</v>
          </cell>
          <cell r="Q4495">
            <v>0</v>
          </cell>
          <cell r="R4495">
            <v>0</v>
          </cell>
          <cell r="S4495">
            <v>0</v>
          </cell>
          <cell r="T4495">
            <v>10432</v>
          </cell>
          <cell r="U4495">
            <v>0</v>
          </cell>
          <cell r="V4495">
            <v>0</v>
          </cell>
          <cell r="W4495">
            <v>0</v>
          </cell>
        </row>
        <row r="4496">
          <cell r="A4496" t="str">
            <v>450340</v>
          </cell>
          <cell r="B4496" t="str">
            <v>1254</v>
          </cell>
          <cell r="C4496" t="str">
            <v>12</v>
          </cell>
          <cell r="D4496" t="str">
            <v>21</v>
          </cell>
          <cell r="E4496">
            <v>65</v>
          </cell>
          <cell r="G4496">
            <v>853322</v>
          </cell>
          <cell r="H4496">
            <v>0</v>
          </cell>
          <cell r="I4496">
            <v>0</v>
          </cell>
          <cell r="J4496">
            <v>0</v>
          </cell>
          <cell r="K4496">
            <v>0</v>
          </cell>
          <cell r="L4496">
            <v>10621</v>
          </cell>
          <cell r="M4496">
            <v>0</v>
          </cell>
          <cell r="N4496">
            <v>10621</v>
          </cell>
          <cell r="O4496">
            <v>0</v>
          </cell>
          <cell r="P4496">
            <v>10621</v>
          </cell>
          <cell r="Q4496">
            <v>0</v>
          </cell>
          <cell r="R4496">
            <v>0</v>
          </cell>
          <cell r="S4496">
            <v>0</v>
          </cell>
          <cell r="T4496">
            <v>0</v>
          </cell>
          <cell r="U4496">
            <v>0</v>
          </cell>
          <cell r="V4496">
            <v>0</v>
          </cell>
          <cell r="W4496">
            <v>0</v>
          </cell>
        </row>
        <row r="4497">
          <cell r="A4497" t="str">
            <v>450340</v>
          </cell>
          <cell r="B4497" t="str">
            <v>1254</v>
          </cell>
          <cell r="C4497" t="str">
            <v>12</v>
          </cell>
          <cell r="D4497" t="str">
            <v>21</v>
          </cell>
          <cell r="E4497">
            <v>1</v>
          </cell>
          <cell r="G4497">
            <v>853333</v>
          </cell>
          <cell r="H4497">
            <v>0</v>
          </cell>
          <cell r="I4497">
            <v>0</v>
          </cell>
          <cell r="J4497">
            <v>0</v>
          </cell>
          <cell r="K4497">
            <v>0</v>
          </cell>
          <cell r="L4497">
            <v>0</v>
          </cell>
          <cell r="M4497">
            <v>524</v>
          </cell>
          <cell r="N4497">
            <v>0</v>
          </cell>
          <cell r="O4497">
            <v>0</v>
          </cell>
          <cell r="P4497">
            <v>0</v>
          </cell>
          <cell r="Q4497">
            <v>0</v>
          </cell>
          <cell r="R4497">
            <v>0</v>
          </cell>
          <cell r="S4497">
            <v>0</v>
          </cell>
          <cell r="T4497">
            <v>0</v>
          </cell>
          <cell r="U4497">
            <v>0</v>
          </cell>
          <cell r="V4497">
            <v>0</v>
          </cell>
          <cell r="W4497">
            <v>0</v>
          </cell>
        </row>
        <row r="4498">
          <cell r="A4498" t="str">
            <v>450340</v>
          </cell>
          <cell r="B4498" t="str">
            <v>1254</v>
          </cell>
          <cell r="C4498" t="str">
            <v>12</v>
          </cell>
          <cell r="D4498" t="str">
            <v>21</v>
          </cell>
          <cell r="E4498">
            <v>17</v>
          </cell>
          <cell r="G4498">
            <v>853333</v>
          </cell>
          <cell r="H4498">
            <v>0</v>
          </cell>
          <cell r="I4498">
            <v>0</v>
          </cell>
          <cell r="J4498">
            <v>0</v>
          </cell>
          <cell r="K4498">
            <v>0</v>
          </cell>
          <cell r="L4498">
            <v>0</v>
          </cell>
          <cell r="M4498">
            <v>0</v>
          </cell>
          <cell r="N4498">
            <v>0</v>
          </cell>
          <cell r="O4498">
            <v>0</v>
          </cell>
          <cell r="P4498">
            <v>0</v>
          </cell>
          <cell r="Q4498">
            <v>0</v>
          </cell>
          <cell r="R4498">
            <v>0</v>
          </cell>
          <cell r="S4498">
            <v>0</v>
          </cell>
          <cell r="T4498">
            <v>0</v>
          </cell>
          <cell r="U4498">
            <v>0</v>
          </cell>
          <cell r="V4498">
            <v>0</v>
          </cell>
          <cell r="W4498">
            <v>0</v>
          </cell>
        </row>
        <row r="4499">
          <cell r="A4499" t="str">
            <v>450340</v>
          </cell>
          <cell r="B4499" t="str">
            <v>1254</v>
          </cell>
          <cell r="C4499" t="str">
            <v>12</v>
          </cell>
          <cell r="D4499" t="str">
            <v>21</v>
          </cell>
          <cell r="E4499">
            <v>33</v>
          </cell>
          <cell r="G4499">
            <v>853333</v>
          </cell>
          <cell r="H4499">
            <v>0</v>
          </cell>
          <cell r="I4499">
            <v>0</v>
          </cell>
          <cell r="J4499">
            <v>0</v>
          </cell>
          <cell r="K4499">
            <v>0</v>
          </cell>
          <cell r="L4499">
            <v>0</v>
          </cell>
          <cell r="M4499">
            <v>0</v>
          </cell>
          <cell r="N4499">
            <v>0</v>
          </cell>
          <cell r="O4499">
            <v>0</v>
          </cell>
          <cell r="P4499">
            <v>0</v>
          </cell>
          <cell r="Q4499">
            <v>0</v>
          </cell>
          <cell r="R4499">
            <v>0</v>
          </cell>
          <cell r="S4499">
            <v>0</v>
          </cell>
          <cell r="T4499">
            <v>0</v>
          </cell>
          <cell r="U4499">
            <v>0</v>
          </cell>
          <cell r="V4499">
            <v>0</v>
          </cell>
          <cell r="W4499">
            <v>0</v>
          </cell>
        </row>
        <row r="4500">
          <cell r="A4500" t="str">
            <v>450340</v>
          </cell>
          <cell r="B4500" t="str">
            <v>1254</v>
          </cell>
          <cell r="C4500" t="str">
            <v>12</v>
          </cell>
          <cell r="D4500" t="str">
            <v>21</v>
          </cell>
          <cell r="E4500">
            <v>49</v>
          </cell>
          <cell r="G4500">
            <v>853333</v>
          </cell>
          <cell r="H4500">
            <v>0</v>
          </cell>
          <cell r="I4500">
            <v>0</v>
          </cell>
          <cell r="J4500">
            <v>0</v>
          </cell>
          <cell r="K4500">
            <v>0</v>
          </cell>
          <cell r="L4500">
            <v>0</v>
          </cell>
          <cell r="M4500">
            <v>0</v>
          </cell>
          <cell r="N4500">
            <v>0</v>
          </cell>
          <cell r="O4500">
            <v>0</v>
          </cell>
          <cell r="P4500">
            <v>0</v>
          </cell>
          <cell r="Q4500">
            <v>0</v>
          </cell>
          <cell r="R4500">
            <v>0</v>
          </cell>
          <cell r="S4500">
            <v>0</v>
          </cell>
          <cell r="T4500">
            <v>46101</v>
          </cell>
          <cell r="U4500">
            <v>0</v>
          </cell>
          <cell r="V4500">
            <v>0</v>
          </cell>
          <cell r="W4500">
            <v>0</v>
          </cell>
        </row>
        <row r="4501">
          <cell r="A4501" t="str">
            <v>450340</v>
          </cell>
          <cell r="B4501" t="str">
            <v>1254</v>
          </cell>
          <cell r="C4501" t="str">
            <v>12</v>
          </cell>
          <cell r="D4501" t="str">
            <v>21</v>
          </cell>
          <cell r="E4501">
            <v>65</v>
          </cell>
          <cell r="G4501">
            <v>853333</v>
          </cell>
          <cell r="H4501">
            <v>0</v>
          </cell>
          <cell r="I4501">
            <v>0</v>
          </cell>
          <cell r="J4501">
            <v>0</v>
          </cell>
          <cell r="K4501">
            <v>0</v>
          </cell>
          <cell r="L4501">
            <v>46625</v>
          </cell>
          <cell r="M4501">
            <v>0</v>
          </cell>
          <cell r="N4501">
            <v>46625</v>
          </cell>
          <cell r="O4501">
            <v>0</v>
          </cell>
          <cell r="P4501">
            <v>46625</v>
          </cell>
          <cell r="Q4501">
            <v>0</v>
          </cell>
          <cell r="R4501">
            <v>0</v>
          </cell>
          <cell r="S4501">
            <v>0</v>
          </cell>
          <cell r="T4501">
            <v>0</v>
          </cell>
          <cell r="U4501">
            <v>0</v>
          </cell>
          <cell r="V4501">
            <v>0</v>
          </cell>
          <cell r="W4501">
            <v>0</v>
          </cell>
        </row>
        <row r="4502">
          <cell r="A4502" t="str">
            <v>450340</v>
          </cell>
          <cell r="B4502" t="str">
            <v>1254</v>
          </cell>
          <cell r="C4502" t="str">
            <v>12</v>
          </cell>
          <cell r="D4502" t="str">
            <v>21</v>
          </cell>
          <cell r="E4502">
            <v>1</v>
          </cell>
          <cell r="G4502">
            <v>853344</v>
          </cell>
          <cell r="H4502">
            <v>0</v>
          </cell>
          <cell r="I4502">
            <v>0</v>
          </cell>
          <cell r="J4502">
            <v>0</v>
          </cell>
          <cell r="K4502">
            <v>0</v>
          </cell>
          <cell r="L4502">
            <v>0</v>
          </cell>
          <cell r="M4502">
            <v>1064</v>
          </cell>
          <cell r="N4502">
            <v>0</v>
          </cell>
          <cell r="O4502">
            <v>0</v>
          </cell>
          <cell r="P4502">
            <v>0</v>
          </cell>
          <cell r="Q4502">
            <v>0</v>
          </cell>
          <cell r="R4502">
            <v>0</v>
          </cell>
          <cell r="S4502">
            <v>0</v>
          </cell>
          <cell r="T4502">
            <v>0</v>
          </cell>
          <cell r="U4502">
            <v>0</v>
          </cell>
          <cell r="V4502">
            <v>0</v>
          </cell>
          <cell r="W4502">
            <v>0</v>
          </cell>
        </row>
        <row r="4503">
          <cell r="A4503" t="str">
            <v>450340</v>
          </cell>
          <cell r="B4503" t="str">
            <v>1254</v>
          </cell>
          <cell r="C4503" t="str">
            <v>12</v>
          </cell>
          <cell r="D4503" t="str">
            <v>21</v>
          </cell>
          <cell r="E4503">
            <v>17</v>
          </cell>
          <cell r="G4503">
            <v>853344</v>
          </cell>
          <cell r="H4503">
            <v>0</v>
          </cell>
          <cell r="I4503">
            <v>0</v>
          </cell>
          <cell r="J4503">
            <v>0</v>
          </cell>
          <cell r="K4503">
            <v>0</v>
          </cell>
          <cell r="L4503">
            <v>0</v>
          </cell>
          <cell r="M4503">
            <v>0</v>
          </cell>
          <cell r="N4503">
            <v>0</v>
          </cell>
          <cell r="O4503">
            <v>0</v>
          </cell>
          <cell r="P4503">
            <v>0</v>
          </cell>
          <cell r="Q4503">
            <v>0</v>
          </cell>
          <cell r="R4503">
            <v>0</v>
          </cell>
          <cell r="S4503">
            <v>0</v>
          </cell>
          <cell r="T4503">
            <v>0</v>
          </cell>
          <cell r="U4503">
            <v>0</v>
          </cell>
          <cell r="V4503">
            <v>0</v>
          </cell>
          <cell r="W4503">
            <v>0</v>
          </cell>
        </row>
        <row r="4504">
          <cell r="A4504" t="str">
            <v>450340</v>
          </cell>
          <cell r="B4504" t="str">
            <v>1254</v>
          </cell>
          <cell r="C4504" t="str">
            <v>12</v>
          </cell>
          <cell r="D4504" t="str">
            <v>21</v>
          </cell>
          <cell r="E4504">
            <v>33</v>
          </cell>
          <cell r="G4504">
            <v>853344</v>
          </cell>
          <cell r="H4504">
            <v>0</v>
          </cell>
          <cell r="I4504">
            <v>0</v>
          </cell>
          <cell r="J4504">
            <v>0</v>
          </cell>
          <cell r="K4504">
            <v>0</v>
          </cell>
          <cell r="L4504">
            <v>0</v>
          </cell>
          <cell r="M4504">
            <v>0</v>
          </cell>
          <cell r="N4504">
            <v>0</v>
          </cell>
          <cell r="O4504">
            <v>0</v>
          </cell>
          <cell r="P4504">
            <v>0</v>
          </cell>
          <cell r="Q4504">
            <v>0</v>
          </cell>
          <cell r="R4504">
            <v>3018</v>
          </cell>
          <cell r="S4504">
            <v>0</v>
          </cell>
          <cell r="T4504">
            <v>3018</v>
          </cell>
          <cell r="U4504">
            <v>0</v>
          </cell>
          <cell r="V4504">
            <v>0</v>
          </cell>
          <cell r="W4504">
            <v>0</v>
          </cell>
        </row>
        <row r="4505">
          <cell r="A4505" t="str">
            <v>450340</v>
          </cell>
          <cell r="B4505" t="str">
            <v>1254</v>
          </cell>
          <cell r="C4505" t="str">
            <v>12</v>
          </cell>
          <cell r="D4505" t="str">
            <v>21</v>
          </cell>
          <cell r="E4505">
            <v>49</v>
          </cell>
          <cell r="G4505">
            <v>853344</v>
          </cell>
          <cell r="H4505">
            <v>0</v>
          </cell>
          <cell r="I4505">
            <v>0</v>
          </cell>
          <cell r="J4505">
            <v>0</v>
          </cell>
          <cell r="K4505">
            <v>0</v>
          </cell>
          <cell r="L4505">
            <v>0</v>
          </cell>
          <cell r="M4505">
            <v>0</v>
          </cell>
          <cell r="N4505">
            <v>0</v>
          </cell>
          <cell r="O4505">
            <v>0</v>
          </cell>
          <cell r="P4505">
            <v>0</v>
          </cell>
          <cell r="Q4505">
            <v>3018</v>
          </cell>
          <cell r="R4505">
            <v>3018</v>
          </cell>
          <cell r="S4505">
            <v>0</v>
          </cell>
          <cell r="T4505">
            <v>28493</v>
          </cell>
          <cell r="U4505">
            <v>0</v>
          </cell>
          <cell r="V4505">
            <v>0</v>
          </cell>
          <cell r="W4505">
            <v>0</v>
          </cell>
        </row>
        <row r="4506">
          <cell r="A4506" t="str">
            <v>450340</v>
          </cell>
          <cell r="B4506" t="str">
            <v>1254</v>
          </cell>
          <cell r="C4506" t="str">
            <v>12</v>
          </cell>
          <cell r="D4506" t="str">
            <v>21</v>
          </cell>
          <cell r="E4506">
            <v>65</v>
          </cell>
          <cell r="G4506">
            <v>853344</v>
          </cell>
          <cell r="H4506">
            <v>0</v>
          </cell>
          <cell r="I4506">
            <v>0</v>
          </cell>
          <cell r="J4506">
            <v>0</v>
          </cell>
          <cell r="K4506">
            <v>0</v>
          </cell>
          <cell r="L4506">
            <v>32575</v>
          </cell>
          <cell r="M4506">
            <v>0</v>
          </cell>
          <cell r="N4506">
            <v>32575</v>
          </cell>
          <cell r="O4506">
            <v>0</v>
          </cell>
          <cell r="P4506">
            <v>32575</v>
          </cell>
          <cell r="Q4506">
            <v>0</v>
          </cell>
          <cell r="R4506">
            <v>0</v>
          </cell>
          <cell r="S4506">
            <v>0</v>
          </cell>
          <cell r="T4506">
            <v>0</v>
          </cell>
          <cell r="U4506">
            <v>0</v>
          </cell>
          <cell r="V4506">
            <v>0</v>
          </cell>
          <cell r="W4506">
            <v>0</v>
          </cell>
        </row>
        <row r="4507">
          <cell r="A4507" t="str">
            <v>450340</v>
          </cell>
          <cell r="B4507" t="str">
            <v>1254</v>
          </cell>
          <cell r="C4507" t="str">
            <v>12</v>
          </cell>
          <cell r="D4507" t="str">
            <v>21</v>
          </cell>
          <cell r="E4507">
            <v>1</v>
          </cell>
          <cell r="G4507">
            <v>853355</v>
          </cell>
          <cell r="H4507">
            <v>0</v>
          </cell>
          <cell r="I4507">
            <v>0</v>
          </cell>
          <cell r="J4507">
            <v>0</v>
          </cell>
          <cell r="K4507">
            <v>0</v>
          </cell>
          <cell r="L4507">
            <v>0</v>
          </cell>
          <cell r="M4507">
            <v>170</v>
          </cell>
          <cell r="N4507">
            <v>0</v>
          </cell>
          <cell r="O4507">
            <v>0</v>
          </cell>
          <cell r="P4507">
            <v>0</v>
          </cell>
          <cell r="Q4507">
            <v>0</v>
          </cell>
          <cell r="R4507">
            <v>0</v>
          </cell>
          <cell r="S4507">
            <v>0</v>
          </cell>
          <cell r="T4507">
            <v>0</v>
          </cell>
          <cell r="U4507">
            <v>0</v>
          </cell>
          <cell r="V4507">
            <v>0</v>
          </cell>
          <cell r="W4507">
            <v>0</v>
          </cell>
        </row>
        <row r="4508">
          <cell r="A4508" t="str">
            <v>450340</v>
          </cell>
          <cell r="B4508" t="str">
            <v>1254</v>
          </cell>
          <cell r="C4508" t="str">
            <v>12</v>
          </cell>
          <cell r="D4508" t="str">
            <v>21</v>
          </cell>
          <cell r="E4508">
            <v>17</v>
          </cell>
          <cell r="G4508">
            <v>853355</v>
          </cell>
          <cell r="H4508">
            <v>0</v>
          </cell>
          <cell r="I4508">
            <v>0</v>
          </cell>
          <cell r="J4508">
            <v>0</v>
          </cell>
          <cell r="K4508">
            <v>0</v>
          </cell>
          <cell r="L4508">
            <v>0</v>
          </cell>
          <cell r="M4508">
            <v>0</v>
          </cell>
          <cell r="N4508">
            <v>0</v>
          </cell>
          <cell r="O4508">
            <v>0</v>
          </cell>
          <cell r="P4508">
            <v>0</v>
          </cell>
          <cell r="Q4508">
            <v>0</v>
          </cell>
          <cell r="R4508">
            <v>0</v>
          </cell>
          <cell r="S4508">
            <v>0</v>
          </cell>
          <cell r="T4508">
            <v>0</v>
          </cell>
          <cell r="U4508">
            <v>0</v>
          </cell>
          <cell r="V4508">
            <v>0</v>
          </cell>
          <cell r="W4508">
            <v>0</v>
          </cell>
        </row>
        <row r="4509">
          <cell r="A4509" t="str">
            <v>450340</v>
          </cell>
          <cell r="B4509" t="str">
            <v>1254</v>
          </cell>
          <cell r="C4509" t="str">
            <v>12</v>
          </cell>
          <cell r="D4509" t="str">
            <v>21</v>
          </cell>
          <cell r="E4509">
            <v>33</v>
          </cell>
          <cell r="G4509">
            <v>853355</v>
          </cell>
          <cell r="H4509">
            <v>0</v>
          </cell>
          <cell r="I4509">
            <v>0</v>
          </cell>
          <cell r="J4509">
            <v>0</v>
          </cell>
          <cell r="K4509">
            <v>0</v>
          </cell>
          <cell r="L4509">
            <v>0</v>
          </cell>
          <cell r="M4509">
            <v>0</v>
          </cell>
          <cell r="N4509">
            <v>0</v>
          </cell>
          <cell r="O4509">
            <v>0</v>
          </cell>
          <cell r="P4509">
            <v>0</v>
          </cell>
          <cell r="Q4509">
            <v>0</v>
          </cell>
          <cell r="R4509">
            <v>0</v>
          </cell>
          <cell r="S4509">
            <v>0</v>
          </cell>
          <cell r="T4509">
            <v>0</v>
          </cell>
          <cell r="U4509">
            <v>0</v>
          </cell>
          <cell r="V4509">
            <v>0</v>
          </cell>
          <cell r="W4509">
            <v>0</v>
          </cell>
        </row>
        <row r="4510">
          <cell r="A4510" t="str">
            <v>450340</v>
          </cell>
          <cell r="B4510" t="str">
            <v>1254</v>
          </cell>
          <cell r="C4510" t="str">
            <v>12</v>
          </cell>
          <cell r="D4510" t="str">
            <v>21</v>
          </cell>
          <cell r="E4510">
            <v>49</v>
          </cell>
          <cell r="G4510">
            <v>853355</v>
          </cell>
          <cell r="H4510">
            <v>0</v>
          </cell>
          <cell r="I4510">
            <v>0</v>
          </cell>
          <cell r="J4510">
            <v>0</v>
          </cell>
          <cell r="K4510">
            <v>0</v>
          </cell>
          <cell r="L4510">
            <v>0</v>
          </cell>
          <cell r="M4510">
            <v>0</v>
          </cell>
          <cell r="N4510">
            <v>0</v>
          </cell>
          <cell r="O4510">
            <v>0</v>
          </cell>
          <cell r="P4510">
            <v>0</v>
          </cell>
          <cell r="Q4510">
            <v>0</v>
          </cell>
          <cell r="R4510">
            <v>0</v>
          </cell>
          <cell r="S4510">
            <v>0</v>
          </cell>
          <cell r="T4510">
            <v>7196</v>
          </cell>
          <cell r="U4510">
            <v>0</v>
          </cell>
          <cell r="V4510">
            <v>0</v>
          </cell>
          <cell r="W4510">
            <v>0</v>
          </cell>
        </row>
        <row r="4511">
          <cell r="A4511" t="str">
            <v>450340</v>
          </cell>
          <cell r="B4511" t="str">
            <v>1254</v>
          </cell>
          <cell r="C4511" t="str">
            <v>12</v>
          </cell>
          <cell r="D4511" t="str">
            <v>21</v>
          </cell>
          <cell r="E4511">
            <v>65</v>
          </cell>
          <cell r="G4511">
            <v>853355</v>
          </cell>
          <cell r="H4511">
            <v>0</v>
          </cell>
          <cell r="I4511">
            <v>0</v>
          </cell>
          <cell r="J4511">
            <v>0</v>
          </cell>
          <cell r="K4511">
            <v>0</v>
          </cell>
          <cell r="L4511">
            <v>7366</v>
          </cell>
          <cell r="M4511">
            <v>0</v>
          </cell>
          <cell r="N4511">
            <v>7366</v>
          </cell>
          <cell r="O4511">
            <v>0</v>
          </cell>
          <cell r="P4511">
            <v>7366</v>
          </cell>
          <cell r="Q4511">
            <v>0</v>
          </cell>
          <cell r="R4511">
            <v>0</v>
          </cell>
          <cell r="S4511">
            <v>0</v>
          </cell>
          <cell r="T4511">
            <v>0</v>
          </cell>
          <cell r="U4511">
            <v>0</v>
          </cell>
          <cell r="V4511">
            <v>0</v>
          </cell>
          <cell r="W4511">
            <v>0</v>
          </cell>
        </row>
        <row r="4512">
          <cell r="A4512" t="str">
            <v>450340</v>
          </cell>
          <cell r="B4512" t="str">
            <v>1254</v>
          </cell>
          <cell r="C4512" t="str">
            <v>12</v>
          </cell>
          <cell r="D4512" t="str">
            <v>21</v>
          </cell>
          <cell r="E4512">
            <v>1</v>
          </cell>
          <cell r="G4512">
            <v>901116</v>
          </cell>
          <cell r="H4512">
            <v>0</v>
          </cell>
          <cell r="I4512">
            <v>0</v>
          </cell>
          <cell r="J4512">
            <v>0</v>
          </cell>
          <cell r="K4512">
            <v>0</v>
          </cell>
          <cell r="L4512">
            <v>0</v>
          </cell>
          <cell r="M4512">
            <v>9898</v>
          </cell>
          <cell r="N4512">
            <v>873</v>
          </cell>
          <cell r="O4512">
            <v>0</v>
          </cell>
          <cell r="P4512">
            <v>0</v>
          </cell>
          <cell r="Q4512">
            <v>0</v>
          </cell>
          <cell r="R4512">
            <v>0</v>
          </cell>
          <cell r="S4512">
            <v>1708</v>
          </cell>
          <cell r="T4512">
            <v>0</v>
          </cell>
          <cell r="U4512">
            <v>1708</v>
          </cell>
          <cell r="V4512">
            <v>0</v>
          </cell>
          <cell r="W4512">
            <v>0</v>
          </cell>
        </row>
        <row r="4513">
          <cell r="A4513" t="str">
            <v>450340</v>
          </cell>
          <cell r="B4513" t="str">
            <v>1254</v>
          </cell>
          <cell r="C4513" t="str">
            <v>12</v>
          </cell>
          <cell r="D4513" t="str">
            <v>21</v>
          </cell>
          <cell r="E4513">
            <v>17</v>
          </cell>
          <cell r="G4513">
            <v>901116</v>
          </cell>
          <cell r="H4513">
            <v>0</v>
          </cell>
          <cell r="I4513">
            <v>0</v>
          </cell>
          <cell r="J4513">
            <v>0</v>
          </cell>
          <cell r="K4513">
            <v>0</v>
          </cell>
          <cell r="L4513">
            <v>0</v>
          </cell>
          <cell r="M4513">
            <v>0</v>
          </cell>
          <cell r="N4513">
            <v>1708</v>
          </cell>
          <cell r="O4513">
            <v>0</v>
          </cell>
          <cell r="P4513">
            <v>142</v>
          </cell>
          <cell r="Q4513">
            <v>0</v>
          </cell>
          <cell r="R4513">
            <v>0</v>
          </cell>
          <cell r="S4513">
            <v>0</v>
          </cell>
          <cell r="T4513">
            <v>0</v>
          </cell>
          <cell r="U4513">
            <v>0</v>
          </cell>
          <cell r="V4513">
            <v>0</v>
          </cell>
          <cell r="W4513">
            <v>0</v>
          </cell>
        </row>
        <row r="4514">
          <cell r="A4514" t="str">
            <v>450340</v>
          </cell>
          <cell r="B4514" t="str">
            <v>1254</v>
          </cell>
          <cell r="C4514" t="str">
            <v>12</v>
          </cell>
          <cell r="D4514" t="str">
            <v>21</v>
          </cell>
          <cell r="E4514">
            <v>33</v>
          </cell>
          <cell r="G4514">
            <v>901116</v>
          </cell>
          <cell r="H4514">
            <v>0</v>
          </cell>
          <cell r="I4514">
            <v>0</v>
          </cell>
          <cell r="J4514">
            <v>0</v>
          </cell>
          <cell r="K4514">
            <v>0</v>
          </cell>
          <cell r="L4514">
            <v>0</v>
          </cell>
          <cell r="M4514">
            <v>0</v>
          </cell>
          <cell r="N4514">
            <v>142</v>
          </cell>
          <cell r="O4514">
            <v>0</v>
          </cell>
          <cell r="P4514">
            <v>22999</v>
          </cell>
          <cell r="Q4514">
            <v>0</v>
          </cell>
          <cell r="R4514">
            <v>0</v>
          </cell>
          <cell r="S4514">
            <v>0</v>
          </cell>
          <cell r="T4514">
            <v>0</v>
          </cell>
          <cell r="U4514">
            <v>0</v>
          </cell>
          <cell r="V4514">
            <v>140000</v>
          </cell>
          <cell r="W4514">
            <v>0</v>
          </cell>
        </row>
        <row r="4515">
          <cell r="A4515" t="str">
            <v>450340</v>
          </cell>
          <cell r="B4515" t="str">
            <v>1254</v>
          </cell>
          <cell r="C4515" t="str">
            <v>12</v>
          </cell>
          <cell r="D4515" t="str">
            <v>21</v>
          </cell>
          <cell r="E4515">
            <v>49</v>
          </cell>
          <cell r="G4515">
            <v>901116</v>
          </cell>
          <cell r="H4515">
            <v>0</v>
          </cell>
          <cell r="I4515">
            <v>0</v>
          </cell>
          <cell r="J4515">
            <v>0</v>
          </cell>
          <cell r="K4515">
            <v>0</v>
          </cell>
          <cell r="L4515">
            <v>0</v>
          </cell>
          <cell r="M4515">
            <v>0</v>
          </cell>
          <cell r="N4515">
            <v>0</v>
          </cell>
          <cell r="O4515">
            <v>0</v>
          </cell>
          <cell r="P4515">
            <v>0</v>
          </cell>
          <cell r="Q4515">
            <v>162999</v>
          </cell>
          <cell r="R4515">
            <v>163141</v>
          </cell>
          <cell r="S4515">
            <v>0</v>
          </cell>
          <cell r="T4515">
            <v>0</v>
          </cell>
          <cell r="U4515">
            <v>0</v>
          </cell>
          <cell r="V4515">
            <v>0</v>
          </cell>
          <cell r="W4515">
            <v>30</v>
          </cell>
        </row>
        <row r="4516">
          <cell r="A4516" t="str">
            <v>450340</v>
          </cell>
          <cell r="B4516" t="str">
            <v>1254</v>
          </cell>
          <cell r="C4516" t="str">
            <v>12</v>
          </cell>
          <cell r="D4516" t="str">
            <v>21</v>
          </cell>
          <cell r="E4516">
            <v>65</v>
          </cell>
          <cell r="G4516">
            <v>901116</v>
          </cell>
          <cell r="H4516">
            <v>0</v>
          </cell>
          <cell r="I4516">
            <v>0</v>
          </cell>
          <cell r="J4516">
            <v>0</v>
          </cell>
          <cell r="K4516">
            <v>0</v>
          </cell>
          <cell r="L4516">
            <v>175650</v>
          </cell>
          <cell r="M4516">
            <v>0</v>
          </cell>
          <cell r="N4516">
            <v>175650</v>
          </cell>
          <cell r="O4516">
            <v>28000</v>
          </cell>
          <cell r="P4516">
            <v>203650</v>
          </cell>
          <cell r="Q4516">
            <v>0</v>
          </cell>
          <cell r="R4516">
            <v>0</v>
          </cell>
          <cell r="S4516">
            <v>0</v>
          </cell>
          <cell r="T4516">
            <v>0</v>
          </cell>
          <cell r="U4516">
            <v>0</v>
          </cell>
          <cell r="V4516">
            <v>0</v>
          </cell>
          <cell r="W4516">
            <v>0</v>
          </cell>
        </row>
        <row r="4517">
          <cell r="A4517" t="str">
            <v>450340</v>
          </cell>
          <cell r="B4517" t="str">
            <v>1254</v>
          </cell>
          <cell r="C4517" t="str">
            <v>12</v>
          </cell>
          <cell r="D4517" t="str">
            <v>21</v>
          </cell>
          <cell r="E4517">
            <v>1</v>
          </cell>
          <cell r="G4517">
            <v>902113</v>
          </cell>
          <cell r="H4517">
            <v>0</v>
          </cell>
          <cell r="I4517">
            <v>0</v>
          </cell>
          <cell r="J4517">
            <v>0</v>
          </cell>
          <cell r="K4517">
            <v>0</v>
          </cell>
          <cell r="L4517">
            <v>0</v>
          </cell>
          <cell r="M4517">
            <v>42582</v>
          </cell>
          <cell r="N4517">
            <v>0</v>
          </cell>
          <cell r="O4517">
            <v>0</v>
          </cell>
          <cell r="P4517">
            <v>0</v>
          </cell>
          <cell r="Q4517">
            <v>0</v>
          </cell>
          <cell r="R4517">
            <v>0</v>
          </cell>
          <cell r="S4517">
            <v>0</v>
          </cell>
          <cell r="T4517">
            <v>0</v>
          </cell>
          <cell r="U4517">
            <v>0</v>
          </cell>
          <cell r="V4517">
            <v>0</v>
          </cell>
          <cell r="W4517">
            <v>0</v>
          </cell>
        </row>
        <row r="4518">
          <cell r="A4518" t="str">
            <v>450340</v>
          </cell>
          <cell r="B4518" t="str">
            <v>1254</v>
          </cell>
          <cell r="C4518" t="str">
            <v>12</v>
          </cell>
          <cell r="D4518" t="str">
            <v>21</v>
          </cell>
          <cell r="E4518">
            <v>17</v>
          </cell>
          <cell r="G4518">
            <v>902113</v>
          </cell>
          <cell r="H4518">
            <v>0</v>
          </cell>
          <cell r="I4518">
            <v>0</v>
          </cell>
          <cell r="J4518">
            <v>0</v>
          </cell>
          <cell r="K4518">
            <v>0</v>
          </cell>
          <cell r="L4518">
            <v>0</v>
          </cell>
          <cell r="M4518">
            <v>0</v>
          </cell>
          <cell r="N4518">
            <v>0</v>
          </cell>
          <cell r="O4518">
            <v>0</v>
          </cell>
          <cell r="P4518">
            <v>0</v>
          </cell>
          <cell r="Q4518">
            <v>0</v>
          </cell>
          <cell r="R4518">
            <v>0</v>
          </cell>
          <cell r="S4518">
            <v>0</v>
          </cell>
          <cell r="T4518">
            <v>0</v>
          </cell>
          <cell r="U4518">
            <v>0</v>
          </cell>
          <cell r="V4518">
            <v>0</v>
          </cell>
          <cell r="W4518">
            <v>0</v>
          </cell>
        </row>
        <row r="4519">
          <cell r="A4519" t="str">
            <v>450340</v>
          </cell>
          <cell r="B4519" t="str">
            <v>1254</v>
          </cell>
          <cell r="C4519" t="str">
            <v>12</v>
          </cell>
          <cell r="D4519" t="str">
            <v>21</v>
          </cell>
          <cell r="E4519">
            <v>33</v>
          </cell>
          <cell r="G4519">
            <v>902113</v>
          </cell>
          <cell r="H4519">
            <v>0</v>
          </cell>
          <cell r="I4519">
            <v>0</v>
          </cell>
          <cell r="J4519">
            <v>0</v>
          </cell>
          <cell r="K4519">
            <v>0</v>
          </cell>
          <cell r="L4519">
            <v>0</v>
          </cell>
          <cell r="M4519">
            <v>0</v>
          </cell>
          <cell r="N4519">
            <v>0</v>
          </cell>
          <cell r="O4519">
            <v>0</v>
          </cell>
          <cell r="P4519">
            <v>0</v>
          </cell>
          <cell r="Q4519">
            <v>0</v>
          </cell>
          <cell r="R4519">
            <v>0</v>
          </cell>
          <cell r="S4519">
            <v>0</v>
          </cell>
          <cell r="T4519">
            <v>0</v>
          </cell>
          <cell r="U4519">
            <v>0</v>
          </cell>
          <cell r="V4519">
            <v>0</v>
          </cell>
          <cell r="W4519">
            <v>411</v>
          </cell>
        </row>
        <row r="4520">
          <cell r="A4520" t="str">
            <v>450340</v>
          </cell>
          <cell r="B4520" t="str">
            <v>1254</v>
          </cell>
          <cell r="C4520" t="str">
            <v>12</v>
          </cell>
          <cell r="D4520" t="str">
            <v>21</v>
          </cell>
          <cell r="E4520">
            <v>49</v>
          </cell>
          <cell r="G4520">
            <v>902113</v>
          </cell>
          <cell r="H4520">
            <v>0</v>
          </cell>
          <cell r="I4520">
            <v>411</v>
          </cell>
          <cell r="J4520">
            <v>0</v>
          </cell>
          <cell r="K4520">
            <v>0</v>
          </cell>
          <cell r="L4520">
            <v>411</v>
          </cell>
          <cell r="M4520">
            <v>0</v>
          </cell>
          <cell r="N4520">
            <v>0</v>
          </cell>
          <cell r="O4520">
            <v>0</v>
          </cell>
          <cell r="P4520">
            <v>0</v>
          </cell>
          <cell r="Q4520">
            <v>411</v>
          </cell>
          <cell r="R4520">
            <v>411</v>
          </cell>
          <cell r="S4520">
            <v>0</v>
          </cell>
          <cell r="T4520">
            <v>0</v>
          </cell>
          <cell r="U4520">
            <v>0</v>
          </cell>
          <cell r="V4520">
            <v>0</v>
          </cell>
          <cell r="W4520">
            <v>21164</v>
          </cell>
        </row>
        <row r="4521">
          <cell r="A4521" t="str">
            <v>450340</v>
          </cell>
          <cell r="B4521" t="str">
            <v>1254</v>
          </cell>
          <cell r="C4521" t="str">
            <v>12</v>
          </cell>
          <cell r="D4521" t="str">
            <v>21</v>
          </cell>
          <cell r="E4521">
            <v>65</v>
          </cell>
          <cell r="G4521">
            <v>902113</v>
          </cell>
          <cell r="H4521">
            <v>0</v>
          </cell>
          <cell r="I4521">
            <v>4160</v>
          </cell>
          <cell r="J4521">
            <v>0</v>
          </cell>
          <cell r="K4521">
            <v>0</v>
          </cell>
          <cell r="L4521">
            <v>68317</v>
          </cell>
          <cell r="M4521">
            <v>0</v>
          </cell>
          <cell r="N4521">
            <v>68317</v>
          </cell>
          <cell r="O4521">
            <v>374</v>
          </cell>
          <cell r="P4521">
            <v>68691</v>
          </cell>
          <cell r="Q4521">
            <v>0</v>
          </cell>
          <cell r="R4521">
            <v>0</v>
          </cell>
          <cell r="S4521">
            <v>0</v>
          </cell>
          <cell r="T4521">
            <v>0</v>
          </cell>
          <cell r="U4521">
            <v>0</v>
          </cell>
          <cell r="V4521">
            <v>0</v>
          </cell>
          <cell r="W4521">
            <v>0</v>
          </cell>
        </row>
        <row r="4522">
          <cell r="A4522" t="str">
            <v>450340</v>
          </cell>
          <cell r="B4522" t="str">
            <v>1254</v>
          </cell>
          <cell r="C4522" t="str">
            <v>12</v>
          </cell>
          <cell r="D4522" t="str">
            <v>21</v>
          </cell>
          <cell r="E4522">
            <v>1</v>
          </cell>
          <cell r="G4522">
            <v>924047</v>
          </cell>
          <cell r="H4522">
            <v>0</v>
          </cell>
          <cell r="I4522">
            <v>0</v>
          </cell>
          <cell r="J4522">
            <v>156</v>
          </cell>
          <cell r="K4522">
            <v>156</v>
          </cell>
          <cell r="L4522">
            <v>18</v>
          </cell>
          <cell r="M4522">
            <v>78</v>
          </cell>
          <cell r="N4522">
            <v>0</v>
          </cell>
          <cell r="O4522">
            <v>0</v>
          </cell>
          <cell r="P4522">
            <v>0</v>
          </cell>
          <cell r="Q4522">
            <v>0</v>
          </cell>
          <cell r="R4522">
            <v>0</v>
          </cell>
          <cell r="S4522">
            <v>0</v>
          </cell>
          <cell r="T4522">
            <v>0</v>
          </cell>
          <cell r="U4522">
            <v>0</v>
          </cell>
          <cell r="V4522">
            <v>0</v>
          </cell>
          <cell r="W4522">
            <v>0</v>
          </cell>
        </row>
        <row r="4523">
          <cell r="A4523" t="str">
            <v>450340</v>
          </cell>
          <cell r="B4523" t="str">
            <v>1254</v>
          </cell>
          <cell r="C4523" t="str">
            <v>12</v>
          </cell>
          <cell r="D4523" t="str">
            <v>21</v>
          </cell>
          <cell r="E4523">
            <v>17</v>
          </cell>
          <cell r="G4523">
            <v>924047</v>
          </cell>
          <cell r="H4523">
            <v>0</v>
          </cell>
          <cell r="I4523">
            <v>0</v>
          </cell>
          <cell r="J4523">
            <v>0</v>
          </cell>
          <cell r="K4523">
            <v>0</v>
          </cell>
          <cell r="L4523">
            <v>0</v>
          </cell>
          <cell r="M4523">
            <v>0</v>
          </cell>
          <cell r="N4523">
            <v>0</v>
          </cell>
          <cell r="O4523">
            <v>0</v>
          </cell>
          <cell r="P4523">
            <v>20820</v>
          </cell>
          <cell r="Q4523">
            <v>0</v>
          </cell>
          <cell r="R4523">
            <v>0</v>
          </cell>
          <cell r="S4523">
            <v>0</v>
          </cell>
          <cell r="T4523">
            <v>0</v>
          </cell>
          <cell r="U4523">
            <v>0</v>
          </cell>
          <cell r="V4523">
            <v>0</v>
          </cell>
          <cell r="W4523">
            <v>0</v>
          </cell>
        </row>
        <row r="4524">
          <cell r="A4524" t="str">
            <v>450340</v>
          </cell>
          <cell r="B4524" t="str">
            <v>1254</v>
          </cell>
          <cell r="C4524" t="str">
            <v>12</v>
          </cell>
          <cell r="D4524" t="str">
            <v>21</v>
          </cell>
          <cell r="E4524">
            <v>33</v>
          </cell>
          <cell r="G4524">
            <v>924047</v>
          </cell>
          <cell r="H4524">
            <v>0</v>
          </cell>
          <cell r="I4524">
            <v>0</v>
          </cell>
          <cell r="J4524">
            <v>0</v>
          </cell>
          <cell r="K4524">
            <v>0</v>
          </cell>
          <cell r="L4524">
            <v>0</v>
          </cell>
          <cell r="M4524">
            <v>0</v>
          </cell>
          <cell r="N4524">
            <v>20820</v>
          </cell>
          <cell r="O4524">
            <v>0</v>
          </cell>
          <cell r="P4524">
            <v>0</v>
          </cell>
          <cell r="Q4524">
            <v>0</v>
          </cell>
          <cell r="R4524">
            <v>0</v>
          </cell>
          <cell r="S4524">
            <v>0</v>
          </cell>
          <cell r="T4524">
            <v>0</v>
          </cell>
          <cell r="U4524">
            <v>0</v>
          </cell>
          <cell r="V4524">
            <v>0</v>
          </cell>
          <cell r="W4524">
            <v>0</v>
          </cell>
        </row>
        <row r="4525">
          <cell r="A4525" t="str">
            <v>450340</v>
          </cell>
          <cell r="B4525" t="str">
            <v>1254</v>
          </cell>
          <cell r="C4525" t="str">
            <v>12</v>
          </cell>
          <cell r="D4525" t="str">
            <v>21</v>
          </cell>
          <cell r="E4525">
            <v>49</v>
          </cell>
          <cell r="G4525">
            <v>924047</v>
          </cell>
          <cell r="H4525">
            <v>0</v>
          </cell>
          <cell r="I4525">
            <v>0</v>
          </cell>
          <cell r="J4525">
            <v>0</v>
          </cell>
          <cell r="K4525">
            <v>0</v>
          </cell>
          <cell r="L4525">
            <v>0</v>
          </cell>
          <cell r="M4525">
            <v>0</v>
          </cell>
          <cell r="N4525">
            <v>0</v>
          </cell>
          <cell r="O4525">
            <v>0</v>
          </cell>
          <cell r="P4525">
            <v>0</v>
          </cell>
          <cell r="Q4525">
            <v>0</v>
          </cell>
          <cell r="R4525">
            <v>20820</v>
          </cell>
          <cell r="S4525">
            <v>0</v>
          </cell>
          <cell r="T4525">
            <v>0</v>
          </cell>
          <cell r="U4525">
            <v>0</v>
          </cell>
          <cell r="V4525">
            <v>395</v>
          </cell>
          <cell r="W4525">
            <v>80745</v>
          </cell>
        </row>
        <row r="4526">
          <cell r="A4526" t="str">
            <v>450340</v>
          </cell>
          <cell r="B4526" t="str">
            <v>1254</v>
          </cell>
          <cell r="C4526" t="str">
            <v>12</v>
          </cell>
          <cell r="D4526" t="str">
            <v>21</v>
          </cell>
          <cell r="E4526">
            <v>65</v>
          </cell>
          <cell r="G4526">
            <v>924047</v>
          </cell>
          <cell r="H4526">
            <v>0</v>
          </cell>
          <cell r="I4526">
            <v>16145</v>
          </cell>
          <cell r="J4526">
            <v>0</v>
          </cell>
          <cell r="K4526">
            <v>0</v>
          </cell>
          <cell r="L4526">
            <v>118357</v>
          </cell>
          <cell r="M4526">
            <v>0</v>
          </cell>
          <cell r="N4526">
            <v>118357</v>
          </cell>
          <cell r="O4526">
            <v>0</v>
          </cell>
          <cell r="P4526">
            <v>118357</v>
          </cell>
          <cell r="Q4526">
            <v>0</v>
          </cell>
          <cell r="R4526">
            <v>0</v>
          </cell>
          <cell r="S4526">
            <v>0</v>
          </cell>
          <cell r="T4526">
            <v>0</v>
          </cell>
          <cell r="U4526">
            <v>0</v>
          </cell>
          <cell r="V4526">
            <v>0</v>
          </cell>
          <cell r="W4526">
            <v>0</v>
          </cell>
        </row>
        <row r="4527">
          <cell r="A4527" t="str">
            <v>450340</v>
          </cell>
          <cell r="B4527" t="str">
            <v>1254</v>
          </cell>
          <cell r="C4527" t="str">
            <v>12</v>
          </cell>
          <cell r="D4527" t="str">
            <v>21</v>
          </cell>
          <cell r="E4527">
            <v>1</v>
          </cell>
          <cell r="G4527">
            <v>999999</v>
          </cell>
          <cell r="H4527">
            <v>403239</v>
          </cell>
          <cell r="I4527">
            <v>74320</v>
          </cell>
          <cell r="J4527">
            <v>37595</v>
          </cell>
          <cell r="K4527">
            <v>515154</v>
          </cell>
          <cell r="L4527">
            <v>165977</v>
          </cell>
          <cell r="M4527">
            <v>353016</v>
          </cell>
          <cell r="N4527">
            <v>83628</v>
          </cell>
          <cell r="O4527">
            <v>1496</v>
          </cell>
          <cell r="P4527">
            <v>0</v>
          </cell>
          <cell r="Q4527">
            <v>0</v>
          </cell>
          <cell r="R4527">
            <v>0</v>
          </cell>
          <cell r="S4527">
            <v>14678</v>
          </cell>
          <cell r="T4527">
            <v>0</v>
          </cell>
          <cell r="U4527">
            <v>16174</v>
          </cell>
          <cell r="V4527">
            <v>0</v>
          </cell>
          <cell r="W4527">
            <v>13000</v>
          </cell>
        </row>
        <row r="4528">
          <cell r="A4528" t="str">
            <v>450340</v>
          </cell>
          <cell r="B4528" t="str">
            <v>1254</v>
          </cell>
          <cell r="C4528" t="str">
            <v>12</v>
          </cell>
          <cell r="D4528" t="str">
            <v>21</v>
          </cell>
          <cell r="E4528">
            <v>17</v>
          </cell>
          <cell r="G4528">
            <v>999999</v>
          </cell>
          <cell r="H4528">
            <v>0</v>
          </cell>
          <cell r="I4528">
            <v>0</v>
          </cell>
          <cell r="J4528">
            <v>0</v>
          </cell>
          <cell r="K4528">
            <v>0</v>
          </cell>
          <cell r="L4528">
            <v>0</v>
          </cell>
          <cell r="M4528">
            <v>13000</v>
          </cell>
          <cell r="N4528">
            <v>29174</v>
          </cell>
          <cell r="O4528">
            <v>0</v>
          </cell>
          <cell r="P4528">
            <v>90868</v>
          </cell>
          <cell r="Q4528">
            <v>0</v>
          </cell>
          <cell r="R4528">
            <v>0</v>
          </cell>
          <cell r="S4528">
            <v>0</v>
          </cell>
          <cell r="T4528">
            <v>0</v>
          </cell>
          <cell r="U4528">
            <v>0</v>
          </cell>
          <cell r="V4528">
            <v>0</v>
          </cell>
          <cell r="W4528">
            <v>10000</v>
          </cell>
        </row>
        <row r="4529">
          <cell r="A4529" t="str">
            <v>450340</v>
          </cell>
          <cell r="B4529" t="str">
            <v>1254</v>
          </cell>
          <cell r="C4529" t="str">
            <v>12</v>
          </cell>
          <cell r="D4529" t="str">
            <v>21</v>
          </cell>
          <cell r="E4529">
            <v>33</v>
          </cell>
          <cell r="G4529">
            <v>999999</v>
          </cell>
          <cell r="H4529">
            <v>10736</v>
          </cell>
          <cell r="I4529">
            <v>20736</v>
          </cell>
          <cell r="J4529">
            <v>0</v>
          </cell>
          <cell r="K4529">
            <v>0</v>
          </cell>
          <cell r="L4529">
            <v>0</v>
          </cell>
          <cell r="M4529">
            <v>0</v>
          </cell>
          <cell r="N4529">
            <v>111604</v>
          </cell>
          <cell r="O4529">
            <v>0</v>
          </cell>
          <cell r="P4529">
            <v>22999</v>
          </cell>
          <cell r="Q4529">
            <v>0</v>
          </cell>
          <cell r="R4529">
            <v>3018</v>
          </cell>
          <cell r="S4529">
            <v>36593</v>
          </cell>
          <cell r="T4529">
            <v>39611</v>
          </cell>
          <cell r="U4529">
            <v>0</v>
          </cell>
          <cell r="V4529">
            <v>140000</v>
          </cell>
          <cell r="W4529">
            <v>411</v>
          </cell>
        </row>
        <row r="4530">
          <cell r="A4530" t="str">
            <v>450340</v>
          </cell>
          <cell r="B4530" t="str">
            <v>1254</v>
          </cell>
          <cell r="C4530" t="str">
            <v>12</v>
          </cell>
          <cell r="D4530" t="str">
            <v>21</v>
          </cell>
          <cell r="E4530">
            <v>49</v>
          </cell>
          <cell r="G4530">
            <v>999999</v>
          </cell>
          <cell r="H4530">
            <v>0</v>
          </cell>
          <cell r="I4530">
            <v>411</v>
          </cell>
          <cell r="J4530">
            <v>0</v>
          </cell>
          <cell r="K4530">
            <v>3440</v>
          </cell>
          <cell r="L4530">
            <v>3851</v>
          </cell>
          <cell r="M4530">
            <v>0</v>
          </cell>
          <cell r="N4530">
            <v>0</v>
          </cell>
          <cell r="O4530">
            <v>0</v>
          </cell>
          <cell r="P4530">
            <v>0</v>
          </cell>
          <cell r="Q4530">
            <v>206461</v>
          </cell>
          <cell r="R4530">
            <v>318065</v>
          </cell>
          <cell r="S4530">
            <v>2903091</v>
          </cell>
          <cell r="T4530">
            <v>129771</v>
          </cell>
          <cell r="U4530">
            <v>255</v>
          </cell>
          <cell r="V4530">
            <v>14892</v>
          </cell>
          <cell r="W4530">
            <v>384490</v>
          </cell>
        </row>
        <row r="4531">
          <cell r="A4531" t="str">
            <v>450340</v>
          </cell>
          <cell r="B4531" t="str">
            <v>1254</v>
          </cell>
          <cell r="C4531" t="str">
            <v>12</v>
          </cell>
          <cell r="D4531" t="str">
            <v>21</v>
          </cell>
          <cell r="E4531">
            <v>65</v>
          </cell>
          <cell r="G4531">
            <v>999999</v>
          </cell>
          <cell r="H4531">
            <v>0</v>
          </cell>
          <cell r="I4531">
            <v>74536</v>
          </cell>
          <cell r="J4531">
            <v>0</v>
          </cell>
          <cell r="K4531">
            <v>9050</v>
          </cell>
          <cell r="L4531">
            <v>4981099</v>
          </cell>
          <cell r="M4531">
            <v>0</v>
          </cell>
          <cell r="N4531">
            <v>4981099</v>
          </cell>
          <cell r="O4531">
            <v>179118</v>
          </cell>
          <cell r="P4531">
            <v>5160217</v>
          </cell>
          <cell r="Q4531">
            <v>229</v>
          </cell>
          <cell r="R4531">
            <v>230</v>
          </cell>
          <cell r="S4531">
            <v>58</v>
          </cell>
          <cell r="T4531">
            <v>58</v>
          </cell>
          <cell r="U4531">
            <v>0</v>
          </cell>
          <cell r="V4531">
            <v>0</v>
          </cell>
          <cell r="W4531">
            <v>0</v>
          </cell>
        </row>
        <row r="4532">
          <cell r="A4532" t="str">
            <v>450340</v>
          </cell>
          <cell r="B4532" t="str">
            <v>1254</v>
          </cell>
          <cell r="C4532" t="str">
            <v>12</v>
          </cell>
          <cell r="D4532" t="str">
            <v>22</v>
          </cell>
          <cell r="E4532">
            <v>1</v>
          </cell>
          <cell r="G4532">
            <v>452025</v>
          </cell>
          <cell r="H4532">
            <v>0</v>
          </cell>
          <cell r="I4532">
            <v>800</v>
          </cell>
          <cell r="J4532">
            <v>160</v>
          </cell>
          <cell r="K4532">
            <v>0</v>
          </cell>
          <cell r="L4532">
            <v>0</v>
          </cell>
          <cell r="M4532">
            <v>0</v>
          </cell>
          <cell r="N4532">
            <v>0</v>
          </cell>
          <cell r="O4532">
            <v>0</v>
          </cell>
          <cell r="P4532">
            <v>0</v>
          </cell>
          <cell r="Q4532">
            <v>0</v>
          </cell>
          <cell r="R4532">
            <v>0</v>
          </cell>
          <cell r="S4532">
            <v>0</v>
          </cell>
          <cell r="T4532">
            <v>0</v>
          </cell>
          <cell r="U4532">
            <v>0</v>
          </cell>
          <cell r="V4532">
            <v>0</v>
          </cell>
          <cell r="W4532">
            <v>0</v>
          </cell>
        </row>
        <row r="4533">
          <cell r="A4533" t="str">
            <v>450340</v>
          </cell>
          <cell r="B4533" t="str">
            <v>1254</v>
          </cell>
          <cell r="C4533" t="str">
            <v>12</v>
          </cell>
          <cell r="D4533" t="str">
            <v>22</v>
          </cell>
          <cell r="E4533">
            <v>17</v>
          </cell>
          <cell r="G4533">
            <v>452025</v>
          </cell>
          <cell r="H4533">
            <v>0</v>
          </cell>
          <cell r="I4533">
            <v>0</v>
          </cell>
          <cell r="J4533">
            <v>0</v>
          </cell>
          <cell r="K4533">
            <v>0</v>
          </cell>
          <cell r="L4533">
            <v>0</v>
          </cell>
          <cell r="M4533">
            <v>0</v>
          </cell>
          <cell r="N4533">
            <v>0</v>
          </cell>
          <cell r="O4533">
            <v>0</v>
          </cell>
          <cell r="P4533">
            <v>0</v>
          </cell>
          <cell r="Q4533">
            <v>960</v>
          </cell>
          <cell r="R4533">
            <v>0</v>
          </cell>
          <cell r="S4533">
            <v>0</v>
          </cell>
          <cell r="T4533">
            <v>1997</v>
          </cell>
          <cell r="U4533">
            <v>0</v>
          </cell>
          <cell r="V4533">
            <v>0</v>
          </cell>
          <cell r="W4533">
            <v>0</v>
          </cell>
        </row>
        <row r="4534">
          <cell r="A4534" t="str">
            <v>450340</v>
          </cell>
          <cell r="B4534" t="str">
            <v>1254</v>
          </cell>
          <cell r="C4534" t="str">
            <v>12</v>
          </cell>
          <cell r="D4534" t="str">
            <v>22</v>
          </cell>
          <cell r="E4534">
            <v>33</v>
          </cell>
          <cell r="G4534">
            <v>452025</v>
          </cell>
          <cell r="H4534">
            <v>0</v>
          </cell>
          <cell r="I4534">
            <v>0</v>
          </cell>
          <cell r="J4534">
            <v>1997</v>
          </cell>
          <cell r="K4534">
            <v>0</v>
          </cell>
          <cell r="L4534">
            <v>0</v>
          </cell>
          <cell r="M4534">
            <v>0</v>
          </cell>
          <cell r="N4534">
            <v>0</v>
          </cell>
          <cell r="O4534">
            <v>0</v>
          </cell>
          <cell r="P4534">
            <v>0</v>
          </cell>
          <cell r="Q4534">
            <v>0</v>
          </cell>
          <cell r="R4534">
            <v>0</v>
          </cell>
          <cell r="S4534">
            <v>0</v>
          </cell>
          <cell r="T4534">
            <v>0</v>
          </cell>
          <cell r="U4534">
            <v>0</v>
          </cell>
          <cell r="V4534">
            <v>0</v>
          </cell>
          <cell r="W4534">
            <v>1997</v>
          </cell>
        </row>
        <row r="4535">
          <cell r="A4535" t="str">
            <v>450340</v>
          </cell>
          <cell r="B4535" t="str">
            <v>1254</v>
          </cell>
          <cell r="C4535" t="str">
            <v>12</v>
          </cell>
          <cell r="D4535" t="str">
            <v>22</v>
          </cell>
          <cell r="E4535">
            <v>49</v>
          </cell>
          <cell r="G4535">
            <v>452025</v>
          </cell>
          <cell r="H4535">
            <v>0</v>
          </cell>
          <cell r="I4535">
            <v>0</v>
          </cell>
          <cell r="J4535">
            <v>0</v>
          </cell>
          <cell r="K4535">
            <v>0</v>
          </cell>
          <cell r="L4535">
            <v>0</v>
          </cell>
          <cell r="M4535">
            <v>0</v>
          </cell>
          <cell r="N4535">
            <v>0</v>
          </cell>
          <cell r="O4535">
            <v>2957</v>
          </cell>
          <cell r="P4535">
            <v>0</v>
          </cell>
          <cell r="Q4535">
            <v>2957</v>
          </cell>
          <cell r="R4535">
            <v>0</v>
          </cell>
          <cell r="S4535">
            <v>2957</v>
          </cell>
          <cell r="T4535">
            <v>0</v>
          </cell>
          <cell r="U4535">
            <v>0</v>
          </cell>
          <cell r="V4535">
            <v>0</v>
          </cell>
          <cell r="W4535">
            <v>0</v>
          </cell>
        </row>
        <row r="4536">
          <cell r="A4536" t="str">
            <v>450340</v>
          </cell>
          <cell r="B4536" t="str">
            <v>1254</v>
          </cell>
          <cell r="C4536" t="str">
            <v>12</v>
          </cell>
          <cell r="D4536" t="str">
            <v>22</v>
          </cell>
          <cell r="E4536">
            <v>1</v>
          </cell>
          <cell r="G4536">
            <v>701015</v>
          </cell>
          <cell r="H4536">
            <v>0</v>
          </cell>
          <cell r="I4536">
            <v>8687</v>
          </cell>
          <cell r="J4536">
            <v>32250</v>
          </cell>
          <cell r="K4536">
            <v>0</v>
          </cell>
          <cell r="L4536">
            <v>0</v>
          </cell>
          <cell r="M4536">
            <v>0</v>
          </cell>
          <cell r="N4536">
            <v>0</v>
          </cell>
          <cell r="O4536">
            <v>0</v>
          </cell>
          <cell r="P4536">
            <v>0</v>
          </cell>
          <cell r="Q4536">
            <v>0</v>
          </cell>
          <cell r="R4536">
            <v>0</v>
          </cell>
          <cell r="S4536">
            <v>0</v>
          </cell>
          <cell r="T4536">
            <v>0</v>
          </cell>
          <cell r="U4536">
            <v>0</v>
          </cell>
          <cell r="V4536">
            <v>0</v>
          </cell>
          <cell r="W4536">
            <v>0</v>
          </cell>
        </row>
        <row r="4537">
          <cell r="A4537" t="str">
            <v>450340</v>
          </cell>
          <cell r="B4537" t="str">
            <v>1254</v>
          </cell>
          <cell r="C4537" t="str">
            <v>12</v>
          </cell>
          <cell r="D4537" t="str">
            <v>22</v>
          </cell>
          <cell r="E4537">
            <v>17</v>
          </cell>
          <cell r="G4537">
            <v>701015</v>
          </cell>
          <cell r="H4537">
            <v>0</v>
          </cell>
          <cell r="I4537">
            <v>0</v>
          </cell>
          <cell r="J4537">
            <v>0</v>
          </cell>
          <cell r="K4537">
            <v>0</v>
          </cell>
          <cell r="L4537">
            <v>0</v>
          </cell>
          <cell r="M4537">
            <v>0</v>
          </cell>
          <cell r="N4537">
            <v>0</v>
          </cell>
          <cell r="O4537">
            <v>0</v>
          </cell>
          <cell r="P4537">
            <v>0</v>
          </cell>
          <cell r="Q4537">
            <v>40937</v>
          </cell>
          <cell r="R4537">
            <v>161251</v>
          </cell>
          <cell r="S4537">
            <v>0</v>
          </cell>
          <cell r="T4537">
            <v>0</v>
          </cell>
          <cell r="U4537">
            <v>0</v>
          </cell>
          <cell r="V4537">
            <v>0</v>
          </cell>
          <cell r="W4537">
            <v>0</v>
          </cell>
        </row>
        <row r="4538">
          <cell r="A4538" t="str">
            <v>450340</v>
          </cell>
          <cell r="B4538" t="str">
            <v>1254</v>
          </cell>
          <cell r="C4538" t="str">
            <v>12</v>
          </cell>
          <cell r="D4538" t="str">
            <v>22</v>
          </cell>
          <cell r="E4538">
            <v>33</v>
          </cell>
          <cell r="G4538">
            <v>701015</v>
          </cell>
          <cell r="H4538">
            <v>0</v>
          </cell>
          <cell r="I4538">
            <v>0</v>
          </cell>
          <cell r="J4538">
            <v>0</v>
          </cell>
          <cell r="K4538">
            <v>0</v>
          </cell>
          <cell r="L4538">
            <v>0</v>
          </cell>
          <cell r="M4538">
            <v>0</v>
          </cell>
          <cell r="N4538">
            <v>0</v>
          </cell>
          <cell r="O4538">
            <v>0</v>
          </cell>
          <cell r="P4538">
            <v>0</v>
          </cell>
          <cell r="Q4538">
            <v>0</v>
          </cell>
          <cell r="R4538">
            <v>0</v>
          </cell>
          <cell r="S4538">
            <v>0</v>
          </cell>
          <cell r="T4538">
            <v>0</v>
          </cell>
          <cell r="U4538">
            <v>0</v>
          </cell>
          <cell r="V4538">
            <v>0</v>
          </cell>
          <cell r="W4538">
            <v>161251</v>
          </cell>
        </row>
        <row r="4539">
          <cell r="A4539" t="str">
            <v>450340</v>
          </cell>
          <cell r="B4539" t="str">
            <v>1254</v>
          </cell>
          <cell r="C4539" t="str">
            <v>12</v>
          </cell>
          <cell r="D4539" t="str">
            <v>22</v>
          </cell>
          <cell r="E4539">
            <v>49</v>
          </cell>
          <cell r="G4539">
            <v>701015</v>
          </cell>
          <cell r="H4539">
            <v>0</v>
          </cell>
          <cell r="I4539">
            <v>0</v>
          </cell>
          <cell r="J4539">
            <v>0</v>
          </cell>
          <cell r="K4539">
            <v>0</v>
          </cell>
          <cell r="L4539">
            <v>0</v>
          </cell>
          <cell r="M4539">
            <v>0</v>
          </cell>
          <cell r="N4539">
            <v>0</v>
          </cell>
          <cell r="O4539">
            <v>202188</v>
          </cell>
          <cell r="P4539">
            <v>0</v>
          </cell>
          <cell r="Q4539">
            <v>202188</v>
          </cell>
          <cell r="R4539">
            <v>0</v>
          </cell>
          <cell r="S4539">
            <v>202188</v>
          </cell>
          <cell r="T4539">
            <v>0</v>
          </cell>
          <cell r="U4539">
            <v>0</v>
          </cell>
          <cell r="V4539">
            <v>0</v>
          </cell>
          <cell r="W4539">
            <v>0</v>
          </cell>
        </row>
        <row r="4540">
          <cell r="A4540" t="str">
            <v>450340</v>
          </cell>
          <cell r="B4540" t="str">
            <v>1254</v>
          </cell>
          <cell r="C4540" t="str">
            <v>12</v>
          </cell>
          <cell r="D4540" t="str">
            <v>22</v>
          </cell>
          <cell r="E4540">
            <v>1</v>
          </cell>
          <cell r="G4540">
            <v>751153</v>
          </cell>
          <cell r="H4540">
            <v>3883</v>
          </cell>
          <cell r="I4540">
            <v>4719</v>
          </cell>
          <cell r="J4540">
            <v>183</v>
          </cell>
          <cell r="K4540">
            <v>0</v>
          </cell>
          <cell r="L4540">
            <v>0</v>
          </cell>
          <cell r="M4540">
            <v>0</v>
          </cell>
          <cell r="N4540">
            <v>0</v>
          </cell>
          <cell r="O4540">
            <v>1407</v>
          </cell>
          <cell r="P4540">
            <v>0</v>
          </cell>
          <cell r="Q4540">
            <v>38162</v>
          </cell>
          <cell r="R4540">
            <v>39569</v>
          </cell>
          <cell r="S4540">
            <v>0</v>
          </cell>
          <cell r="T4540">
            <v>0</v>
          </cell>
          <cell r="U4540">
            <v>0</v>
          </cell>
          <cell r="V4540">
            <v>0</v>
          </cell>
          <cell r="W4540">
            <v>0</v>
          </cell>
        </row>
        <row r="4541">
          <cell r="A4541" t="str">
            <v>450340</v>
          </cell>
          <cell r="B4541" t="str">
            <v>1254</v>
          </cell>
          <cell r="C4541" t="str">
            <v>12</v>
          </cell>
          <cell r="D4541" t="str">
            <v>22</v>
          </cell>
          <cell r="E4541">
            <v>17</v>
          </cell>
          <cell r="G4541">
            <v>751153</v>
          </cell>
          <cell r="H4541">
            <v>0</v>
          </cell>
          <cell r="I4541">
            <v>0</v>
          </cell>
          <cell r="J4541">
            <v>0</v>
          </cell>
          <cell r="K4541">
            <v>0</v>
          </cell>
          <cell r="L4541">
            <v>0</v>
          </cell>
          <cell r="M4541">
            <v>0</v>
          </cell>
          <cell r="N4541">
            <v>0</v>
          </cell>
          <cell r="O4541">
            <v>0</v>
          </cell>
          <cell r="P4541">
            <v>0</v>
          </cell>
          <cell r="Q4541">
            <v>48354</v>
          </cell>
          <cell r="R4541">
            <v>0</v>
          </cell>
          <cell r="S4541">
            <v>0</v>
          </cell>
          <cell r="T4541">
            <v>0</v>
          </cell>
          <cell r="U4541">
            <v>0</v>
          </cell>
          <cell r="V4541">
            <v>0</v>
          </cell>
          <cell r="W4541">
            <v>0</v>
          </cell>
        </row>
        <row r="4542">
          <cell r="A4542" t="str">
            <v>450340</v>
          </cell>
          <cell r="B4542" t="str">
            <v>1254</v>
          </cell>
          <cell r="C4542" t="str">
            <v>12</v>
          </cell>
          <cell r="D4542" t="str">
            <v>22</v>
          </cell>
          <cell r="E4542">
            <v>33</v>
          </cell>
          <cell r="G4542">
            <v>751153</v>
          </cell>
          <cell r="H4542">
            <v>0</v>
          </cell>
          <cell r="I4542">
            <v>0</v>
          </cell>
          <cell r="J4542">
            <v>0</v>
          </cell>
          <cell r="K4542">
            <v>0</v>
          </cell>
          <cell r="L4542">
            <v>0</v>
          </cell>
          <cell r="M4542">
            <v>0</v>
          </cell>
          <cell r="N4542">
            <v>0</v>
          </cell>
          <cell r="O4542">
            <v>0</v>
          </cell>
          <cell r="P4542">
            <v>0</v>
          </cell>
          <cell r="Q4542">
            <v>0</v>
          </cell>
          <cell r="R4542">
            <v>0</v>
          </cell>
          <cell r="S4542">
            <v>0</v>
          </cell>
          <cell r="T4542">
            <v>0</v>
          </cell>
          <cell r="U4542">
            <v>0</v>
          </cell>
          <cell r="V4542">
            <v>0</v>
          </cell>
          <cell r="W4542">
            <v>0</v>
          </cell>
        </row>
        <row r="4543">
          <cell r="A4543" t="str">
            <v>450340</v>
          </cell>
          <cell r="B4543" t="str">
            <v>1254</v>
          </cell>
          <cell r="C4543" t="str">
            <v>12</v>
          </cell>
          <cell r="D4543" t="str">
            <v>22</v>
          </cell>
          <cell r="E4543">
            <v>49</v>
          </cell>
          <cell r="G4543">
            <v>751153</v>
          </cell>
          <cell r="H4543">
            <v>0</v>
          </cell>
          <cell r="I4543">
            <v>0</v>
          </cell>
          <cell r="J4543">
            <v>0</v>
          </cell>
          <cell r="K4543">
            <v>0</v>
          </cell>
          <cell r="L4543">
            <v>0</v>
          </cell>
          <cell r="M4543">
            <v>1167</v>
          </cell>
          <cell r="N4543">
            <v>1167</v>
          </cell>
          <cell r="O4543">
            <v>49521</v>
          </cell>
          <cell r="P4543">
            <v>0</v>
          </cell>
          <cell r="Q4543">
            <v>49521</v>
          </cell>
          <cell r="R4543">
            <v>0</v>
          </cell>
          <cell r="S4543">
            <v>49521</v>
          </cell>
          <cell r="T4543">
            <v>0</v>
          </cell>
          <cell r="U4543">
            <v>0</v>
          </cell>
          <cell r="V4543">
            <v>0</v>
          </cell>
          <cell r="W4543">
            <v>0</v>
          </cell>
        </row>
        <row r="4544">
          <cell r="A4544" t="str">
            <v>450340</v>
          </cell>
          <cell r="B4544" t="str">
            <v>1254</v>
          </cell>
          <cell r="C4544" t="str">
            <v>12</v>
          </cell>
          <cell r="D4544" t="str">
            <v>22</v>
          </cell>
          <cell r="E4544">
            <v>1</v>
          </cell>
          <cell r="G4544">
            <v>751164</v>
          </cell>
          <cell r="H4544">
            <v>0</v>
          </cell>
          <cell r="I4544">
            <v>0</v>
          </cell>
          <cell r="J4544">
            <v>0</v>
          </cell>
          <cell r="K4544">
            <v>1</v>
          </cell>
          <cell r="L4544">
            <v>0</v>
          </cell>
          <cell r="M4544">
            <v>0</v>
          </cell>
          <cell r="N4544">
            <v>0</v>
          </cell>
          <cell r="O4544">
            <v>0</v>
          </cell>
          <cell r="P4544">
            <v>150</v>
          </cell>
          <cell r="Q4544">
            <v>0</v>
          </cell>
          <cell r="R4544">
            <v>150</v>
          </cell>
          <cell r="S4544">
            <v>0</v>
          </cell>
          <cell r="T4544">
            <v>0</v>
          </cell>
          <cell r="U4544">
            <v>0</v>
          </cell>
          <cell r="V4544">
            <v>0</v>
          </cell>
          <cell r="W4544">
            <v>0</v>
          </cell>
        </row>
        <row r="4545">
          <cell r="A4545" t="str">
            <v>450340</v>
          </cell>
          <cell r="B4545" t="str">
            <v>1254</v>
          </cell>
          <cell r="C4545" t="str">
            <v>12</v>
          </cell>
          <cell r="D4545" t="str">
            <v>22</v>
          </cell>
          <cell r="E4545">
            <v>17</v>
          </cell>
          <cell r="G4545">
            <v>751164</v>
          </cell>
          <cell r="H4545">
            <v>0</v>
          </cell>
          <cell r="I4545">
            <v>0</v>
          </cell>
          <cell r="J4545">
            <v>0</v>
          </cell>
          <cell r="K4545">
            <v>0</v>
          </cell>
          <cell r="L4545">
            <v>0</v>
          </cell>
          <cell r="M4545">
            <v>0</v>
          </cell>
          <cell r="N4545">
            <v>0</v>
          </cell>
          <cell r="O4545">
            <v>0</v>
          </cell>
          <cell r="P4545">
            <v>0</v>
          </cell>
          <cell r="Q4545">
            <v>151</v>
          </cell>
          <cell r="R4545">
            <v>0</v>
          </cell>
          <cell r="S4545">
            <v>0</v>
          </cell>
          <cell r="T4545">
            <v>0</v>
          </cell>
          <cell r="U4545">
            <v>0</v>
          </cell>
          <cell r="V4545">
            <v>0</v>
          </cell>
          <cell r="W4545">
            <v>0</v>
          </cell>
        </row>
        <row r="4546">
          <cell r="A4546" t="str">
            <v>450340</v>
          </cell>
          <cell r="B4546" t="str">
            <v>1254</v>
          </cell>
          <cell r="C4546" t="str">
            <v>12</v>
          </cell>
          <cell r="D4546" t="str">
            <v>22</v>
          </cell>
          <cell r="E4546">
            <v>33</v>
          </cell>
          <cell r="G4546">
            <v>751164</v>
          </cell>
          <cell r="H4546">
            <v>0</v>
          </cell>
          <cell r="I4546">
            <v>0</v>
          </cell>
          <cell r="J4546">
            <v>0</v>
          </cell>
          <cell r="K4546">
            <v>0</v>
          </cell>
          <cell r="L4546">
            <v>0</v>
          </cell>
          <cell r="M4546">
            <v>0</v>
          </cell>
          <cell r="N4546">
            <v>0</v>
          </cell>
          <cell r="O4546">
            <v>0</v>
          </cell>
          <cell r="P4546">
            <v>0</v>
          </cell>
          <cell r="Q4546">
            <v>0</v>
          </cell>
          <cell r="R4546">
            <v>0</v>
          </cell>
          <cell r="S4546">
            <v>0</v>
          </cell>
          <cell r="T4546">
            <v>0</v>
          </cell>
          <cell r="U4546">
            <v>0</v>
          </cell>
          <cell r="V4546">
            <v>0</v>
          </cell>
          <cell r="W4546">
            <v>0</v>
          </cell>
        </row>
        <row r="4547">
          <cell r="A4547" t="str">
            <v>450340</v>
          </cell>
          <cell r="B4547" t="str">
            <v>1254</v>
          </cell>
          <cell r="C4547" t="str">
            <v>12</v>
          </cell>
          <cell r="D4547" t="str">
            <v>22</v>
          </cell>
          <cell r="E4547">
            <v>49</v>
          </cell>
          <cell r="G4547">
            <v>751164</v>
          </cell>
          <cell r="H4547">
            <v>0</v>
          </cell>
          <cell r="I4547">
            <v>0</v>
          </cell>
          <cell r="J4547">
            <v>0</v>
          </cell>
          <cell r="K4547">
            <v>0</v>
          </cell>
          <cell r="L4547">
            <v>0</v>
          </cell>
          <cell r="M4547">
            <v>0</v>
          </cell>
          <cell r="N4547">
            <v>0</v>
          </cell>
          <cell r="O4547">
            <v>151</v>
          </cell>
          <cell r="P4547">
            <v>446</v>
          </cell>
          <cell r="Q4547">
            <v>597</v>
          </cell>
          <cell r="R4547">
            <v>0</v>
          </cell>
          <cell r="S4547">
            <v>597</v>
          </cell>
          <cell r="T4547">
            <v>0</v>
          </cell>
          <cell r="U4547">
            <v>0</v>
          </cell>
          <cell r="V4547">
            <v>0</v>
          </cell>
          <cell r="W4547">
            <v>0</v>
          </cell>
        </row>
        <row r="4548">
          <cell r="A4548" t="str">
            <v>450340</v>
          </cell>
          <cell r="B4548" t="str">
            <v>1254</v>
          </cell>
          <cell r="C4548" t="str">
            <v>12</v>
          </cell>
          <cell r="D4548" t="str">
            <v>22</v>
          </cell>
          <cell r="E4548">
            <v>1</v>
          </cell>
          <cell r="G4548">
            <v>751175</v>
          </cell>
          <cell r="H4548">
            <v>0</v>
          </cell>
          <cell r="I4548">
            <v>0</v>
          </cell>
          <cell r="J4548">
            <v>0</v>
          </cell>
          <cell r="K4548">
            <v>0</v>
          </cell>
          <cell r="L4548">
            <v>5040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0</v>
          </cell>
          <cell r="R4548">
            <v>5040</v>
          </cell>
          <cell r="S4548">
            <v>0</v>
          </cell>
          <cell r="T4548">
            <v>0</v>
          </cell>
          <cell r="U4548">
            <v>0</v>
          </cell>
          <cell r="V4548">
            <v>0</v>
          </cell>
          <cell r="W4548">
            <v>0</v>
          </cell>
        </row>
        <row r="4549">
          <cell r="A4549" t="str">
            <v>450340</v>
          </cell>
          <cell r="B4549" t="str">
            <v>1254</v>
          </cell>
          <cell r="C4549" t="str">
            <v>12</v>
          </cell>
          <cell r="D4549" t="str">
            <v>22</v>
          </cell>
          <cell r="E4549">
            <v>17</v>
          </cell>
          <cell r="G4549">
            <v>751175</v>
          </cell>
          <cell r="H4549">
            <v>0</v>
          </cell>
          <cell r="I4549">
            <v>0</v>
          </cell>
          <cell r="J4549">
            <v>0</v>
          </cell>
          <cell r="K4549">
            <v>0</v>
          </cell>
          <cell r="L4549">
            <v>0</v>
          </cell>
          <cell r="M4549">
            <v>0</v>
          </cell>
          <cell r="N4549">
            <v>0</v>
          </cell>
          <cell r="O4549">
            <v>0</v>
          </cell>
          <cell r="P4549">
            <v>0</v>
          </cell>
          <cell r="Q4549">
            <v>5040</v>
          </cell>
          <cell r="R4549">
            <v>0</v>
          </cell>
          <cell r="S4549">
            <v>0</v>
          </cell>
          <cell r="T4549">
            <v>0</v>
          </cell>
          <cell r="U4549">
            <v>0</v>
          </cell>
          <cell r="V4549">
            <v>0</v>
          </cell>
          <cell r="W4549">
            <v>0</v>
          </cell>
        </row>
        <row r="4550">
          <cell r="A4550" t="str">
            <v>450340</v>
          </cell>
          <cell r="B4550" t="str">
            <v>1254</v>
          </cell>
          <cell r="C4550" t="str">
            <v>12</v>
          </cell>
          <cell r="D4550" t="str">
            <v>22</v>
          </cell>
          <cell r="E4550">
            <v>33</v>
          </cell>
          <cell r="G4550">
            <v>751175</v>
          </cell>
          <cell r="H4550">
            <v>0</v>
          </cell>
          <cell r="I4550">
            <v>0</v>
          </cell>
          <cell r="J4550">
            <v>0</v>
          </cell>
          <cell r="K4550">
            <v>0</v>
          </cell>
          <cell r="L4550">
            <v>0</v>
          </cell>
          <cell r="M4550">
            <v>0</v>
          </cell>
          <cell r="N4550">
            <v>0</v>
          </cell>
          <cell r="O4550">
            <v>0</v>
          </cell>
          <cell r="P4550">
            <v>0</v>
          </cell>
          <cell r="Q4550">
            <v>0</v>
          </cell>
          <cell r="R4550">
            <v>0</v>
          </cell>
          <cell r="S4550">
            <v>0</v>
          </cell>
          <cell r="T4550">
            <v>0</v>
          </cell>
          <cell r="U4550">
            <v>0</v>
          </cell>
          <cell r="V4550">
            <v>0</v>
          </cell>
          <cell r="W4550">
            <v>0</v>
          </cell>
        </row>
        <row r="4551">
          <cell r="A4551" t="str">
            <v>450340</v>
          </cell>
          <cell r="B4551" t="str">
            <v>1254</v>
          </cell>
          <cell r="C4551" t="str">
            <v>12</v>
          </cell>
          <cell r="D4551" t="str">
            <v>22</v>
          </cell>
          <cell r="E4551">
            <v>49</v>
          </cell>
          <cell r="G4551">
            <v>751175</v>
          </cell>
          <cell r="H4551">
            <v>0</v>
          </cell>
          <cell r="I4551">
            <v>0</v>
          </cell>
          <cell r="J4551">
            <v>0</v>
          </cell>
          <cell r="K4551">
            <v>0</v>
          </cell>
          <cell r="L4551">
            <v>0</v>
          </cell>
          <cell r="M4551">
            <v>0</v>
          </cell>
          <cell r="N4551">
            <v>0</v>
          </cell>
          <cell r="O4551">
            <v>5040</v>
          </cell>
          <cell r="P4551">
            <v>0</v>
          </cell>
          <cell r="Q4551">
            <v>5040</v>
          </cell>
          <cell r="R4551">
            <v>0</v>
          </cell>
          <cell r="S4551">
            <v>5040</v>
          </cell>
          <cell r="T4551">
            <v>0</v>
          </cell>
          <cell r="U4551">
            <v>0</v>
          </cell>
          <cell r="V4551">
            <v>0</v>
          </cell>
          <cell r="W4551">
            <v>0</v>
          </cell>
        </row>
        <row r="4552">
          <cell r="A4552" t="str">
            <v>450340</v>
          </cell>
          <cell r="B4552" t="str">
            <v>1254</v>
          </cell>
          <cell r="C4552" t="str">
            <v>12</v>
          </cell>
          <cell r="D4552" t="str">
            <v>22</v>
          </cell>
          <cell r="E4552">
            <v>1</v>
          </cell>
          <cell r="G4552">
            <v>751186</v>
          </cell>
          <cell r="H4552">
            <v>0</v>
          </cell>
          <cell r="I4552">
            <v>0</v>
          </cell>
          <cell r="J4552">
            <v>0</v>
          </cell>
          <cell r="K4552">
            <v>0</v>
          </cell>
          <cell r="L4552">
            <v>0</v>
          </cell>
          <cell r="M4552">
            <v>0</v>
          </cell>
          <cell r="N4552">
            <v>0</v>
          </cell>
          <cell r="O4552">
            <v>0</v>
          </cell>
          <cell r="P4552">
            <v>3272</v>
          </cell>
          <cell r="Q4552">
            <v>0</v>
          </cell>
          <cell r="R4552">
            <v>3272</v>
          </cell>
          <cell r="S4552">
            <v>0</v>
          </cell>
          <cell r="T4552">
            <v>0</v>
          </cell>
          <cell r="U4552">
            <v>0</v>
          </cell>
          <cell r="V4552">
            <v>0</v>
          </cell>
          <cell r="W4552">
            <v>0</v>
          </cell>
        </row>
        <row r="4553">
          <cell r="A4553" t="str">
            <v>450340</v>
          </cell>
          <cell r="B4553" t="str">
            <v>1254</v>
          </cell>
          <cell r="C4553" t="str">
            <v>12</v>
          </cell>
          <cell r="D4553" t="str">
            <v>22</v>
          </cell>
          <cell r="E4553">
            <v>17</v>
          </cell>
          <cell r="G4553">
            <v>751186</v>
          </cell>
          <cell r="H4553">
            <v>0</v>
          </cell>
          <cell r="I4553">
            <v>0</v>
          </cell>
          <cell r="J4553">
            <v>0</v>
          </cell>
          <cell r="K4553">
            <v>0</v>
          </cell>
          <cell r="L4553">
            <v>0</v>
          </cell>
          <cell r="M4553">
            <v>0</v>
          </cell>
          <cell r="N4553">
            <v>0</v>
          </cell>
          <cell r="O4553">
            <v>0</v>
          </cell>
          <cell r="P4553">
            <v>0</v>
          </cell>
          <cell r="Q4553">
            <v>3272</v>
          </cell>
          <cell r="R4553">
            <v>0</v>
          </cell>
          <cell r="S4553">
            <v>0</v>
          </cell>
          <cell r="T4553">
            <v>0</v>
          </cell>
          <cell r="U4553">
            <v>0</v>
          </cell>
          <cell r="V4553">
            <v>0</v>
          </cell>
          <cell r="W4553">
            <v>0</v>
          </cell>
        </row>
        <row r="4554">
          <cell r="A4554" t="str">
            <v>450340</v>
          </cell>
          <cell r="B4554" t="str">
            <v>1254</v>
          </cell>
          <cell r="C4554" t="str">
            <v>12</v>
          </cell>
          <cell r="D4554" t="str">
            <v>22</v>
          </cell>
          <cell r="E4554">
            <v>33</v>
          </cell>
          <cell r="G4554">
            <v>751186</v>
          </cell>
          <cell r="H4554">
            <v>0</v>
          </cell>
          <cell r="I4554">
            <v>0</v>
          </cell>
          <cell r="J4554">
            <v>0</v>
          </cell>
          <cell r="K4554">
            <v>0</v>
          </cell>
          <cell r="L4554">
            <v>0</v>
          </cell>
          <cell r="M4554">
            <v>0</v>
          </cell>
          <cell r="N4554">
            <v>0</v>
          </cell>
          <cell r="O4554">
            <v>0</v>
          </cell>
          <cell r="P4554">
            <v>0</v>
          </cell>
          <cell r="Q4554">
            <v>0</v>
          </cell>
          <cell r="R4554">
            <v>0</v>
          </cell>
          <cell r="S4554">
            <v>0</v>
          </cell>
          <cell r="T4554">
            <v>0</v>
          </cell>
          <cell r="U4554">
            <v>0</v>
          </cell>
          <cell r="V4554">
            <v>0</v>
          </cell>
          <cell r="W4554">
            <v>0</v>
          </cell>
        </row>
        <row r="4555">
          <cell r="A4555" t="str">
            <v>450340</v>
          </cell>
          <cell r="B4555" t="str">
            <v>1254</v>
          </cell>
          <cell r="C4555" t="str">
            <v>12</v>
          </cell>
          <cell r="D4555" t="str">
            <v>22</v>
          </cell>
          <cell r="E4555">
            <v>49</v>
          </cell>
          <cell r="G4555">
            <v>751186</v>
          </cell>
          <cell r="H4555">
            <v>0</v>
          </cell>
          <cell r="I4555">
            <v>0</v>
          </cell>
          <cell r="J4555">
            <v>0</v>
          </cell>
          <cell r="K4555">
            <v>0</v>
          </cell>
          <cell r="L4555">
            <v>0</v>
          </cell>
          <cell r="M4555">
            <v>0</v>
          </cell>
          <cell r="N4555">
            <v>0</v>
          </cell>
          <cell r="O4555">
            <v>3272</v>
          </cell>
          <cell r="P4555">
            <v>0</v>
          </cell>
          <cell r="Q4555">
            <v>3272</v>
          </cell>
          <cell r="R4555">
            <v>0</v>
          </cell>
          <cell r="S4555">
            <v>3272</v>
          </cell>
          <cell r="T4555">
            <v>0</v>
          </cell>
          <cell r="U4555">
            <v>0</v>
          </cell>
          <cell r="V4555">
            <v>0</v>
          </cell>
          <cell r="W4555">
            <v>0</v>
          </cell>
        </row>
        <row r="4556">
          <cell r="A4556" t="str">
            <v>450340</v>
          </cell>
          <cell r="B4556" t="str">
            <v>1254</v>
          </cell>
          <cell r="C4556" t="str">
            <v>12</v>
          </cell>
          <cell r="D4556" t="str">
            <v>22</v>
          </cell>
          <cell r="E4556">
            <v>1</v>
          </cell>
          <cell r="G4556">
            <v>751669</v>
          </cell>
          <cell r="H4556">
            <v>0</v>
          </cell>
          <cell r="I4556">
            <v>6034</v>
          </cell>
          <cell r="J4556">
            <v>1178</v>
          </cell>
          <cell r="K4556">
            <v>0</v>
          </cell>
          <cell r="L4556">
            <v>0</v>
          </cell>
          <cell r="M4556">
            <v>0</v>
          </cell>
          <cell r="N4556">
            <v>0</v>
          </cell>
          <cell r="O4556">
            <v>0</v>
          </cell>
          <cell r="P4556">
            <v>15</v>
          </cell>
          <cell r="Q4556">
            <v>0</v>
          </cell>
          <cell r="R4556">
            <v>15</v>
          </cell>
          <cell r="S4556">
            <v>0</v>
          </cell>
          <cell r="T4556">
            <v>0</v>
          </cell>
          <cell r="U4556">
            <v>0</v>
          </cell>
          <cell r="V4556">
            <v>20</v>
          </cell>
          <cell r="W4556">
            <v>0</v>
          </cell>
        </row>
        <row r="4557">
          <cell r="A4557" t="str">
            <v>450340</v>
          </cell>
          <cell r="B4557" t="str">
            <v>1254</v>
          </cell>
          <cell r="C4557" t="str">
            <v>12</v>
          </cell>
          <cell r="D4557" t="str">
            <v>22</v>
          </cell>
          <cell r="E4557">
            <v>17</v>
          </cell>
          <cell r="G4557">
            <v>751669</v>
          </cell>
          <cell r="H4557">
            <v>20</v>
          </cell>
          <cell r="I4557">
            <v>0</v>
          </cell>
          <cell r="J4557">
            <v>0</v>
          </cell>
          <cell r="K4557">
            <v>0</v>
          </cell>
          <cell r="L4557">
            <v>0</v>
          </cell>
          <cell r="M4557">
            <v>0</v>
          </cell>
          <cell r="N4557">
            <v>20</v>
          </cell>
          <cell r="O4557">
            <v>0</v>
          </cell>
          <cell r="P4557">
            <v>0</v>
          </cell>
          <cell r="Q4557">
            <v>7247</v>
          </cell>
          <cell r="R4557">
            <v>0</v>
          </cell>
          <cell r="S4557">
            <v>0</v>
          </cell>
          <cell r="T4557">
            <v>1194</v>
          </cell>
          <cell r="U4557">
            <v>0</v>
          </cell>
          <cell r="V4557">
            <v>0</v>
          </cell>
          <cell r="W4557">
            <v>0</v>
          </cell>
        </row>
        <row r="4558">
          <cell r="A4558" t="str">
            <v>450340</v>
          </cell>
          <cell r="B4558" t="str">
            <v>1254</v>
          </cell>
          <cell r="C4558" t="str">
            <v>12</v>
          </cell>
          <cell r="D4558" t="str">
            <v>22</v>
          </cell>
          <cell r="E4558">
            <v>33</v>
          </cell>
          <cell r="G4558">
            <v>751669</v>
          </cell>
          <cell r="H4558">
            <v>740</v>
          </cell>
          <cell r="I4558">
            <v>0</v>
          </cell>
          <cell r="J4558">
            <v>1934</v>
          </cell>
          <cell r="K4558">
            <v>0</v>
          </cell>
          <cell r="L4558">
            <v>0</v>
          </cell>
          <cell r="M4558">
            <v>30</v>
          </cell>
          <cell r="N4558">
            <v>0</v>
          </cell>
          <cell r="O4558">
            <v>30</v>
          </cell>
          <cell r="P4558">
            <v>0</v>
          </cell>
          <cell r="Q4558">
            <v>0</v>
          </cell>
          <cell r="R4558">
            <v>0</v>
          </cell>
          <cell r="S4558">
            <v>0</v>
          </cell>
          <cell r="T4558">
            <v>0</v>
          </cell>
          <cell r="U4558">
            <v>30</v>
          </cell>
          <cell r="V4558">
            <v>0</v>
          </cell>
          <cell r="W4558">
            <v>1964</v>
          </cell>
        </row>
        <row r="4559">
          <cell r="A4559" t="str">
            <v>450340</v>
          </cell>
          <cell r="B4559" t="str">
            <v>1254</v>
          </cell>
          <cell r="C4559" t="str">
            <v>12</v>
          </cell>
          <cell r="D4559" t="str">
            <v>22</v>
          </cell>
          <cell r="E4559">
            <v>49</v>
          </cell>
          <cell r="G4559">
            <v>751669</v>
          </cell>
          <cell r="H4559">
            <v>0</v>
          </cell>
          <cell r="I4559">
            <v>0</v>
          </cell>
          <cell r="J4559">
            <v>0</v>
          </cell>
          <cell r="K4559">
            <v>0</v>
          </cell>
          <cell r="L4559">
            <v>0</v>
          </cell>
          <cell r="M4559">
            <v>0</v>
          </cell>
          <cell r="N4559">
            <v>0</v>
          </cell>
          <cell r="O4559">
            <v>9211</v>
          </cell>
          <cell r="P4559">
            <v>0</v>
          </cell>
          <cell r="Q4559">
            <v>9211</v>
          </cell>
          <cell r="R4559">
            <v>0</v>
          </cell>
          <cell r="S4559">
            <v>9211</v>
          </cell>
          <cell r="T4559">
            <v>0</v>
          </cell>
          <cell r="U4559">
            <v>0</v>
          </cell>
          <cell r="V4559">
            <v>0</v>
          </cell>
          <cell r="W4559">
            <v>0</v>
          </cell>
        </row>
        <row r="4560">
          <cell r="A4560" t="str">
            <v>450340</v>
          </cell>
          <cell r="B4560" t="str">
            <v>1254</v>
          </cell>
          <cell r="C4560" t="str">
            <v>12</v>
          </cell>
          <cell r="D4560" t="str">
            <v>22</v>
          </cell>
          <cell r="E4560">
            <v>1</v>
          </cell>
          <cell r="G4560">
            <v>751670</v>
          </cell>
          <cell r="H4560">
            <v>0</v>
          </cell>
          <cell r="I4560">
            <v>127</v>
          </cell>
          <cell r="J4560">
            <v>13</v>
          </cell>
          <cell r="K4560">
            <v>0</v>
          </cell>
          <cell r="L4560">
            <v>0</v>
          </cell>
          <cell r="M4560">
            <v>0</v>
          </cell>
          <cell r="N4560">
            <v>0</v>
          </cell>
          <cell r="O4560">
            <v>0</v>
          </cell>
          <cell r="P4560">
            <v>0</v>
          </cell>
          <cell r="Q4560">
            <v>0</v>
          </cell>
          <cell r="R4560">
            <v>0</v>
          </cell>
          <cell r="S4560">
            <v>0</v>
          </cell>
          <cell r="T4560">
            <v>0</v>
          </cell>
          <cell r="U4560">
            <v>0</v>
          </cell>
          <cell r="V4560">
            <v>0</v>
          </cell>
          <cell r="W4560">
            <v>0</v>
          </cell>
        </row>
        <row r="4561">
          <cell r="A4561" t="str">
            <v>450340</v>
          </cell>
          <cell r="B4561" t="str">
            <v>1254</v>
          </cell>
          <cell r="C4561" t="str">
            <v>12</v>
          </cell>
          <cell r="D4561" t="str">
            <v>22</v>
          </cell>
          <cell r="E4561">
            <v>17</v>
          </cell>
          <cell r="G4561">
            <v>751670</v>
          </cell>
          <cell r="H4561">
            <v>0</v>
          </cell>
          <cell r="I4561">
            <v>0</v>
          </cell>
          <cell r="J4561">
            <v>0</v>
          </cell>
          <cell r="K4561">
            <v>0</v>
          </cell>
          <cell r="L4561">
            <v>0</v>
          </cell>
          <cell r="M4561">
            <v>0</v>
          </cell>
          <cell r="N4561">
            <v>0</v>
          </cell>
          <cell r="O4561">
            <v>0</v>
          </cell>
          <cell r="P4561">
            <v>0</v>
          </cell>
          <cell r="Q4561">
            <v>140</v>
          </cell>
          <cell r="R4561">
            <v>0</v>
          </cell>
          <cell r="S4561">
            <v>0</v>
          </cell>
          <cell r="T4561">
            <v>0</v>
          </cell>
          <cell r="U4561">
            <v>0</v>
          </cell>
          <cell r="V4561">
            <v>0</v>
          </cell>
          <cell r="W4561">
            <v>0</v>
          </cell>
        </row>
        <row r="4562">
          <cell r="A4562" t="str">
            <v>450340</v>
          </cell>
          <cell r="B4562" t="str">
            <v>1254</v>
          </cell>
          <cell r="C4562" t="str">
            <v>12</v>
          </cell>
          <cell r="D4562" t="str">
            <v>22</v>
          </cell>
          <cell r="E4562">
            <v>33</v>
          </cell>
          <cell r="G4562">
            <v>751670</v>
          </cell>
          <cell r="H4562">
            <v>0</v>
          </cell>
          <cell r="I4562">
            <v>0</v>
          </cell>
          <cell r="J4562">
            <v>0</v>
          </cell>
          <cell r="K4562">
            <v>0</v>
          </cell>
          <cell r="L4562">
            <v>0</v>
          </cell>
          <cell r="M4562">
            <v>0</v>
          </cell>
          <cell r="N4562">
            <v>0</v>
          </cell>
          <cell r="O4562">
            <v>0</v>
          </cell>
          <cell r="P4562">
            <v>0</v>
          </cell>
          <cell r="Q4562">
            <v>0</v>
          </cell>
          <cell r="R4562">
            <v>0</v>
          </cell>
          <cell r="S4562">
            <v>0</v>
          </cell>
          <cell r="T4562">
            <v>0</v>
          </cell>
          <cell r="U4562">
            <v>0</v>
          </cell>
          <cell r="V4562">
            <v>0</v>
          </cell>
          <cell r="W4562">
            <v>0</v>
          </cell>
        </row>
        <row r="4563">
          <cell r="A4563" t="str">
            <v>450340</v>
          </cell>
          <cell r="B4563" t="str">
            <v>1254</v>
          </cell>
          <cell r="C4563" t="str">
            <v>12</v>
          </cell>
          <cell r="D4563" t="str">
            <v>22</v>
          </cell>
          <cell r="E4563">
            <v>49</v>
          </cell>
          <cell r="G4563">
            <v>751670</v>
          </cell>
          <cell r="H4563">
            <v>0</v>
          </cell>
          <cell r="I4563">
            <v>0</v>
          </cell>
          <cell r="J4563">
            <v>0</v>
          </cell>
          <cell r="K4563">
            <v>0</v>
          </cell>
          <cell r="L4563">
            <v>0</v>
          </cell>
          <cell r="M4563">
            <v>0</v>
          </cell>
          <cell r="N4563">
            <v>0</v>
          </cell>
          <cell r="O4563">
            <v>140</v>
          </cell>
          <cell r="P4563">
            <v>0</v>
          </cell>
          <cell r="Q4563">
            <v>140</v>
          </cell>
          <cell r="R4563">
            <v>0</v>
          </cell>
          <cell r="S4563">
            <v>140</v>
          </cell>
          <cell r="T4563">
            <v>0</v>
          </cell>
          <cell r="U4563">
            <v>0</v>
          </cell>
          <cell r="V4563">
            <v>0</v>
          </cell>
          <cell r="W4563">
            <v>0</v>
          </cell>
        </row>
        <row r="4564">
          <cell r="A4564" t="str">
            <v>450340</v>
          </cell>
          <cell r="B4564" t="str">
            <v>1254</v>
          </cell>
          <cell r="C4564" t="str">
            <v>12</v>
          </cell>
          <cell r="D4564" t="str">
            <v>22</v>
          </cell>
          <cell r="E4564">
            <v>1</v>
          </cell>
          <cell r="G4564">
            <v>751845</v>
          </cell>
          <cell r="H4564">
            <v>11</v>
          </cell>
          <cell r="I4564">
            <v>85054</v>
          </cell>
          <cell r="J4564">
            <v>21001</v>
          </cell>
          <cell r="K4564">
            <v>2193</v>
          </cell>
          <cell r="L4564">
            <v>26490</v>
          </cell>
          <cell r="M4564">
            <v>0</v>
          </cell>
          <cell r="N4564">
            <v>0</v>
          </cell>
          <cell r="O4564">
            <v>145</v>
          </cell>
          <cell r="P4564">
            <v>1780</v>
          </cell>
          <cell r="Q4564">
            <v>0</v>
          </cell>
          <cell r="R4564">
            <v>28415</v>
          </cell>
          <cell r="S4564">
            <v>0</v>
          </cell>
          <cell r="T4564">
            <v>40</v>
          </cell>
          <cell r="U4564">
            <v>0</v>
          </cell>
          <cell r="V4564">
            <v>62</v>
          </cell>
          <cell r="W4564">
            <v>0</v>
          </cell>
        </row>
        <row r="4565">
          <cell r="A4565" t="str">
            <v>450340</v>
          </cell>
          <cell r="B4565" t="str">
            <v>1254</v>
          </cell>
          <cell r="C4565" t="str">
            <v>12</v>
          </cell>
          <cell r="D4565" t="str">
            <v>22</v>
          </cell>
          <cell r="E4565">
            <v>17</v>
          </cell>
          <cell r="G4565">
            <v>751845</v>
          </cell>
          <cell r="H4565">
            <v>102</v>
          </cell>
          <cell r="I4565">
            <v>0</v>
          </cell>
          <cell r="J4565">
            <v>0</v>
          </cell>
          <cell r="K4565">
            <v>0</v>
          </cell>
          <cell r="L4565">
            <v>0</v>
          </cell>
          <cell r="M4565">
            <v>0</v>
          </cell>
          <cell r="N4565">
            <v>102</v>
          </cell>
          <cell r="O4565">
            <v>0</v>
          </cell>
          <cell r="P4565">
            <v>0</v>
          </cell>
          <cell r="Q4565">
            <v>136776</v>
          </cell>
          <cell r="R4565">
            <v>0</v>
          </cell>
          <cell r="S4565">
            <v>928</v>
          </cell>
          <cell r="T4565">
            <v>25111</v>
          </cell>
          <cell r="U4565">
            <v>0</v>
          </cell>
          <cell r="V4565">
            <v>0</v>
          </cell>
          <cell r="W4565">
            <v>0</v>
          </cell>
        </row>
        <row r="4566">
          <cell r="A4566" t="str">
            <v>450340</v>
          </cell>
          <cell r="B4566" t="str">
            <v>1254</v>
          </cell>
          <cell r="C4566" t="str">
            <v>12</v>
          </cell>
          <cell r="D4566" t="str">
            <v>22</v>
          </cell>
          <cell r="E4566">
            <v>33</v>
          </cell>
          <cell r="G4566">
            <v>751845</v>
          </cell>
          <cell r="H4566">
            <v>0</v>
          </cell>
          <cell r="I4566">
            <v>0</v>
          </cell>
          <cell r="J4566">
            <v>25111</v>
          </cell>
          <cell r="K4566">
            <v>29265</v>
          </cell>
          <cell r="L4566">
            <v>0</v>
          </cell>
          <cell r="M4566">
            <v>317</v>
          </cell>
          <cell r="N4566">
            <v>0</v>
          </cell>
          <cell r="O4566">
            <v>29582</v>
          </cell>
          <cell r="P4566">
            <v>0</v>
          </cell>
          <cell r="Q4566">
            <v>0</v>
          </cell>
          <cell r="R4566">
            <v>0</v>
          </cell>
          <cell r="S4566">
            <v>0</v>
          </cell>
          <cell r="T4566">
            <v>0</v>
          </cell>
          <cell r="U4566">
            <v>29582</v>
          </cell>
          <cell r="V4566">
            <v>0</v>
          </cell>
          <cell r="W4566">
            <v>55621</v>
          </cell>
        </row>
        <row r="4567">
          <cell r="A4567" t="str">
            <v>450340</v>
          </cell>
          <cell r="B4567" t="str">
            <v>1254</v>
          </cell>
          <cell r="C4567" t="str">
            <v>12</v>
          </cell>
          <cell r="D4567" t="str">
            <v>22</v>
          </cell>
          <cell r="E4567">
            <v>49</v>
          </cell>
          <cell r="G4567">
            <v>751845</v>
          </cell>
          <cell r="H4567">
            <v>0</v>
          </cell>
          <cell r="I4567">
            <v>0</v>
          </cell>
          <cell r="J4567">
            <v>0</v>
          </cell>
          <cell r="K4567">
            <v>0</v>
          </cell>
          <cell r="L4567">
            <v>0</v>
          </cell>
          <cell r="M4567">
            <v>15729</v>
          </cell>
          <cell r="N4567">
            <v>15729</v>
          </cell>
          <cell r="O4567">
            <v>208126</v>
          </cell>
          <cell r="P4567">
            <v>72551</v>
          </cell>
          <cell r="Q4567">
            <v>280677</v>
          </cell>
          <cell r="R4567">
            <v>0</v>
          </cell>
          <cell r="S4567">
            <v>280677</v>
          </cell>
          <cell r="T4567">
            <v>0</v>
          </cell>
          <cell r="U4567">
            <v>0</v>
          </cell>
          <cell r="V4567">
            <v>0</v>
          </cell>
          <cell r="W4567">
            <v>0</v>
          </cell>
        </row>
        <row r="4568">
          <cell r="A4568" t="str">
            <v>450340</v>
          </cell>
          <cell r="B4568" t="str">
            <v>1254</v>
          </cell>
          <cell r="C4568" t="str">
            <v>12</v>
          </cell>
          <cell r="D4568" t="str">
            <v>22</v>
          </cell>
          <cell r="E4568">
            <v>1</v>
          </cell>
          <cell r="G4568">
            <v>751922</v>
          </cell>
          <cell r="H4568">
            <v>0</v>
          </cell>
          <cell r="I4568">
            <v>0</v>
          </cell>
          <cell r="J4568">
            <v>0</v>
          </cell>
          <cell r="K4568">
            <v>0</v>
          </cell>
          <cell r="L4568">
            <v>0</v>
          </cell>
          <cell r="M4568">
            <v>0</v>
          </cell>
          <cell r="N4568">
            <v>0</v>
          </cell>
          <cell r="O4568">
            <v>0</v>
          </cell>
          <cell r="P4568">
            <v>16209</v>
          </cell>
          <cell r="Q4568">
            <v>0</v>
          </cell>
          <cell r="R4568">
            <v>16209</v>
          </cell>
          <cell r="S4568">
            <v>0</v>
          </cell>
          <cell r="T4568">
            <v>0</v>
          </cell>
          <cell r="U4568">
            <v>0</v>
          </cell>
          <cell r="V4568">
            <v>0</v>
          </cell>
          <cell r="W4568">
            <v>0</v>
          </cell>
        </row>
        <row r="4569">
          <cell r="A4569" t="str">
            <v>450340</v>
          </cell>
          <cell r="B4569" t="str">
            <v>1254</v>
          </cell>
          <cell r="C4569" t="str">
            <v>12</v>
          </cell>
          <cell r="D4569" t="str">
            <v>22</v>
          </cell>
          <cell r="E4569">
            <v>17</v>
          </cell>
          <cell r="G4569">
            <v>751922</v>
          </cell>
          <cell r="H4569">
            <v>0</v>
          </cell>
          <cell r="I4569">
            <v>0</v>
          </cell>
          <cell r="J4569">
            <v>0</v>
          </cell>
          <cell r="K4569">
            <v>0</v>
          </cell>
          <cell r="L4569">
            <v>0</v>
          </cell>
          <cell r="M4569">
            <v>0</v>
          </cell>
          <cell r="N4569">
            <v>0</v>
          </cell>
          <cell r="O4569">
            <v>0</v>
          </cell>
          <cell r="P4569">
            <v>0</v>
          </cell>
          <cell r="Q4569">
            <v>16209</v>
          </cell>
          <cell r="R4569">
            <v>0</v>
          </cell>
          <cell r="S4569">
            <v>0</v>
          </cell>
          <cell r="T4569">
            <v>0</v>
          </cell>
          <cell r="U4569">
            <v>0</v>
          </cell>
          <cell r="V4569">
            <v>0</v>
          </cell>
          <cell r="W4569">
            <v>0</v>
          </cell>
        </row>
        <row r="4570">
          <cell r="A4570" t="str">
            <v>450340</v>
          </cell>
          <cell r="B4570" t="str">
            <v>1254</v>
          </cell>
          <cell r="C4570" t="str">
            <v>12</v>
          </cell>
          <cell r="D4570" t="str">
            <v>22</v>
          </cell>
          <cell r="E4570">
            <v>33</v>
          </cell>
          <cell r="G4570">
            <v>751922</v>
          </cell>
          <cell r="H4570">
            <v>0</v>
          </cell>
          <cell r="I4570">
            <v>0</v>
          </cell>
          <cell r="J4570">
            <v>0</v>
          </cell>
          <cell r="K4570">
            <v>0</v>
          </cell>
          <cell r="L4570">
            <v>0</v>
          </cell>
          <cell r="M4570">
            <v>0</v>
          </cell>
          <cell r="N4570">
            <v>0</v>
          </cell>
          <cell r="O4570">
            <v>0</v>
          </cell>
          <cell r="P4570">
            <v>0</v>
          </cell>
          <cell r="Q4570">
            <v>0</v>
          </cell>
          <cell r="R4570">
            <v>0</v>
          </cell>
          <cell r="S4570">
            <v>0</v>
          </cell>
          <cell r="T4570">
            <v>0</v>
          </cell>
          <cell r="U4570">
            <v>0</v>
          </cell>
          <cell r="V4570">
            <v>0</v>
          </cell>
          <cell r="W4570">
            <v>0</v>
          </cell>
        </row>
        <row r="4571">
          <cell r="A4571" t="str">
            <v>450340</v>
          </cell>
          <cell r="B4571" t="str">
            <v>1254</v>
          </cell>
          <cell r="C4571" t="str">
            <v>12</v>
          </cell>
          <cell r="D4571" t="str">
            <v>22</v>
          </cell>
          <cell r="E4571">
            <v>49</v>
          </cell>
          <cell r="G4571">
            <v>751922</v>
          </cell>
          <cell r="H4571">
            <v>0</v>
          </cell>
          <cell r="I4571">
            <v>0</v>
          </cell>
          <cell r="J4571">
            <v>0</v>
          </cell>
          <cell r="K4571">
            <v>0</v>
          </cell>
          <cell r="L4571">
            <v>0</v>
          </cell>
          <cell r="M4571">
            <v>0</v>
          </cell>
          <cell r="N4571">
            <v>0</v>
          </cell>
          <cell r="O4571">
            <v>16209</v>
          </cell>
          <cell r="P4571">
            <v>0</v>
          </cell>
          <cell r="Q4571">
            <v>16209</v>
          </cell>
          <cell r="R4571">
            <v>0</v>
          </cell>
          <cell r="S4571">
            <v>16209</v>
          </cell>
          <cell r="T4571">
            <v>0</v>
          </cell>
          <cell r="U4571">
            <v>0</v>
          </cell>
          <cell r="V4571">
            <v>0</v>
          </cell>
          <cell r="W4571">
            <v>0</v>
          </cell>
        </row>
        <row r="4572">
          <cell r="A4572" t="str">
            <v>450340</v>
          </cell>
          <cell r="B4572" t="str">
            <v>1254</v>
          </cell>
          <cell r="C4572" t="str">
            <v>12</v>
          </cell>
          <cell r="D4572" t="str">
            <v>22</v>
          </cell>
          <cell r="E4572">
            <v>1</v>
          </cell>
          <cell r="G4572">
            <v>751966</v>
          </cell>
          <cell r="H4572">
            <v>0</v>
          </cell>
          <cell r="I4572">
            <v>0</v>
          </cell>
          <cell r="J4572">
            <v>0</v>
          </cell>
          <cell r="K4572">
            <v>0</v>
          </cell>
          <cell r="L4572">
            <v>0</v>
          </cell>
          <cell r="M4572">
            <v>0</v>
          </cell>
          <cell r="N4572">
            <v>0</v>
          </cell>
          <cell r="O4572">
            <v>0</v>
          </cell>
          <cell r="P4572">
            <v>0</v>
          </cell>
          <cell r="Q4572">
            <v>0</v>
          </cell>
          <cell r="R4572">
            <v>0</v>
          </cell>
          <cell r="S4572">
            <v>0</v>
          </cell>
          <cell r="T4572">
            <v>0</v>
          </cell>
          <cell r="U4572">
            <v>0</v>
          </cell>
          <cell r="V4572">
            <v>0</v>
          </cell>
          <cell r="W4572">
            <v>0</v>
          </cell>
        </row>
        <row r="4573">
          <cell r="A4573" t="str">
            <v>450340</v>
          </cell>
          <cell r="B4573" t="str">
            <v>1254</v>
          </cell>
          <cell r="C4573" t="str">
            <v>12</v>
          </cell>
          <cell r="D4573" t="str">
            <v>22</v>
          </cell>
          <cell r="E4573">
            <v>17</v>
          </cell>
          <cell r="G4573">
            <v>751966</v>
          </cell>
          <cell r="H4573">
            <v>0</v>
          </cell>
          <cell r="I4573">
            <v>0</v>
          </cell>
          <cell r="J4573">
            <v>0</v>
          </cell>
          <cell r="K4573">
            <v>0</v>
          </cell>
          <cell r="L4573">
            <v>0</v>
          </cell>
          <cell r="M4573">
            <v>0</v>
          </cell>
          <cell r="N4573">
            <v>0</v>
          </cell>
          <cell r="O4573">
            <v>0</v>
          </cell>
          <cell r="P4573">
            <v>1539121</v>
          </cell>
          <cell r="Q4573">
            <v>1539121</v>
          </cell>
          <cell r="R4573">
            <v>0</v>
          </cell>
          <cell r="S4573">
            <v>0</v>
          </cell>
          <cell r="T4573">
            <v>0</v>
          </cell>
          <cell r="U4573">
            <v>0</v>
          </cell>
          <cell r="V4573">
            <v>0</v>
          </cell>
          <cell r="W4573">
            <v>0</v>
          </cell>
        </row>
        <row r="4574">
          <cell r="A4574" t="str">
            <v>450340</v>
          </cell>
          <cell r="B4574" t="str">
            <v>1254</v>
          </cell>
          <cell r="C4574" t="str">
            <v>12</v>
          </cell>
          <cell r="D4574" t="str">
            <v>22</v>
          </cell>
          <cell r="E4574">
            <v>33</v>
          </cell>
          <cell r="G4574">
            <v>751966</v>
          </cell>
          <cell r="H4574">
            <v>0</v>
          </cell>
          <cell r="I4574">
            <v>0</v>
          </cell>
          <cell r="J4574">
            <v>0</v>
          </cell>
          <cell r="K4574">
            <v>0</v>
          </cell>
          <cell r="L4574">
            <v>0</v>
          </cell>
          <cell r="M4574">
            <v>0</v>
          </cell>
          <cell r="N4574">
            <v>0</v>
          </cell>
          <cell r="O4574">
            <v>0</v>
          </cell>
          <cell r="P4574">
            <v>0</v>
          </cell>
          <cell r="Q4574">
            <v>0</v>
          </cell>
          <cell r="R4574">
            <v>0</v>
          </cell>
          <cell r="S4574">
            <v>0</v>
          </cell>
          <cell r="T4574">
            <v>0</v>
          </cell>
          <cell r="U4574">
            <v>0</v>
          </cell>
          <cell r="V4574">
            <v>32789</v>
          </cell>
          <cell r="W4574">
            <v>32789</v>
          </cell>
        </row>
        <row r="4575">
          <cell r="A4575" t="str">
            <v>450340</v>
          </cell>
          <cell r="B4575" t="str">
            <v>1254</v>
          </cell>
          <cell r="C4575" t="str">
            <v>12</v>
          </cell>
          <cell r="D4575" t="str">
            <v>22</v>
          </cell>
          <cell r="E4575">
            <v>49</v>
          </cell>
          <cell r="G4575">
            <v>751966</v>
          </cell>
          <cell r="H4575">
            <v>0</v>
          </cell>
          <cell r="I4575">
            <v>2691448</v>
          </cell>
          <cell r="J4575">
            <v>0</v>
          </cell>
          <cell r="K4575">
            <v>0</v>
          </cell>
          <cell r="L4575">
            <v>0</v>
          </cell>
          <cell r="M4575">
            <v>0</v>
          </cell>
          <cell r="N4575">
            <v>0</v>
          </cell>
          <cell r="O4575">
            <v>4263358</v>
          </cell>
          <cell r="P4575">
            <v>0</v>
          </cell>
          <cell r="Q4575">
            <v>4263358</v>
          </cell>
          <cell r="R4575">
            <v>0</v>
          </cell>
          <cell r="S4575">
            <v>4263358</v>
          </cell>
          <cell r="T4575">
            <v>0</v>
          </cell>
          <cell r="U4575">
            <v>0</v>
          </cell>
          <cell r="V4575">
            <v>0</v>
          </cell>
          <cell r="W4575">
            <v>0</v>
          </cell>
        </row>
        <row r="4576">
          <cell r="A4576" t="str">
            <v>450340</v>
          </cell>
          <cell r="B4576" t="str">
            <v>1254</v>
          </cell>
          <cell r="C4576" t="str">
            <v>12</v>
          </cell>
          <cell r="D4576" t="str">
            <v>22</v>
          </cell>
          <cell r="E4576">
            <v>1</v>
          </cell>
          <cell r="G4576">
            <v>852018</v>
          </cell>
          <cell r="H4576">
            <v>0</v>
          </cell>
          <cell r="I4576">
            <v>0</v>
          </cell>
          <cell r="J4576">
            <v>3</v>
          </cell>
          <cell r="K4576">
            <v>0</v>
          </cell>
          <cell r="L4576">
            <v>0</v>
          </cell>
          <cell r="M4576">
            <v>0</v>
          </cell>
          <cell r="N4576">
            <v>0</v>
          </cell>
          <cell r="O4576">
            <v>0</v>
          </cell>
          <cell r="P4576">
            <v>0</v>
          </cell>
          <cell r="Q4576">
            <v>0</v>
          </cell>
          <cell r="R4576">
            <v>0</v>
          </cell>
          <cell r="S4576">
            <v>0</v>
          </cell>
          <cell r="T4576">
            <v>0</v>
          </cell>
          <cell r="U4576">
            <v>0</v>
          </cell>
          <cell r="V4576">
            <v>0</v>
          </cell>
          <cell r="W4576">
            <v>0</v>
          </cell>
        </row>
        <row r="4577">
          <cell r="A4577" t="str">
            <v>450340</v>
          </cell>
          <cell r="B4577" t="str">
            <v>1254</v>
          </cell>
          <cell r="C4577" t="str">
            <v>12</v>
          </cell>
          <cell r="D4577" t="str">
            <v>22</v>
          </cell>
          <cell r="E4577">
            <v>17</v>
          </cell>
          <cell r="G4577">
            <v>852018</v>
          </cell>
          <cell r="H4577">
            <v>0</v>
          </cell>
          <cell r="I4577">
            <v>0</v>
          </cell>
          <cell r="J4577">
            <v>0</v>
          </cell>
          <cell r="K4577">
            <v>0</v>
          </cell>
          <cell r="L4577">
            <v>0</v>
          </cell>
          <cell r="M4577">
            <v>0</v>
          </cell>
          <cell r="N4577">
            <v>0</v>
          </cell>
          <cell r="O4577">
            <v>0</v>
          </cell>
          <cell r="P4577">
            <v>0</v>
          </cell>
          <cell r="Q4577">
            <v>3</v>
          </cell>
          <cell r="R4577">
            <v>17</v>
          </cell>
          <cell r="S4577">
            <v>0</v>
          </cell>
          <cell r="T4577">
            <v>0</v>
          </cell>
          <cell r="U4577">
            <v>0</v>
          </cell>
          <cell r="V4577">
            <v>0</v>
          </cell>
          <cell r="W4577">
            <v>0</v>
          </cell>
        </row>
        <row r="4578">
          <cell r="A4578" t="str">
            <v>450340</v>
          </cell>
          <cell r="B4578" t="str">
            <v>1254</v>
          </cell>
          <cell r="C4578" t="str">
            <v>12</v>
          </cell>
          <cell r="D4578" t="str">
            <v>22</v>
          </cell>
          <cell r="E4578">
            <v>33</v>
          </cell>
          <cell r="G4578">
            <v>852018</v>
          </cell>
          <cell r="H4578">
            <v>0</v>
          </cell>
          <cell r="I4578">
            <v>0</v>
          </cell>
          <cell r="J4578">
            <v>0</v>
          </cell>
          <cell r="K4578">
            <v>0</v>
          </cell>
          <cell r="L4578">
            <v>0</v>
          </cell>
          <cell r="M4578">
            <v>0</v>
          </cell>
          <cell r="N4578">
            <v>0</v>
          </cell>
          <cell r="O4578">
            <v>0</v>
          </cell>
          <cell r="P4578">
            <v>0</v>
          </cell>
          <cell r="Q4578">
            <v>0</v>
          </cell>
          <cell r="R4578">
            <v>0</v>
          </cell>
          <cell r="S4578">
            <v>0</v>
          </cell>
          <cell r="T4578">
            <v>0</v>
          </cell>
          <cell r="U4578">
            <v>0</v>
          </cell>
          <cell r="V4578">
            <v>0</v>
          </cell>
          <cell r="W4578">
            <v>17</v>
          </cell>
        </row>
        <row r="4579">
          <cell r="A4579" t="str">
            <v>450340</v>
          </cell>
          <cell r="B4579" t="str">
            <v>1254</v>
          </cell>
          <cell r="C4579" t="str">
            <v>12</v>
          </cell>
          <cell r="D4579" t="str">
            <v>22</v>
          </cell>
          <cell r="E4579">
            <v>49</v>
          </cell>
          <cell r="G4579">
            <v>852018</v>
          </cell>
          <cell r="H4579">
            <v>0</v>
          </cell>
          <cell r="I4579">
            <v>0</v>
          </cell>
          <cell r="J4579">
            <v>0</v>
          </cell>
          <cell r="K4579">
            <v>0</v>
          </cell>
          <cell r="L4579">
            <v>0</v>
          </cell>
          <cell r="M4579">
            <v>0</v>
          </cell>
          <cell r="N4579">
            <v>0</v>
          </cell>
          <cell r="O4579">
            <v>20</v>
          </cell>
          <cell r="P4579">
            <v>0</v>
          </cell>
          <cell r="Q4579">
            <v>20</v>
          </cell>
          <cell r="R4579">
            <v>0</v>
          </cell>
          <cell r="S4579">
            <v>20</v>
          </cell>
          <cell r="T4579">
            <v>0</v>
          </cell>
          <cell r="U4579">
            <v>0</v>
          </cell>
          <cell r="V4579">
            <v>0</v>
          </cell>
          <cell r="W4579">
            <v>0</v>
          </cell>
        </row>
        <row r="4580">
          <cell r="A4580" t="str">
            <v>450340</v>
          </cell>
          <cell r="B4580" t="str">
            <v>1254</v>
          </cell>
          <cell r="C4580" t="str">
            <v>12</v>
          </cell>
          <cell r="D4580" t="str">
            <v>22</v>
          </cell>
          <cell r="E4580">
            <v>1</v>
          </cell>
          <cell r="G4580">
            <v>853277</v>
          </cell>
          <cell r="H4580">
            <v>0</v>
          </cell>
          <cell r="I4580">
            <v>0</v>
          </cell>
          <cell r="J4580">
            <v>0</v>
          </cell>
          <cell r="K4580">
            <v>0</v>
          </cell>
          <cell r="L4580">
            <v>0</v>
          </cell>
          <cell r="M4580">
            <v>0</v>
          </cell>
          <cell r="N4580">
            <v>0</v>
          </cell>
          <cell r="O4580">
            <v>48008</v>
          </cell>
          <cell r="P4580">
            <v>0</v>
          </cell>
          <cell r="Q4580">
            <v>0</v>
          </cell>
          <cell r="R4580">
            <v>48008</v>
          </cell>
          <cell r="S4580">
            <v>0</v>
          </cell>
          <cell r="T4580">
            <v>0</v>
          </cell>
          <cell r="U4580">
            <v>0</v>
          </cell>
          <cell r="V4580">
            <v>0</v>
          </cell>
          <cell r="W4580">
            <v>0</v>
          </cell>
        </row>
        <row r="4581">
          <cell r="A4581" t="str">
            <v>450340</v>
          </cell>
          <cell r="B4581" t="str">
            <v>1254</v>
          </cell>
          <cell r="C4581" t="str">
            <v>12</v>
          </cell>
          <cell r="D4581" t="str">
            <v>22</v>
          </cell>
          <cell r="E4581">
            <v>17</v>
          </cell>
          <cell r="G4581">
            <v>853277</v>
          </cell>
          <cell r="H4581">
            <v>0</v>
          </cell>
          <cell r="I4581">
            <v>0</v>
          </cell>
          <cell r="J4581">
            <v>0</v>
          </cell>
          <cell r="K4581">
            <v>0</v>
          </cell>
          <cell r="L4581">
            <v>0</v>
          </cell>
          <cell r="M4581">
            <v>0</v>
          </cell>
          <cell r="N4581">
            <v>0</v>
          </cell>
          <cell r="O4581">
            <v>0</v>
          </cell>
          <cell r="P4581">
            <v>0</v>
          </cell>
          <cell r="Q4581">
            <v>48008</v>
          </cell>
          <cell r="R4581">
            <v>0</v>
          </cell>
          <cell r="S4581">
            <v>0</v>
          </cell>
          <cell r="T4581">
            <v>0</v>
          </cell>
          <cell r="U4581">
            <v>0</v>
          </cell>
          <cell r="V4581">
            <v>0</v>
          </cell>
          <cell r="W4581">
            <v>0</v>
          </cell>
        </row>
        <row r="4582">
          <cell r="A4582" t="str">
            <v>450340</v>
          </cell>
          <cell r="B4582" t="str">
            <v>1254</v>
          </cell>
          <cell r="C4582" t="str">
            <v>12</v>
          </cell>
          <cell r="D4582" t="str">
            <v>22</v>
          </cell>
          <cell r="E4582">
            <v>33</v>
          </cell>
          <cell r="G4582">
            <v>853277</v>
          </cell>
          <cell r="H4582">
            <v>0</v>
          </cell>
          <cell r="I4582">
            <v>0</v>
          </cell>
          <cell r="J4582">
            <v>0</v>
          </cell>
          <cell r="K4582">
            <v>0</v>
          </cell>
          <cell r="L4582">
            <v>0</v>
          </cell>
          <cell r="M4582">
            <v>0</v>
          </cell>
          <cell r="N4582">
            <v>0</v>
          </cell>
          <cell r="O4582">
            <v>0</v>
          </cell>
          <cell r="P4582">
            <v>0</v>
          </cell>
          <cell r="Q4582">
            <v>0</v>
          </cell>
          <cell r="R4582">
            <v>0</v>
          </cell>
          <cell r="S4582">
            <v>0</v>
          </cell>
          <cell r="T4582">
            <v>0</v>
          </cell>
          <cell r="U4582">
            <v>0</v>
          </cell>
          <cell r="V4582">
            <v>0</v>
          </cell>
          <cell r="W4582">
            <v>0</v>
          </cell>
        </row>
        <row r="4583">
          <cell r="A4583" t="str">
            <v>450340</v>
          </cell>
          <cell r="B4583" t="str">
            <v>1254</v>
          </cell>
          <cell r="C4583" t="str">
            <v>12</v>
          </cell>
          <cell r="D4583" t="str">
            <v>22</v>
          </cell>
          <cell r="E4583">
            <v>49</v>
          </cell>
          <cell r="G4583">
            <v>853277</v>
          </cell>
          <cell r="H4583">
            <v>0</v>
          </cell>
          <cell r="I4583">
            <v>0</v>
          </cell>
          <cell r="J4583">
            <v>0</v>
          </cell>
          <cell r="K4583">
            <v>0</v>
          </cell>
          <cell r="L4583">
            <v>0</v>
          </cell>
          <cell r="M4583">
            <v>0</v>
          </cell>
          <cell r="N4583">
            <v>0</v>
          </cell>
          <cell r="O4583">
            <v>48008</v>
          </cell>
          <cell r="P4583">
            <v>0</v>
          </cell>
          <cell r="Q4583">
            <v>48008</v>
          </cell>
          <cell r="R4583">
            <v>0</v>
          </cell>
          <cell r="S4583">
            <v>48008</v>
          </cell>
          <cell r="T4583">
            <v>0</v>
          </cell>
          <cell r="U4583">
            <v>0</v>
          </cell>
          <cell r="V4583">
            <v>0</v>
          </cell>
          <cell r="W4583">
            <v>0</v>
          </cell>
        </row>
        <row r="4584">
          <cell r="A4584" t="str">
            <v>450340</v>
          </cell>
          <cell r="B4584" t="str">
            <v>1254</v>
          </cell>
          <cell r="C4584" t="str">
            <v>12</v>
          </cell>
          <cell r="D4584" t="str">
            <v>22</v>
          </cell>
          <cell r="E4584">
            <v>1</v>
          </cell>
          <cell r="G4584">
            <v>853288</v>
          </cell>
          <cell r="H4584">
            <v>0</v>
          </cell>
          <cell r="I4584">
            <v>0</v>
          </cell>
          <cell r="J4584">
            <v>0</v>
          </cell>
          <cell r="K4584">
            <v>0</v>
          </cell>
          <cell r="L4584">
            <v>4936</v>
          </cell>
          <cell r="M4584">
            <v>0</v>
          </cell>
          <cell r="N4584">
            <v>0</v>
          </cell>
          <cell r="O4584">
            <v>0</v>
          </cell>
          <cell r="P4584">
            <v>0</v>
          </cell>
          <cell r="Q4584">
            <v>0</v>
          </cell>
          <cell r="R4584">
            <v>4936</v>
          </cell>
          <cell r="S4584">
            <v>0</v>
          </cell>
          <cell r="T4584">
            <v>0</v>
          </cell>
          <cell r="U4584">
            <v>0</v>
          </cell>
          <cell r="V4584">
            <v>0</v>
          </cell>
          <cell r="W4584">
            <v>0</v>
          </cell>
        </row>
        <row r="4585">
          <cell r="A4585" t="str">
            <v>450340</v>
          </cell>
          <cell r="B4585" t="str">
            <v>1254</v>
          </cell>
          <cell r="C4585" t="str">
            <v>12</v>
          </cell>
          <cell r="D4585" t="str">
            <v>22</v>
          </cell>
          <cell r="E4585">
            <v>17</v>
          </cell>
          <cell r="G4585">
            <v>853288</v>
          </cell>
          <cell r="H4585">
            <v>0</v>
          </cell>
          <cell r="I4585">
            <v>0</v>
          </cell>
          <cell r="J4585">
            <v>0</v>
          </cell>
          <cell r="K4585">
            <v>0</v>
          </cell>
          <cell r="L4585">
            <v>0</v>
          </cell>
          <cell r="M4585">
            <v>0</v>
          </cell>
          <cell r="N4585">
            <v>0</v>
          </cell>
          <cell r="O4585">
            <v>0</v>
          </cell>
          <cell r="P4585">
            <v>0</v>
          </cell>
          <cell r="Q4585">
            <v>4936</v>
          </cell>
          <cell r="R4585">
            <v>0</v>
          </cell>
          <cell r="S4585">
            <v>0</v>
          </cell>
          <cell r="T4585">
            <v>0</v>
          </cell>
          <cell r="U4585">
            <v>0</v>
          </cell>
          <cell r="V4585">
            <v>0</v>
          </cell>
          <cell r="W4585">
            <v>0</v>
          </cell>
        </row>
        <row r="4586">
          <cell r="A4586" t="str">
            <v>450340</v>
          </cell>
          <cell r="B4586" t="str">
            <v>1254</v>
          </cell>
          <cell r="C4586" t="str">
            <v>12</v>
          </cell>
          <cell r="D4586" t="str">
            <v>22</v>
          </cell>
          <cell r="E4586">
            <v>33</v>
          </cell>
          <cell r="G4586">
            <v>853288</v>
          </cell>
          <cell r="H4586">
            <v>0</v>
          </cell>
          <cell r="I4586">
            <v>0</v>
          </cell>
          <cell r="J4586">
            <v>0</v>
          </cell>
          <cell r="K4586">
            <v>0</v>
          </cell>
          <cell r="L4586">
            <v>0</v>
          </cell>
          <cell r="M4586">
            <v>0</v>
          </cell>
          <cell r="N4586">
            <v>0</v>
          </cell>
          <cell r="O4586">
            <v>0</v>
          </cell>
          <cell r="P4586">
            <v>0</v>
          </cell>
          <cell r="Q4586">
            <v>0</v>
          </cell>
          <cell r="R4586">
            <v>0</v>
          </cell>
          <cell r="S4586">
            <v>0</v>
          </cell>
          <cell r="T4586">
            <v>0</v>
          </cell>
          <cell r="U4586">
            <v>0</v>
          </cell>
          <cell r="V4586">
            <v>0</v>
          </cell>
          <cell r="W4586">
            <v>0</v>
          </cell>
        </row>
        <row r="4587">
          <cell r="A4587" t="str">
            <v>450340</v>
          </cell>
          <cell r="B4587" t="str">
            <v>1254</v>
          </cell>
          <cell r="C4587" t="str">
            <v>12</v>
          </cell>
          <cell r="D4587" t="str">
            <v>22</v>
          </cell>
          <cell r="E4587">
            <v>49</v>
          </cell>
          <cell r="G4587">
            <v>853288</v>
          </cell>
          <cell r="H4587">
            <v>0</v>
          </cell>
          <cell r="I4587">
            <v>0</v>
          </cell>
          <cell r="J4587">
            <v>0</v>
          </cell>
          <cell r="K4587">
            <v>0</v>
          </cell>
          <cell r="L4587">
            <v>0</v>
          </cell>
          <cell r="M4587">
            <v>0</v>
          </cell>
          <cell r="N4587">
            <v>0</v>
          </cell>
          <cell r="O4587">
            <v>4936</v>
          </cell>
          <cell r="P4587">
            <v>0</v>
          </cell>
          <cell r="Q4587">
            <v>4936</v>
          </cell>
          <cell r="R4587">
            <v>0</v>
          </cell>
          <cell r="S4587">
            <v>4936</v>
          </cell>
          <cell r="T4587">
            <v>0</v>
          </cell>
          <cell r="U4587">
            <v>0</v>
          </cell>
          <cell r="V4587">
            <v>0</v>
          </cell>
          <cell r="W4587">
            <v>0</v>
          </cell>
        </row>
        <row r="4588">
          <cell r="A4588" t="str">
            <v>450340</v>
          </cell>
          <cell r="B4588" t="str">
            <v>1254</v>
          </cell>
          <cell r="C4588" t="str">
            <v>12</v>
          </cell>
          <cell r="D4588" t="str">
            <v>22</v>
          </cell>
          <cell r="E4588">
            <v>1</v>
          </cell>
          <cell r="G4588">
            <v>853311</v>
          </cell>
          <cell r="H4588">
            <v>0</v>
          </cell>
          <cell r="I4588">
            <v>0</v>
          </cell>
          <cell r="J4588">
            <v>0</v>
          </cell>
          <cell r="K4588">
            <v>0</v>
          </cell>
          <cell r="L4588">
            <v>103</v>
          </cell>
          <cell r="M4588">
            <v>0</v>
          </cell>
          <cell r="N4588">
            <v>0</v>
          </cell>
          <cell r="O4588">
            <v>0</v>
          </cell>
          <cell r="P4588">
            <v>0</v>
          </cell>
          <cell r="Q4588">
            <v>0</v>
          </cell>
          <cell r="R4588">
            <v>103</v>
          </cell>
          <cell r="S4588">
            <v>0</v>
          </cell>
          <cell r="T4588">
            <v>0</v>
          </cell>
          <cell r="U4588">
            <v>0</v>
          </cell>
          <cell r="V4588">
            <v>0</v>
          </cell>
          <cell r="W4588">
            <v>0</v>
          </cell>
        </row>
        <row r="4589">
          <cell r="A4589" t="str">
            <v>450340</v>
          </cell>
          <cell r="B4589" t="str">
            <v>1254</v>
          </cell>
          <cell r="C4589" t="str">
            <v>12</v>
          </cell>
          <cell r="D4589" t="str">
            <v>22</v>
          </cell>
          <cell r="E4589">
            <v>17</v>
          </cell>
          <cell r="G4589">
            <v>853311</v>
          </cell>
          <cell r="H4589">
            <v>0</v>
          </cell>
          <cell r="I4589">
            <v>0</v>
          </cell>
          <cell r="J4589">
            <v>0</v>
          </cell>
          <cell r="K4589">
            <v>0</v>
          </cell>
          <cell r="L4589">
            <v>0</v>
          </cell>
          <cell r="M4589">
            <v>0</v>
          </cell>
          <cell r="N4589">
            <v>0</v>
          </cell>
          <cell r="O4589">
            <v>0</v>
          </cell>
          <cell r="P4589">
            <v>0</v>
          </cell>
          <cell r="Q4589">
            <v>103</v>
          </cell>
          <cell r="R4589">
            <v>0</v>
          </cell>
          <cell r="S4589">
            <v>0</v>
          </cell>
          <cell r="T4589">
            <v>0</v>
          </cell>
          <cell r="U4589">
            <v>0</v>
          </cell>
          <cell r="V4589">
            <v>0</v>
          </cell>
          <cell r="W4589">
            <v>0</v>
          </cell>
        </row>
        <row r="4590">
          <cell r="A4590" t="str">
            <v>450340</v>
          </cell>
          <cell r="B4590" t="str">
            <v>1254</v>
          </cell>
          <cell r="C4590" t="str">
            <v>12</v>
          </cell>
          <cell r="D4590" t="str">
            <v>22</v>
          </cell>
          <cell r="E4590">
            <v>33</v>
          </cell>
          <cell r="G4590">
            <v>853311</v>
          </cell>
          <cell r="H4590">
            <v>0</v>
          </cell>
          <cell r="I4590">
            <v>0</v>
          </cell>
          <cell r="J4590">
            <v>0</v>
          </cell>
          <cell r="K4590">
            <v>0</v>
          </cell>
          <cell r="L4590">
            <v>0</v>
          </cell>
          <cell r="M4590">
            <v>0</v>
          </cell>
          <cell r="N4590">
            <v>0</v>
          </cell>
          <cell r="O4590">
            <v>0</v>
          </cell>
          <cell r="P4590">
            <v>0</v>
          </cell>
          <cell r="Q4590">
            <v>0</v>
          </cell>
          <cell r="R4590">
            <v>0</v>
          </cell>
          <cell r="S4590">
            <v>0</v>
          </cell>
          <cell r="T4590">
            <v>0</v>
          </cell>
          <cell r="U4590">
            <v>0</v>
          </cell>
          <cell r="V4590">
            <v>0</v>
          </cell>
          <cell r="W4590">
            <v>0</v>
          </cell>
        </row>
        <row r="4591">
          <cell r="A4591" t="str">
            <v>450340</v>
          </cell>
          <cell r="B4591" t="str">
            <v>1254</v>
          </cell>
          <cell r="C4591" t="str">
            <v>12</v>
          </cell>
          <cell r="D4591" t="str">
            <v>22</v>
          </cell>
          <cell r="E4591">
            <v>49</v>
          </cell>
          <cell r="G4591">
            <v>853311</v>
          </cell>
          <cell r="H4591">
            <v>0</v>
          </cell>
          <cell r="I4591">
            <v>0</v>
          </cell>
          <cell r="J4591">
            <v>0</v>
          </cell>
          <cell r="K4591">
            <v>0</v>
          </cell>
          <cell r="L4591">
            <v>0</v>
          </cell>
          <cell r="M4591">
            <v>0</v>
          </cell>
          <cell r="N4591">
            <v>0</v>
          </cell>
          <cell r="O4591">
            <v>103</v>
          </cell>
          <cell r="P4591">
            <v>0</v>
          </cell>
          <cell r="Q4591">
            <v>103</v>
          </cell>
          <cell r="R4591">
            <v>0</v>
          </cell>
          <cell r="S4591">
            <v>103</v>
          </cell>
          <cell r="T4591">
            <v>0</v>
          </cell>
          <cell r="U4591">
            <v>0</v>
          </cell>
          <cell r="V4591">
            <v>0</v>
          </cell>
          <cell r="W4591">
            <v>0</v>
          </cell>
        </row>
        <row r="4592">
          <cell r="A4592" t="str">
            <v>450340</v>
          </cell>
          <cell r="B4592" t="str">
            <v>1254</v>
          </cell>
          <cell r="C4592" t="str">
            <v>12</v>
          </cell>
          <cell r="D4592" t="str">
            <v>22</v>
          </cell>
          <cell r="E4592">
            <v>1</v>
          </cell>
          <cell r="G4592">
            <v>853322</v>
          </cell>
          <cell r="H4592">
            <v>0</v>
          </cell>
          <cell r="I4592">
            <v>0</v>
          </cell>
          <cell r="J4592">
            <v>0</v>
          </cell>
          <cell r="K4592">
            <v>0</v>
          </cell>
          <cell r="L4592">
            <v>5923</v>
          </cell>
          <cell r="M4592">
            <v>0</v>
          </cell>
          <cell r="N4592">
            <v>0</v>
          </cell>
          <cell r="O4592">
            <v>0</v>
          </cell>
          <cell r="P4592">
            <v>0</v>
          </cell>
          <cell r="Q4592">
            <v>0</v>
          </cell>
          <cell r="R4592">
            <v>5923</v>
          </cell>
          <cell r="S4592">
            <v>0</v>
          </cell>
          <cell r="T4592">
            <v>0</v>
          </cell>
          <cell r="U4592">
            <v>0</v>
          </cell>
          <cell r="V4592">
            <v>0</v>
          </cell>
          <cell r="W4592">
            <v>0</v>
          </cell>
        </row>
        <row r="4593">
          <cell r="A4593" t="str">
            <v>450340</v>
          </cell>
          <cell r="B4593" t="str">
            <v>1254</v>
          </cell>
          <cell r="C4593" t="str">
            <v>12</v>
          </cell>
          <cell r="D4593" t="str">
            <v>22</v>
          </cell>
          <cell r="E4593">
            <v>17</v>
          </cell>
          <cell r="G4593">
            <v>853322</v>
          </cell>
          <cell r="H4593">
            <v>0</v>
          </cell>
          <cell r="I4593">
            <v>0</v>
          </cell>
          <cell r="J4593">
            <v>0</v>
          </cell>
          <cell r="K4593">
            <v>0</v>
          </cell>
          <cell r="L4593">
            <v>0</v>
          </cell>
          <cell r="M4593">
            <v>0</v>
          </cell>
          <cell r="N4593">
            <v>0</v>
          </cell>
          <cell r="O4593">
            <v>0</v>
          </cell>
          <cell r="P4593">
            <v>0</v>
          </cell>
          <cell r="Q4593">
            <v>5923</v>
          </cell>
          <cell r="R4593">
            <v>0</v>
          </cell>
          <cell r="S4593">
            <v>0</v>
          </cell>
          <cell r="T4593">
            <v>0</v>
          </cell>
          <cell r="U4593">
            <v>0</v>
          </cell>
          <cell r="V4593">
            <v>0</v>
          </cell>
          <cell r="W4593">
            <v>0</v>
          </cell>
        </row>
        <row r="4594">
          <cell r="A4594" t="str">
            <v>450340</v>
          </cell>
          <cell r="B4594" t="str">
            <v>1254</v>
          </cell>
          <cell r="C4594" t="str">
            <v>12</v>
          </cell>
          <cell r="D4594" t="str">
            <v>22</v>
          </cell>
          <cell r="E4594">
            <v>33</v>
          </cell>
          <cell r="G4594">
            <v>853322</v>
          </cell>
          <cell r="H4594">
            <v>0</v>
          </cell>
          <cell r="I4594">
            <v>0</v>
          </cell>
          <cell r="J4594">
            <v>0</v>
          </cell>
          <cell r="K4594">
            <v>0</v>
          </cell>
          <cell r="L4594">
            <v>0</v>
          </cell>
          <cell r="M4594">
            <v>0</v>
          </cell>
          <cell r="N4594">
            <v>0</v>
          </cell>
          <cell r="O4594">
            <v>0</v>
          </cell>
          <cell r="P4594">
            <v>0</v>
          </cell>
          <cell r="Q4594">
            <v>0</v>
          </cell>
          <cell r="R4594">
            <v>0</v>
          </cell>
          <cell r="S4594">
            <v>0</v>
          </cell>
          <cell r="T4594">
            <v>0</v>
          </cell>
          <cell r="U4594">
            <v>0</v>
          </cell>
          <cell r="V4594">
            <v>0</v>
          </cell>
          <cell r="W4594">
            <v>0</v>
          </cell>
        </row>
        <row r="4595">
          <cell r="A4595" t="str">
            <v>450340</v>
          </cell>
          <cell r="B4595" t="str">
            <v>1254</v>
          </cell>
          <cell r="C4595" t="str">
            <v>12</v>
          </cell>
          <cell r="D4595" t="str">
            <v>22</v>
          </cell>
          <cell r="E4595">
            <v>49</v>
          </cell>
          <cell r="G4595">
            <v>853322</v>
          </cell>
          <cell r="H4595">
            <v>0</v>
          </cell>
          <cell r="I4595">
            <v>0</v>
          </cell>
          <cell r="J4595">
            <v>0</v>
          </cell>
          <cell r="K4595">
            <v>0</v>
          </cell>
          <cell r="L4595">
            <v>0</v>
          </cell>
          <cell r="M4595">
            <v>0</v>
          </cell>
          <cell r="N4595">
            <v>0</v>
          </cell>
          <cell r="O4595">
            <v>5923</v>
          </cell>
          <cell r="P4595">
            <v>0</v>
          </cell>
          <cell r="Q4595">
            <v>5923</v>
          </cell>
          <cell r="R4595">
            <v>0</v>
          </cell>
          <cell r="S4595">
            <v>5923</v>
          </cell>
          <cell r="T4595">
            <v>0</v>
          </cell>
          <cell r="U4595">
            <v>0</v>
          </cell>
          <cell r="V4595">
            <v>0</v>
          </cell>
          <cell r="W4595">
            <v>0</v>
          </cell>
        </row>
        <row r="4596">
          <cell r="A4596" t="str">
            <v>450340</v>
          </cell>
          <cell r="B4596" t="str">
            <v>1254</v>
          </cell>
          <cell r="C4596" t="str">
            <v>12</v>
          </cell>
          <cell r="D4596" t="str">
            <v>22</v>
          </cell>
          <cell r="E4596">
            <v>1</v>
          </cell>
          <cell r="G4596">
            <v>853344</v>
          </cell>
          <cell r="H4596">
            <v>0</v>
          </cell>
          <cell r="I4596">
            <v>0</v>
          </cell>
          <cell r="J4596">
            <v>0</v>
          </cell>
          <cell r="K4596">
            <v>0</v>
          </cell>
          <cell r="L4596">
            <v>5759</v>
          </cell>
          <cell r="M4596">
            <v>0</v>
          </cell>
          <cell r="N4596">
            <v>0</v>
          </cell>
          <cell r="O4596">
            <v>0</v>
          </cell>
          <cell r="P4596">
            <v>375</v>
          </cell>
          <cell r="Q4596">
            <v>0</v>
          </cell>
          <cell r="R4596">
            <v>6134</v>
          </cell>
          <cell r="S4596">
            <v>0</v>
          </cell>
          <cell r="T4596">
            <v>0</v>
          </cell>
          <cell r="U4596">
            <v>0</v>
          </cell>
          <cell r="V4596">
            <v>0</v>
          </cell>
          <cell r="W4596">
            <v>0</v>
          </cell>
        </row>
        <row r="4597">
          <cell r="A4597" t="str">
            <v>450340</v>
          </cell>
          <cell r="B4597" t="str">
            <v>1254</v>
          </cell>
          <cell r="C4597" t="str">
            <v>12</v>
          </cell>
          <cell r="D4597" t="str">
            <v>22</v>
          </cell>
          <cell r="E4597">
            <v>17</v>
          </cell>
          <cell r="G4597">
            <v>853344</v>
          </cell>
          <cell r="H4597">
            <v>0</v>
          </cell>
          <cell r="I4597">
            <v>0</v>
          </cell>
          <cell r="J4597">
            <v>0</v>
          </cell>
          <cell r="K4597">
            <v>0</v>
          </cell>
          <cell r="L4597">
            <v>0</v>
          </cell>
          <cell r="M4597">
            <v>0</v>
          </cell>
          <cell r="N4597">
            <v>0</v>
          </cell>
          <cell r="O4597">
            <v>0</v>
          </cell>
          <cell r="P4597">
            <v>0</v>
          </cell>
          <cell r="Q4597">
            <v>6134</v>
          </cell>
          <cell r="R4597">
            <v>0</v>
          </cell>
          <cell r="S4597">
            <v>0</v>
          </cell>
          <cell r="T4597">
            <v>3018</v>
          </cell>
          <cell r="U4597">
            <v>0</v>
          </cell>
          <cell r="V4597">
            <v>0</v>
          </cell>
          <cell r="W4597">
            <v>0</v>
          </cell>
        </row>
        <row r="4598">
          <cell r="A4598" t="str">
            <v>450340</v>
          </cell>
          <cell r="B4598" t="str">
            <v>1254</v>
          </cell>
          <cell r="C4598" t="str">
            <v>12</v>
          </cell>
          <cell r="D4598" t="str">
            <v>22</v>
          </cell>
          <cell r="E4598">
            <v>33</v>
          </cell>
          <cell r="G4598">
            <v>853344</v>
          </cell>
          <cell r="H4598">
            <v>0</v>
          </cell>
          <cell r="I4598">
            <v>0</v>
          </cell>
          <cell r="J4598">
            <v>3018</v>
          </cell>
          <cell r="K4598">
            <v>0</v>
          </cell>
          <cell r="L4598">
            <v>0</v>
          </cell>
          <cell r="M4598">
            <v>0</v>
          </cell>
          <cell r="N4598">
            <v>0</v>
          </cell>
          <cell r="O4598">
            <v>0</v>
          </cell>
          <cell r="P4598">
            <v>0</v>
          </cell>
          <cell r="Q4598">
            <v>0</v>
          </cell>
          <cell r="R4598">
            <v>0</v>
          </cell>
          <cell r="S4598">
            <v>0</v>
          </cell>
          <cell r="T4598">
            <v>0</v>
          </cell>
          <cell r="U4598">
            <v>0</v>
          </cell>
          <cell r="V4598">
            <v>0</v>
          </cell>
          <cell r="W4598">
            <v>3018</v>
          </cell>
        </row>
        <row r="4599">
          <cell r="A4599" t="str">
            <v>450340</v>
          </cell>
          <cell r="B4599" t="str">
            <v>1254</v>
          </cell>
          <cell r="C4599" t="str">
            <v>12</v>
          </cell>
          <cell r="D4599" t="str">
            <v>22</v>
          </cell>
          <cell r="E4599">
            <v>49</v>
          </cell>
          <cell r="G4599">
            <v>853344</v>
          </cell>
          <cell r="H4599">
            <v>0</v>
          </cell>
          <cell r="I4599">
            <v>0</v>
          </cell>
          <cell r="J4599">
            <v>0</v>
          </cell>
          <cell r="K4599">
            <v>0</v>
          </cell>
          <cell r="L4599">
            <v>0</v>
          </cell>
          <cell r="M4599">
            <v>139</v>
          </cell>
          <cell r="N4599">
            <v>139</v>
          </cell>
          <cell r="O4599">
            <v>9291</v>
          </cell>
          <cell r="P4599">
            <v>0</v>
          </cell>
          <cell r="Q4599">
            <v>9291</v>
          </cell>
          <cell r="R4599">
            <v>0</v>
          </cell>
          <cell r="S4599">
            <v>9291</v>
          </cell>
          <cell r="T4599">
            <v>0</v>
          </cell>
          <cell r="U4599">
            <v>0</v>
          </cell>
          <cell r="V4599">
            <v>0</v>
          </cell>
          <cell r="W4599">
            <v>0</v>
          </cell>
        </row>
        <row r="4600">
          <cell r="A4600" t="str">
            <v>450340</v>
          </cell>
          <cell r="B4600" t="str">
            <v>1254</v>
          </cell>
          <cell r="C4600" t="str">
            <v>12</v>
          </cell>
          <cell r="D4600" t="str">
            <v>22</v>
          </cell>
          <cell r="E4600">
            <v>1</v>
          </cell>
          <cell r="G4600">
            <v>853355</v>
          </cell>
          <cell r="H4600">
            <v>0</v>
          </cell>
          <cell r="I4600">
            <v>20</v>
          </cell>
          <cell r="J4600">
            <v>0</v>
          </cell>
          <cell r="K4600">
            <v>0</v>
          </cell>
          <cell r="L4600">
            <v>0</v>
          </cell>
          <cell r="M4600">
            <v>0</v>
          </cell>
          <cell r="N4600">
            <v>0</v>
          </cell>
          <cell r="O4600">
            <v>0</v>
          </cell>
          <cell r="P4600">
            <v>0</v>
          </cell>
          <cell r="Q4600">
            <v>0</v>
          </cell>
          <cell r="R4600">
            <v>0</v>
          </cell>
          <cell r="S4600">
            <v>0</v>
          </cell>
          <cell r="T4600">
            <v>0</v>
          </cell>
          <cell r="U4600">
            <v>0</v>
          </cell>
          <cell r="V4600">
            <v>0</v>
          </cell>
          <cell r="W4600">
            <v>0</v>
          </cell>
        </row>
        <row r="4601">
          <cell r="A4601" t="str">
            <v>450340</v>
          </cell>
          <cell r="B4601" t="str">
            <v>1254</v>
          </cell>
          <cell r="C4601" t="str">
            <v>12</v>
          </cell>
          <cell r="D4601" t="str">
            <v>22</v>
          </cell>
          <cell r="E4601">
            <v>17</v>
          </cell>
          <cell r="G4601">
            <v>853355</v>
          </cell>
          <cell r="H4601">
            <v>0</v>
          </cell>
          <cell r="I4601">
            <v>0</v>
          </cell>
          <cell r="J4601">
            <v>0</v>
          </cell>
          <cell r="K4601">
            <v>0</v>
          </cell>
          <cell r="L4601">
            <v>0</v>
          </cell>
          <cell r="M4601">
            <v>0</v>
          </cell>
          <cell r="N4601">
            <v>0</v>
          </cell>
          <cell r="O4601">
            <v>0</v>
          </cell>
          <cell r="P4601">
            <v>0</v>
          </cell>
          <cell r="Q4601">
            <v>20</v>
          </cell>
          <cell r="R4601">
            <v>0</v>
          </cell>
          <cell r="S4601">
            <v>0</v>
          </cell>
          <cell r="T4601">
            <v>0</v>
          </cell>
          <cell r="U4601">
            <v>0</v>
          </cell>
          <cell r="V4601">
            <v>0</v>
          </cell>
          <cell r="W4601">
            <v>0</v>
          </cell>
        </row>
        <row r="4602">
          <cell r="A4602" t="str">
            <v>450340</v>
          </cell>
          <cell r="B4602" t="str">
            <v>1254</v>
          </cell>
          <cell r="C4602" t="str">
            <v>12</v>
          </cell>
          <cell r="D4602" t="str">
            <v>22</v>
          </cell>
          <cell r="E4602">
            <v>33</v>
          </cell>
          <cell r="G4602">
            <v>853355</v>
          </cell>
          <cell r="H4602">
            <v>0</v>
          </cell>
          <cell r="I4602">
            <v>0</v>
          </cell>
          <cell r="J4602">
            <v>0</v>
          </cell>
          <cell r="K4602">
            <v>0</v>
          </cell>
          <cell r="L4602">
            <v>0</v>
          </cell>
          <cell r="M4602">
            <v>0</v>
          </cell>
          <cell r="N4602">
            <v>0</v>
          </cell>
          <cell r="O4602">
            <v>0</v>
          </cell>
          <cell r="P4602">
            <v>0</v>
          </cell>
          <cell r="Q4602">
            <v>0</v>
          </cell>
          <cell r="R4602">
            <v>0</v>
          </cell>
          <cell r="S4602">
            <v>0</v>
          </cell>
          <cell r="T4602">
            <v>0</v>
          </cell>
          <cell r="U4602">
            <v>0</v>
          </cell>
          <cell r="V4602">
            <v>0</v>
          </cell>
          <cell r="W4602">
            <v>0</v>
          </cell>
        </row>
        <row r="4603">
          <cell r="A4603" t="str">
            <v>450340</v>
          </cell>
          <cell r="B4603" t="str">
            <v>1254</v>
          </cell>
          <cell r="C4603" t="str">
            <v>12</v>
          </cell>
          <cell r="D4603" t="str">
            <v>22</v>
          </cell>
          <cell r="E4603">
            <v>49</v>
          </cell>
          <cell r="G4603">
            <v>853355</v>
          </cell>
          <cell r="H4603">
            <v>0</v>
          </cell>
          <cell r="I4603">
            <v>0</v>
          </cell>
          <cell r="J4603">
            <v>0</v>
          </cell>
          <cell r="K4603">
            <v>0</v>
          </cell>
          <cell r="L4603">
            <v>0</v>
          </cell>
          <cell r="M4603">
            <v>0</v>
          </cell>
          <cell r="N4603">
            <v>0</v>
          </cell>
          <cell r="O4603">
            <v>20</v>
          </cell>
          <cell r="P4603">
            <v>0</v>
          </cell>
          <cell r="Q4603">
            <v>20</v>
          </cell>
          <cell r="R4603">
            <v>0</v>
          </cell>
          <cell r="S4603">
            <v>20</v>
          </cell>
          <cell r="T4603">
            <v>0</v>
          </cell>
          <cell r="U4603">
            <v>0</v>
          </cell>
          <cell r="V4603">
            <v>0</v>
          </cell>
          <cell r="W4603">
            <v>0</v>
          </cell>
        </row>
        <row r="4604">
          <cell r="A4604" t="str">
            <v>450340</v>
          </cell>
          <cell r="B4604" t="str">
            <v>1254</v>
          </cell>
          <cell r="C4604" t="str">
            <v>12</v>
          </cell>
          <cell r="D4604" t="str">
            <v>22</v>
          </cell>
          <cell r="E4604">
            <v>1</v>
          </cell>
          <cell r="G4604">
            <v>901116</v>
          </cell>
          <cell r="H4604">
            <v>0</v>
          </cell>
          <cell r="I4604">
            <v>0</v>
          </cell>
          <cell r="J4604">
            <v>1696</v>
          </cell>
          <cell r="K4604">
            <v>0</v>
          </cell>
          <cell r="L4604">
            <v>0</v>
          </cell>
          <cell r="M4604">
            <v>0</v>
          </cell>
          <cell r="N4604">
            <v>0</v>
          </cell>
          <cell r="O4604">
            <v>0</v>
          </cell>
          <cell r="P4604">
            <v>0</v>
          </cell>
          <cell r="Q4604">
            <v>0</v>
          </cell>
          <cell r="R4604">
            <v>0</v>
          </cell>
          <cell r="S4604">
            <v>0</v>
          </cell>
          <cell r="T4604">
            <v>0</v>
          </cell>
          <cell r="U4604">
            <v>0</v>
          </cell>
          <cell r="V4604">
            <v>1982</v>
          </cell>
          <cell r="W4604">
            <v>0</v>
          </cell>
        </row>
        <row r="4605">
          <cell r="A4605" t="str">
            <v>450340</v>
          </cell>
          <cell r="B4605" t="str">
            <v>1254</v>
          </cell>
          <cell r="C4605" t="str">
            <v>12</v>
          </cell>
          <cell r="D4605" t="str">
            <v>22</v>
          </cell>
          <cell r="E4605">
            <v>17</v>
          </cell>
          <cell r="G4605">
            <v>901116</v>
          </cell>
          <cell r="H4605">
            <v>1982</v>
          </cell>
          <cell r="I4605">
            <v>0</v>
          </cell>
          <cell r="J4605">
            <v>0</v>
          </cell>
          <cell r="K4605">
            <v>0</v>
          </cell>
          <cell r="L4605">
            <v>0</v>
          </cell>
          <cell r="M4605">
            <v>0</v>
          </cell>
          <cell r="N4605">
            <v>1982</v>
          </cell>
          <cell r="O4605">
            <v>0</v>
          </cell>
          <cell r="P4605">
            <v>0</v>
          </cell>
          <cell r="Q4605">
            <v>3678</v>
          </cell>
          <cell r="R4605">
            <v>0</v>
          </cell>
          <cell r="S4605">
            <v>0</v>
          </cell>
          <cell r="T4605">
            <v>0</v>
          </cell>
          <cell r="U4605">
            <v>0</v>
          </cell>
          <cell r="V4605">
            <v>0</v>
          </cell>
          <cell r="W4605">
            <v>0</v>
          </cell>
        </row>
        <row r="4606">
          <cell r="A4606" t="str">
            <v>450340</v>
          </cell>
          <cell r="B4606" t="str">
            <v>1254</v>
          </cell>
          <cell r="C4606" t="str">
            <v>12</v>
          </cell>
          <cell r="D4606" t="str">
            <v>22</v>
          </cell>
          <cell r="E4606">
            <v>33</v>
          </cell>
          <cell r="G4606">
            <v>901116</v>
          </cell>
          <cell r="H4606">
            <v>3904</v>
          </cell>
          <cell r="I4606">
            <v>0</v>
          </cell>
          <cell r="J4606">
            <v>3904</v>
          </cell>
          <cell r="K4606">
            <v>238</v>
          </cell>
          <cell r="L4606">
            <v>146540</v>
          </cell>
          <cell r="M4606">
            <v>0</v>
          </cell>
          <cell r="N4606">
            <v>0</v>
          </cell>
          <cell r="O4606">
            <v>146778</v>
          </cell>
          <cell r="P4606">
            <v>0</v>
          </cell>
          <cell r="Q4606">
            <v>0</v>
          </cell>
          <cell r="R4606">
            <v>0</v>
          </cell>
          <cell r="S4606">
            <v>0</v>
          </cell>
          <cell r="T4606">
            <v>0</v>
          </cell>
          <cell r="U4606">
            <v>146778</v>
          </cell>
          <cell r="V4606">
            <v>0</v>
          </cell>
          <cell r="W4606">
            <v>150682</v>
          </cell>
        </row>
        <row r="4607">
          <cell r="A4607" t="str">
            <v>450340</v>
          </cell>
          <cell r="B4607" t="str">
            <v>1254</v>
          </cell>
          <cell r="C4607" t="str">
            <v>12</v>
          </cell>
          <cell r="D4607" t="str">
            <v>22</v>
          </cell>
          <cell r="E4607">
            <v>49</v>
          </cell>
          <cell r="G4607">
            <v>901116</v>
          </cell>
          <cell r="H4607">
            <v>0</v>
          </cell>
          <cell r="I4607">
            <v>0</v>
          </cell>
          <cell r="J4607">
            <v>0</v>
          </cell>
          <cell r="K4607">
            <v>0</v>
          </cell>
          <cell r="L4607">
            <v>0</v>
          </cell>
          <cell r="M4607">
            <v>0</v>
          </cell>
          <cell r="N4607">
            <v>0</v>
          </cell>
          <cell r="O4607">
            <v>154360</v>
          </cell>
          <cell r="P4607">
            <v>0</v>
          </cell>
          <cell r="Q4607">
            <v>154360</v>
          </cell>
          <cell r="R4607">
            <v>0</v>
          </cell>
          <cell r="S4607">
            <v>154360</v>
          </cell>
          <cell r="T4607">
            <v>0</v>
          </cell>
          <cell r="U4607">
            <v>0</v>
          </cell>
          <cell r="V4607">
            <v>0</v>
          </cell>
          <cell r="W4607">
            <v>0</v>
          </cell>
        </row>
        <row r="4608">
          <cell r="A4608" t="str">
            <v>450340</v>
          </cell>
          <cell r="B4608" t="str">
            <v>1254</v>
          </cell>
          <cell r="C4608" t="str">
            <v>12</v>
          </cell>
          <cell r="D4608" t="str">
            <v>22</v>
          </cell>
          <cell r="E4608">
            <v>1</v>
          </cell>
          <cell r="G4608">
            <v>902113</v>
          </cell>
          <cell r="H4608">
            <v>0</v>
          </cell>
          <cell r="I4608">
            <v>1704</v>
          </cell>
          <cell r="J4608">
            <v>571</v>
          </cell>
          <cell r="K4608">
            <v>0</v>
          </cell>
          <cell r="L4608">
            <v>0</v>
          </cell>
          <cell r="M4608">
            <v>0</v>
          </cell>
          <cell r="N4608">
            <v>0</v>
          </cell>
          <cell r="O4608">
            <v>0</v>
          </cell>
          <cell r="P4608">
            <v>0</v>
          </cell>
          <cell r="Q4608">
            <v>0</v>
          </cell>
          <cell r="R4608">
            <v>0</v>
          </cell>
          <cell r="S4608">
            <v>0</v>
          </cell>
          <cell r="T4608">
            <v>451</v>
          </cell>
          <cell r="U4608">
            <v>0</v>
          </cell>
          <cell r="V4608">
            <v>1000</v>
          </cell>
          <cell r="W4608">
            <v>0</v>
          </cell>
        </row>
        <row r="4609">
          <cell r="A4609" t="str">
            <v>450340</v>
          </cell>
          <cell r="B4609" t="str">
            <v>1254</v>
          </cell>
          <cell r="C4609" t="str">
            <v>12</v>
          </cell>
          <cell r="D4609" t="str">
            <v>22</v>
          </cell>
          <cell r="E4609">
            <v>17</v>
          </cell>
          <cell r="G4609">
            <v>902113</v>
          </cell>
          <cell r="H4609">
            <v>1451</v>
          </cell>
          <cell r="I4609">
            <v>0</v>
          </cell>
          <cell r="J4609">
            <v>0</v>
          </cell>
          <cell r="K4609">
            <v>0</v>
          </cell>
          <cell r="L4609">
            <v>0</v>
          </cell>
          <cell r="M4609">
            <v>0</v>
          </cell>
          <cell r="N4609">
            <v>1451</v>
          </cell>
          <cell r="O4609">
            <v>0</v>
          </cell>
          <cell r="P4609">
            <v>0</v>
          </cell>
          <cell r="Q4609">
            <v>3726</v>
          </cell>
          <cell r="R4609">
            <v>1120</v>
          </cell>
          <cell r="S4609">
            <v>0</v>
          </cell>
          <cell r="T4609">
            <v>0</v>
          </cell>
          <cell r="U4609">
            <v>0</v>
          </cell>
          <cell r="V4609">
            <v>0</v>
          </cell>
          <cell r="W4609">
            <v>0</v>
          </cell>
        </row>
        <row r="4610">
          <cell r="A4610" t="str">
            <v>450340</v>
          </cell>
          <cell r="B4610" t="str">
            <v>1254</v>
          </cell>
          <cell r="C4610" t="str">
            <v>12</v>
          </cell>
          <cell r="D4610" t="str">
            <v>22</v>
          </cell>
          <cell r="E4610">
            <v>33</v>
          </cell>
          <cell r="G4610">
            <v>902113</v>
          </cell>
          <cell r="H4610">
            <v>0</v>
          </cell>
          <cell r="I4610">
            <v>0</v>
          </cell>
          <cell r="J4610">
            <v>0</v>
          </cell>
          <cell r="K4610">
            <v>0</v>
          </cell>
          <cell r="L4610">
            <v>0</v>
          </cell>
          <cell r="M4610">
            <v>195</v>
          </cell>
          <cell r="N4610">
            <v>0</v>
          </cell>
          <cell r="O4610">
            <v>195</v>
          </cell>
          <cell r="P4610">
            <v>0</v>
          </cell>
          <cell r="Q4610">
            <v>0</v>
          </cell>
          <cell r="R4610">
            <v>0</v>
          </cell>
          <cell r="S4610">
            <v>0</v>
          </cell>
          <cell r="T4610">
            <v>0</v>
          </cell>
          <cell r="U4610">
            <v>195</v>
          </cell>
          <cell r="V4610">
            <v>0</v>
          </cell>
          <cell r="W4610">
            <v>1315</v>
          </cell>
        </row>
        <row r="4611">
          <cell r="A4611" t="str">
            <v>450340</v>
          </cell>
          <cell r="B4611" t="str">
            <v>1254</v>
          </cell>
          <cell r="C4611" t="str">
            <v>12</v>
          </cell>
          <cell r="D4611" t="str">
            <v>22</v>
          </cell>
          <cell r="E4611">
            <v>49</v>
          </cell>
          <cell r="G4611">
            <v>902113</v>
          </cell>
          <cell r="H4611">
            <v>0</v>
          </cell>
          <cell r="I4611">
            <v>0</v>
          </cell>
          <cell r="J4611">
            <v>0</v>
          </cell>
          <cell r="K4611">
            <v>0</v>
          </cell>
          <cell r="L4611">
            <v>0</v>
          </cell>
          <cell r="M4611">
            <v>0</v>
          </cell>
          <cell r="N4611">
            <v>0</v>
          </cell>
          <cell r="O4611">
            <v>5041</v>
          </cell>
          <cell r="P4611">
            <v>0</v>
          </cell>
          <cell r="Q4611">
            <v>5041</v>
          </cell>
          <cell r="R4611">
            <v>11249</v>
          </cell>
          <cell r="S4611">
            <v>16290</v>
          </cell>
          <cell r="T4611">
            <v>0</v>
          </cell>
          <cell r="U4611">
            <v>0</v>
          </cell>
          <cell r="V4611">
            <v>0</v>
          </cell>
          <cell r="W4611">
            <v>0</v>
          </cell>
        </row>
        <row r="4612">
          <cell r="A4612" t="str">
            <v>450340</v>
          </cell>
          <cell r="B4612" t="str">
            <v>1254</v>
          </cell>
          <cell r="C4612" t="str">
            <v>12</v>
          </cell>
          <cell r="D4612" t="str">
            <v>22</v>
          </cell>
          <cell r="E4612">
            <v>1</v>
          </cell>
          <cell r="G4612">
            <v>924047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</row>
        <row r="4613">
          <cell r="A4613" t="str">
            <v>450340</v>
          </cell>
          <cell r="B4613" t="str">
            <v>1254</v>
          </cell>
          <cell r="C4613" t="str">
            <v>12</v>
          </cell>
          <cell r="D4613" t="str">
            <v>22</v>
          </cell>
          <cell r="E4613">
            <v>17</v>
          </cell>
          <cell r="G4613">
            <v>924047</v>
          </cell>
          <cell r="H4613">
            <v>0</v>
          </cell>
          <cell r="I4613">
            <v>0</v>
          </cell>
          <cell r="J4613">
            <v>0</v>
          </cell>
          <cell r="K4613">
            <v>0</v>
          </cell>
          <cell r="L4613">
            <v>0</v>
          </cell>
          <cell r="M4613">
            <v>0</v>
          </cell>
          <cell r="N4613">
            <v>0</v>
          </cell>
          <cell r="O4613">
            <v>0</v>
          </cell>
          <cell r="P4613">
            <v>0</v>
          </cell>
          <cell r="Q4613">
            <v>0</v>
          </cell>
          <cell r="R4613">
            <v>0</v>
          </cell>
          <cell r="S4613">
            <v>0</v>
          </cell>
          <cell r="T4613">
            <v>97802</v>
          </cell>
          <cell r="U4613">
            <v>0</v>
          </cell>
          <cell r="V4613">
            <v>0</v>
          </cell>
          <cell r="W4613">
            <v>0</v>
          </cell>
        </row>
        <row r="4614">
          <cell r="A4614" t="str">
            <v>450340</v>
          </cell>
          <cell r="B4614" t="str">
            <v>1254</v>
          </cell>
          <cell r="C4614" t="str">
            <v>12</v>
          </cell>
          <cell r="D4614" t="str">
            <v>22</v>
          </cell>
          <cell r="E4614">
            <v>33</v>
          </cell>
          <cell r="G4614">
            <v>924047</v>
          </cell>
          <cell r="H4614">
            <v>0</v>
          </cell>
          <cell r="I4614">
            <v>0</v>
          </cell>
          <cell r="J4614">
            <v>97802</v>
          </cell>
          <cell r="K4614">
            <v>0</v>
          </cell>
          <cell r="L4614">
            <v>0</v>
          </cell>
          <cell r="M4614">
            <v>0</v>
          </cell>
          <cell r="N4614">
            <v>0</v>
          </cell>
          <cell r="O4614">
            <v>0</v>
          </cell>
          <cell r="P4614">
            <v>0</v>
          </cell>
          <cell r="Q4614">
            <v>0</v>
          </cell>
          <cell r="R4614">
            <v>0</v>
          </cell>
          <cell r="S4614">
            <v>0</v>
          </cell>
          <cell r="T4614">
            <v>0</v>
          </cell>
          <cell r="U4614">
            <v>0</v>
          </cell>
          <cell r="V4614">
            <v>0</v>
          </cell>
          <cell r="W4614">
            <v>97802</v>
          </cell>
        </row>
        <row r="4615">
          <cell r="A4615" t="str">
            <v>450340</v>
          </cell>
          <cell r="B4615" t="str">
            <v>1254</v>
          </cell>
          <cell r="C4615" t="str">
            <v>12</v>
          </cell>
          <cell r="D4615" t="str">
            <v>22</v>
          </cell>
          <cell r="E4615">
            <v>49</v>
          </cell>
          <cell r="G4615">
            <v>924047</v>
          </cell>
          <cell r="H4615">
            <v>0</v>
          </cell>
          <cell r="I4615">
            <v>0</v>
          </cell>
          <cell r="J4615">
            <v>0</v>
          </cell>
          <cell r="K4615">
            <v>0</v>
          </cell>
          <cell r="L4615">
            <v>0</v>
          </cell>
          <cell r="M4615">
            <v>0</v>
          </cell>
          <cell r="N4615">
            <v>0</v>
          </cell>
          <cell r="O4615">
            <v>97802</v>
          </cell>
          <cell r="P4615">
            <v>0</v>
          </cell>
          <cell r="Q4615">
            <v>97802</v>
          </cell>
          <cell r="R4615">
            <v>0</v>
          </cell>
          <cell r="S4615">
            <v>97802</v>
          </cell>
          <cell r="T4615">
            <v>0</v>
          </cell>
          <cell r="U4615">
            <v>0</v>
          </cell>
          <cell r="V4615">
            <v>0</v>
          </cell>
          <cell r="W4615">
            <v>0</v>
          </cell>
        </row>
        <row r="4616">
          <cell r="A4616" t="str">
            <v>450340</v>
          </cell>
          <cell r="B4616" t="str">
            <v>1254</v>
          </cell>
          <cell r="C4616" t="str">
            <v>12</v>
          </cell>
          <cell r="D4616" t="str">
            <v>22</v>
          </cell>
          <cell r="E4616">
            <v>1</v>
          </cell>
          <cell r="G4616">
            <v>999999</v>
          </cell>
          <cell r="H4616">
            <v>3894</v>
          </cell>
          <cell r="I4616">
            <v>107145</v>
          </cell>
          <cell r="J4616">
            <v>57055</v>
          </cell>
          <cell r="K4616">
            <v>2194</v>
          </cell>
          <cell r="L4616">
            <v>48251</v>
          </cell>
          <cell r="M4616">
            <v>0</v>
          </cell>
          <cell r="N4616">
            <v>0</v>
          </cell>
          <cell r="O4616">
            <v>49560</v>
          </cell>
          <cell r="P4616">
            <v>21801</v>
          </cell>
          <cell r="Q4616">
            <v>38162</v>
          </cell>
          <cell r="R4616">
            <v>157774</v>
          </cell>
          <cell r="S4616">
            <v>0</v>
          </cell>
          <cell r="T4616">
            <v>491</v>
          </cell>
          <cell r="U4616">
            <v>0</v>
          </cell>
          <cell r="V4616">
            <v>3064</v>
          </cell>
          <cell r="W4616">
            <v>0</v>
          </cell>
        </row>
        <row r="4617">
          <cell r="A4617" t="str">
            <v>450340</v>
          </cell>
          <cell r="B4617" t="str">
            <v>1254</v>
          </cell>
          <cell r="C4617" t="str">
            <v>12</v>
          </cell>
          <cell r="D4617" t="str">
            <v>22</v>
          </cell>
          <cell r="E4617">
            <v>17</v>
          </cell>
          <cell r="G4617">
            <v>999999</v>
          </cell>
          <cell r="H4617">
            <v>3555</v>
          </cell>
          <cell r="I4617">
            <v>0</v>
          </cell>
          <cell r="J4617">
            <v>0</v>
          </cell>
          <cell r="K4617">
            <v>0</v>
          </cell>
          <cell r="L4617">
            <v>0</v>
          </cell>
          <cell r="M4617">
            <v>0</v>
          </cell>
          <cell r="N4617">
            <v>3555</v>
          </cell>
          <cell r="O4617">
            <v>0</v>
          </cell>
          <cell r="P4617">
            <v>1539121</v>
          </cell>
          <cell r="Q4617">
            <v>1870738</v>
          </cell>
          <cell r="R4617">
            <v>162388</v>
          </cell>
          <cell r="S4617">
            <v>928</v>
          </cell>
          <cell r="T4617">
            <v>129122</v>
          </cell>
          <cell r="U4617">
            <v>0</v>
          </cell>
          <cell r="V4617">
            <v>0</v>
          </cell>
          <cell r="W4617">
            <v>0</v>
          </cell>
        </row>
        <row r="4618">
          <cell r="A4618" t="str">
            <v>450340</v>
          </cell>
          <cell r="B4618" t="str">
            <v>1254</v>
          </cell>
          <cell r="C4618" t="str">
            <v>12</v>
          </cell>
          <cell r="D4618" t="str">
            <v>22</v>
          </cell>
          <cell r="E4618">
            <v>33</v>
          </cell>
          <cell r="G4618">
            <v>999999</v>
          </cell>
          <cell r="H4618">
            <v>4644</v>
          </cell>
          <cell r="I4618">
            <v>0</v>
          </cell>
          <cell r="J4618">
            <v>133766</v>
          </cell>
          <cell r="K4618">
            <v>29503</v>
          </cell>
          <cell r="L4618">
            <v>146540</v>
          </cell>
          <cell r="M4618">
            <v>542</v>
          </cell>
          <cell r="N4618">
            <v>0</v>
          </cell>
          <cell r="O4618">
            <v>176585</v>
          </cell>
          <cell r="P4618">
            <v>0</v>
          </cell>
          <cell r="Q4618">
            <v>0</v>
          </cell>
          <cell r="R4618">
            <v>0</v>
          </cell>
          <cell r="S4618">
            <v>0</v>
          </cell>
          <cell r="T4618">
            <v>0</v>
          </cell>
          <cell r="U4618">
            <v>176585</v>
          </cell>
          <cell r="V4618">
            <v>32789</v>
          </cell>
          <cell r="W4618">
            <v>506456</v>
          </cell>
        </row>
        <row r="4619">
          <cell r="A4619" t="str">
            <v>450340</v>
          </cell>
          <cell r="B4619" t="str">
            <v>1254</v>
          </cell>
          <cell r="C4619" t="str">
            <v>12</v>
          </cell>
          <cell r="D4619" t="str">
            <v>22</v>
          </cell>
          <cell r="E4619">
            <v>49</v>
          </cell>
          <cell r="G4619">
            <v>999999</v>
          </cell>
          <cell r="H4619">
            <v>0</v>
          </cell>
          <cell r="I4619">
            <v>2691448</v>
          </cell>
          <cell r="J4619">
            <v>0</v>
          </cell>
          <cell r="K4619">
            <v>0</v>
          </cell>
          <cell r="L4619">
            <v>0</v>
          </cell>
          <cell r="M4619">
            <v>17035</v>
          </cell>
          <cell r="N4619">
            <v>17035</v>
          </cell>
          <cell r="O4619">
            <v>5085677</v>
          </cell>
          <cell r="P4619">
            <v>72997</v>
          </cell>
          <cell r="Q4619">
            <v>5158674</v>
          </cell>
          <cell r="R4619">
            <v>11249</v>
          </cell>
          <cell r="S4619">
            <v>5169923</v>
          </cell>
          <cell r="T4619">
            <v>0</v>
          </cell>
          <cell r="U4619">
            <v>0</v>
          </cell>
          <cell r="V4619">
            <v>0</v>
          </cell>
          <cell r="W4619">
            <v>0</v>
          </cell>
        </row>
        <row r="4620">
          <cell r="A4620" t="str">
            <v>450340</v>
          </cell>
          <cell r="B4620" t="str">
            <v>1254</v>
          </cell>
          <cell r="C4620" t="str">
            <v>12</v>
          </cell>
          <cell r="D4620" t="str">
            <v>23</v>
          </cell>
          <cell r="E4620">
            <v>1</v>
          </cell>
          <cell r="G4620">
            <v>529459</v>
          </cell>
          <cell r="H4620">
            <v>0</v>
          </cell>
          <cell r="I4620">
            <v>0</v>
          </cell>
          <cell r="J4620">
            <v>0</v>
          </cell>
          <cell r="K4620">
            <v>20185</v>
          </cell>
          <cell r="L4620">
            <v>20185</v>
          </cell>
          <cell r="M4620">
            <v>549644</v>
          </cell>
          <cell r="N4620">
            <v>515154</v>
          </cell>
          <cell r="O4620">
            <v>0</v>
          </cell>
          <cell r="P4620">
            <v>0</v>
          </cell>
          <cell r="Q4620">
            <v>0</v>
          </cell>
          <cell r="R4620">
            <v>0</v>
          </cell>
          <cell r="S4620">
            <v>0</v>
          </cell>
          <cell r="T4620">
            <v>0</v>
          </cell>
          <cell r="U4620">
            <v>0</v>
          </cell>
          <cell r="V4620">
            <v>0</v>
          </cell>
          <cell r="W4620">
            <v>0</v>
          </cell>
        </row>
        <row r="4621">
          <cell r="A4621" t="str">
            <v>450340</v>
          </cell>
          <cell r="B4621" t="str">
            <v>1254</v>
          </cell>
          <cell r="C4621" t="str">
            <v>12</v>
          </cell>
          <cell r="D4621" t="str">
            <v>23</v>
          </cell>
          <cell r="E4621">
            <v>2</v>
          </cell>
          <cell r="G4621">
            <v>163576</v>
          </cell>
          <cell r="H4621">
            <v>0</v>
          </cell>
          <cell r="I4621">
            <v>2255</v>
          </cell>
          <cell r="J4621">
            <v>0</v>
          </cell>
          <cell r="K4621">
            <v>5764</v>
          </cell>
          <cell r="L4621">
            <v>8019</v>
          </cell>
          <cell r="M4621">
            <v>171595</v>
          </cell>
          <cell r="N4621">
            <v>165977</v>
          </cell>
          <cell r="O4621">
            <v>0</v>
          </cell>
          <cell r="P4621">
            <v>0</v>
          </cell>
          <cell r="Q4621">
            <v>0</v>
          </cell>
          <cell r="R4621">
            <v>0</v>
          </cell>
          <cell r="S4621">
            <v>0</v>
          </cell>
          <cell r="T4621">
            <v>0</v>
          </cell>
          <cell r="U4621">
            <v>0</v>
          </cell>
          <cell r="V4621">
            <v>0</v>
          </cell>
          <cell r="W4621">
            <v>0</v>
          </cell>
        </row>
        <row r="4622">
          <cell r="A4622" t="str">
            <v>450340</v>
          </cell>
          <cell r="B4622" t="str">
            <v>1254</v>
          </cell>
          <cell r="C4622" t="str">
            <v>12</v>
          </cell>
          <cell r="D4622" t="str">
            <v>23</v>
          </cell>
          <cell r="E4622">
            <v>3</v>
          </cell>
          <cell r="G4622">
            <v>307260</v>
          </cell>
          <cell r="H4622">
            <v>0</v>
          </cell>
          <cell r="I4622">
            <v>0</v>
          </cell>
          <cell r="J4622">
            <v>0</v>
          </cell>
          <cell r="K4622">
            <v>165499</v>
          </cell>
          <cell r="L4622">
            <v>165499</v>
          </cell>
          <cell r="M4622">
            <v>472759</v>
          </cell>
          <cell r="N4622">
            <v>411969</v>
          </cell>
          <cell r="O4622">
            <v>0</v>
          </cell>
          <cell r="P4622">
            <v>0</v>
          </cell>
          <cell r="Q4622">
            <v>0</v>
          </cell>
          <cell r="R4622">
            <v>0</v>
          </cell>
          <cell r="S4622">
            <v>0</v>
          </cell>
          <cell r="T4622">
            <v>0</v>
          </cell>
          <cell r="U4622">
            <v>0</v>
          </cell>
          <cell r="V4622">
            <v>0</v>
          </cell>
          <cell r="W4622">
            <v>0</v>
          </cell>
        </row>
        <row r="4623">
          <cell r="A4623" t="str">
            <v>450340</v>
          </cell>
          <cell r="B4623" t="str">
            <v>1254</v>
          </cell>
          <cell r="C4623" t="str">
            <v>12</v>
          </cell>
          <cell r="D4623" t="str">
            <v>23</v>
          </cell>
          <cell r="E4623">
            <v>4</v>
          </cell>
          <cell r="G4623">
            <v>55800</v>
          </cell>
          <cell r="H4623">
            <v>0</v>
          </cell>
          <cell r="I4623">
            <v>0</v>
          </cell>
          <cell r="J4623">
            <v>0</v>
          </cell>
          <cell r="K4623">
            <v>-1</v>
          </cell>
          <cell r="L4623">
            <v>-1</v>
          </cell>
          <cell r="M4623">
            <v>55799</v>
          </cell>
          <cell r="N4623">
            <v>24675</v>
          </cell>
          <cell r="O4623">
            <v>0</v>
          </cell>
          <cell r="P4623">
            <v>0</v>
          </cell>
          <cell r="Q4623">
            <v>0</v>
          </cell>
          <cell r="R4623">
            <v>0</v>
          </cell>
          <cell r="S4623">
            <v>0</v>
          </cell>
          <cell r="T4623">
            <v>0</v>
          </cell>
          <cell r="U4623">
            <v>0</v>
          </cell>
          <cell r="V4623">
            <v>0</v>
          </cell>
          <cell r="W4623">
            <v>0</v>
          </cell>
        </row>
        <row r="4624">
          <cell r="A4624" t="str">
            <v>450340</v>
          </cell>
          <cell r="B4624" t="str">
            <v>1254</v>
          </cell>
          <cell r="C4624" t="str">
            <v>12</v>
          </cell>
          <cell r="D4624" t="str">
            <v>23</v>
          </cell>
          <cell r="E4624">
            <v>5</v>
          </cell>
          <cell r="G4624">
            <v>2824873</v>
          </cell>
          <cell r="H4624">
            <v>0</v>
          </cell>
          <cell r="I4624">
            <v>0</v>
          </cell>
          <cell r="J4624">
            <v>0</v>
          </cell>
          <cell r="K4624">
            <v>167044</v>
          </cell>
          <cell r="L4624">
            <v>167044</v>
          </cell>
          <cell r="M4624">
            <v>2991917</v>
          </cell>
          <cell r="N4624">
            <v>2903091</v>
          </cell>
          <cell r="O4624">
            <v>0</v>
          </cell>
          <cell r="P4624">
            <v>0</v>
          </cell>
          <cell r="Q4624">
            <v>0</v>
          </cell>
          <cell r="R4624">
            <v>0</v>
          </cell>
          <cell r="S4624">
            <v>0</v>
          </cell>
          <cell r="T4624">
            <v>0</v>
          </cell>
          <cell r="U4624">
            <v>0</v>
          </cell>
          <cell r="V4624">
            <v>0</v>
          </cell>
          <cell r="W4624">
            <v>0</v>
          </cell>
        </row>
        <row r="4625">
          <cell r="A4625" t="str">
            <v>450340</v>
          </cell>
          <cell r="B4625" t="str">
            <v>1254</v>
          </cell>
          <cell r="C4625" t="str">
            <v>12</v>
          </cell>
          <cell r="D4625" t="str">
            <v>23</v>
          </cell>
          <cell r="E4625">
            <v>6</v>
          </cell>
          <cell r="G4625">
            <v>0</v>
          </cell>
          <cell r="H4625">
            <v>0</v>
          </cell>
          <cell r="I4625">
            <v>0</v>
          </cell>
          <cell r="J4625">
            <v>0</v>
          </cell>
          <cell r="K4625">
            <v>13868</v>
          </cell>
          <cell r="L4625">
            <v>13868</v>
          </cell>
          <cell r="M4625">
            <v>13868</v>
          </cell>
          <cell r="N4625">
            <v>16174</v>
          </cell>
          <cell r="O4625">
            <v>0</v>
          </cell>
          <cell r="P4625">
            <v>0</v>
          </cell>
          <cell r="Q4625">
            <v>0</v>
          </cell>
          <cell r="R4625">
            <v>0</v>
          </cell>
          <cell r="S4625">
            <v>0</v>
          </cell>
          <cell r="T4625">
            <v>0</v>
          </cell>
          <cell r="U4625">
            <v>0</v>
          </cell>
          <cell r="V4625">
            <v>0</v>
          </cell>
          <cell r="W4625">
            <v>0</v>
          </cell>
        </row>
        <row r="4626">
          <cell r="A4626" t="str">
            <v>450340</v>
          </cell>
          <cell r="B4626" t="str">
            <v>1254</v>
          </cell>
          <cell r="C4626" t="str">
            <v>12</v>
          </cell>
          <cell r="D4626" t="str">
            <v>23</v>
          </cell>
          <cell r="E4626">
            <v>7</v>
          </cell>
          <cell r="G4626">
            <v>0</v>
          </cell>
          <cell r="H4626">
            <v>0</v>
          </cell>
          <cell r="I4626">
            <v>0</v>
          </cell>
          <cell r="J4626">
            <v>0</v>
          </cell>
          <cell r="K4626">
            <v>0</v>
          </cell>
          <cell r="L4626">
            <v>0</v>
          </cell>
          <cell r="M4626">
            <v>0</v>
          </cell>
          <cell r="N4626">
            <v>0</v>
          </cell>
          <cell r="O4626">
            <v>0</v>
          </cell>
          <cell r="P4626">
            <v>0</v>
          </cell>
          <cell r="Q4626">
            <v>0</v>
          </cell>
          <cell r="R4626">
            <v>0</v>
          </cell>
          <cell r="S4626">
            <v>0</v>
          </cell>
          <cell r="T4626">
            <v>0</v>
          </cell>
          <cell r="U4626">
            <v>0</v>
          </cell>
          <cell r="V4626">
            <v>0</v>
          </cell>
          <cell r="W4626">
            <v>0</v>
          </cell>
        </row>
        <row r="4627">
          <cell r="A4627" t="str">
            <v>450340</v>
          </cell>
          <cell r="B4627" t="str">
            <v>1254</v>
          </cell>
          <cell r="C4627" t="str">
            <v>12</v>
          </cell>
          <cell r="D4627" t="str">
            <v>23</v>
          </cell>
          <cell r="E4627">
            <v>8</v>
          </cell>
          <cell r="G4627">
            <v>131107</v>
          </cell>
          <cell r="H4627">
            <v>0</v>
          </cell>
          <cell r="I4627">
            <v>0</v>
          </cell>
          <cell r="J4627">
            <v>0</v>
          </cell>
          <cell r="K4627">
            <v>-1297</v>
          </cell>
          <cell r="L4627">
            <v>-1297</v>
          </cell>
          <cell r="M4627">
            <v>129810</v>
          </cell>
          <cell r="N4627">
            <v>111604</v>
          </cell>
          <cell r="O4627">
            <v>0</v>
          </cell>
          <cell r="P4627">
            <v>0</v>
          </cell>
          <cell r="Q4627">
            <v>0</v>
          </cell>
          <cell r="R4627">
            <v>0</v>
          </cell>
          <cell r="S4627">
            <v>0</v>
          </cell>
          <cell r="T4627">
            <v>0</v>
          </cell>
          <cell r="U4627">
            <v>0</v>
          </cell>
          <cell r="V4627">
            <v>0</v>
          </cell>
          <cell r="W4627">
            <v>0</v>
          </cell>
        </row>
        <row r="4628">
          <cell r="A4628" t="str">
            <v>450340</v>
          </cell>
          <cell r="B4628" t="str">
            <v>1254</v>
          </cell>
          <cell r="C4628" t="str">
            <v>12</v>
          </cell>
          <cell r="D4628" t="str">
            <v>23</v>
          </cell>
          <cell r="E4628">
            <v>9</v>
          </cell>
          <cell r="G4628">
            <v>0</v>
          </cell>
          <cell r="H4628">
            <v>0</v>
          </cell>
          <cell r="I4628">
            <v>0</v>
          </cell>
          <cell r="J4628">
            <v>0</v>
          </cell>
          <cell r="K4628">
            <v>0</v>
          </cell>
          <cell r="L4628">
            <v>0</v>
          </cell>
          <cell r="M4628">
            <v>0</v>
          </cell>
          <cell r="N4628">
            <v>0</v>
          </cell>
          <cell r="O4628">
            <v>0</v>
          </cell>
          <cell r="P4628">
            <v>0</v>
          </cell>
          <cell r="Q4628">
            <v>0</v>
          </cell>
          <cell r="R4628">
            <v>0</v>
          </cell>
          <cell r="S4628">
            <v>0</v>
          </cell>
          <cell r="T4628">
            <v>0</v>
          </cell>
          <cell r="U4628">
            <v>0</v>
          </cell>
          <cell r="V4628">
            <v>0</v>
          </cell>
          <cell r="W4628">
            <v>0</v>
          </cell>
        </row>
        <row r="4629">
          <cell r="A4629" t="str">
            <v>450340</v>
          </cell>
          <cell r="B4629" t="str">
            <v>1254</v>
          </cell>
          <cell r="C4629" t="str">
            <v>12</v>
          </cell>
          <cell r="D4629" t="str">
            <v>23</v>
          </cell>
          <cell r="E4629">
            <v>10</v>
          </cell>
          <cell r="G4629">
            <v>63000</v>
          </cell>
          <cell r="H4629">
            <v>0</v>
          </cell>
          <cell r="I4629">
            <v>65795</v>
          </cell>
          <cell r="J4629">
            <v>0</v>
          </cell>
          <cell r="K4629">
            <v>14551</v>
          </cell>
          <cell r="L4629">
            <v>80346</v>
          </cell>
          <cell r="M4629">
            <v>143346</v>
          </cell>
          <cell r="N4629">
            <v>129771</v>
          </cell>
          <cell r="O4629">
            <v>0</v>
          </cell>
          <cell r="P4629">
            <v>0</v>
          </cell>
          <cell r="Q4629">
            <v>0</v>
          </cell>
          <cell r="R4629">
            <v>0</v>
          </cell>
          <cell r="S4629">
            <v>0</v>
          </cell>
          <cell r="T4629">
            <v>0</v>
          </cell>
          <cell r="U4629">
            <v>0</v>
          </cell>
          <cell r="V4629">
            <v>0</v>
          </cell>
          <cell r="W4629">
            <v>0</v>
          </cell>
        </row>
        <row r="4630">
          <cell r="A4630" t="str">
            <v>450340</v>
          </cell>
          <cell r="B4630" t="str">
            <v>1254</v>
          </cell>
          <cell r="C4630" t="str">
            <v>12</v>
          </cell>
          <cell r="D4630" t="str">
            <v>23</v>
          </cell>
          <cell r="E4630">
            <v>11</v>
          </cell>
          <cell r="G4630">
            <v>0</v>
          </cell>
          <cell r="H4630">
            <v>0</v>
          </cell>
          <cell r="I4630">
            <v>0</v>
          </cell>
          <cell r="J4630">
            <v>0</v>
          </cell>
          <cell r="K4630">
            <v>0</v>
          </cell>
          <cell r="L4630">
            <v>0</v>
          </cell>
          <cell r="M4630">
            <v>0</v>
          </cell>
          <cell r="N4630">
            <v>255</v>
          </cell>
          <cell r="O4630">
            <v>0</v>
          </cell>
          <cell r="P4630">
            <v>0</v>
          </cell>
          <cell r="Q4630">
            <v>0</v>
          </cell>
          <cell r="R4630">
            <v>0</v>
          </cell>
          <cell r="S4630">
            <v>0</v>
          </cell>
          <cell r="T4630">
            <v>0</v>
          </cell>
          <cell r="U4630">
            <v>0</v>
          </cell>
          <cell r="V4630">
            <v>0</v>
          </cell>
          <cell r="W4630">
            <v>0</v>
          </cell>
        </row>
        <row r="4631">
          <cell r="A4631" t="str">
            <v>450340</v>
          </cell>
          <cell r="B4631" t="str">
            <v>1254</v>
          </cell>
          <cell r="C4631" t="str">
            <v>12</v>
          </cell>
          <cell r="D4631" t="str">
            <v>23</v>
          </cell>
          <cell r="E4631">
            <v>12</v>
          </cell>
          <cell r="G4631">
            <v>4075075</v>
          </cell>
          <cell r="H4631">
            <v>0</v>
          </cell>
          <cell r="I4631">
            <v>68050</v>
          </cell>
          <cell r="J4631">
            <v>0</v>
          </cell>
          <cell r="K4631">
            <v>385613</v>
          </cell>
          <cell r="L4631">
            <v>453663</v>
          </cell>
          <cell r="M4631">
            <v>4528738</v>
          </cell>
          <cell r="N4631">
            <v>4278670</v>
          </cell>
          <cell r="O4631">
            <v>0</v>
          </cell>
          <cell r="P4631">
            <v>0</v>
          </cell>
          <cell r="Q4631">
            <v>0</v>
          </cell>
          <cell r="R4631">
            <v>0</v>
          </cell>
          <cell r="S4631">
            <v>0</v>
          </cell>
          <cell r="T4631">
            <v>0</v>
          </cell>
          <cell r="U4631">
            <v>0</v>
          </cell>
          <cell r="V4631">
            <v>0</v>
          </cell>
          <cell r="W4631">
            <v>0</v>
          </cell>
        </row>
        <row r="4632">
          <cell r="A4632" t="str">
            <v>450340</v>
          </cell>
          <cell r="B4632" t="str">
            <v>1254</v>
          </cell>
          <cell r="C4632" t="str">
            <v>12</v>
          </cell>
          <cell r="D4632" t="str">
            <v>23</v>
          </cell>
          <cell r="E4632">
            <v>13</v>
          </cell>
          <cell r="G4632">
            <v>1219648</v>
          </cell>
          <cell r="H4632">
            <v>0</v>
          </cell>
          <cell r="I4632">
            <v>0</v>
          </cell>
          <cell r="J4632">
            <v>0</v>
          </cell>
          <cell r="K4632">
            <v>95126</v>
          </cell>
          <cell r="L4632">
            <v>95126</v>
          </cell>
          <cell r="M4632">
            <v>1314774</v>
          </cell>
          <cell r="N4632">
            <v>459026</v>
          </cell>
          <cell r="O4632">
            <v>0</v>
          </cell>
          <cell r="P4632">
            <v>0</v>
          </cell>
          <cell r="Q4632">
            <v>0</v>
          </cell>
          <cell r="R4632">
            <v>0</v>
          </cell>
          <cell r="S4632">
            <v>0</v>
          </cell>
          <cell r="T4632">
            <v>0</v>
          </cell>
          <cell r="U4632">
            <v>0</v>
          </cell>
          <cell r="V4632">
            <v>0</v>
          </cell>
          <cell r="W4632">
            <v>0</v>
          </cell>
        </row>
        <row r="4633">
          <cell r="A4633" t="str">
            <v>450340</v>
          </cell>
          <cell r="B4633" t="str">
            <v>1254</v>
          </cell>
          <cell r="C4633" t="str">
            <v>12</v>
          </cell>
          <cell r="D4633" t="str">
            <v>23</v>
          </cell>
          <cell r="E4633">
            <v>14</v>
          </cell>
          <cell r="G4633">
            <v>84474</v>
          </cell>
          <cell r="H4633">
            <v>0</v>
          </cell>
          <cell r="I4633">
            <v>0</v>
          </cell>
          <cell r="J4633">
            <v>0</v>
          </cell>
          <cell r="K4633">
            <v>-29153</v>
          </cell>
          <cell r="L4633">
            <v>-29153</v>
          </cell>
          <cell r="M4633">
            <v>55321</v>
          </cell>
          <cell r="N4633">
            <v>14892</v>
          </cell>
          <cell r="O4633">
            <v>0</v>
          </cell>
          <cell r="P4633">
            <v>0</v>
          </cell>
          <cell r="Q4633">
            <v>0</v>
          </cell>
          <cell r="R4633">
            <v>0</v>
          </cell>
          <cell r="S4633">
            <v>0</v>
          </cell>
          <cell r="T4633">
            <v>0</v>
          </cell>
          <cell r="U4633">
            <v>0</v>
          </cell>
          <cell r="V4633">
            <v>0</v>
          </cell>
          <cell r="W4633">
            <v>0</v>
          </cell>
        </row>
        <row r="4634">
          <cell r="A4634" t="str">
            <v>450340</v>
          </cell>
          <cell r="B4634" t="str">
            <v>1254</v>
          </cell>
          <cell r="C4634" t="str">
            <v>12</v>
          </cell>
          <cell r="D4634" t="str">
            <v>23</v>
          </cell>
          <cell r="E4634">
            <v>15</v>
          </cell>
          <cell r="G4634">
            <v>0</v>
          </cell>
          <cell r="H4634">
            <v>0</v>
          </cell>
          <cell r="I4634">
            <v>0</v>
          </cell>
          <cell r="J4634">
            <v>0</v>
          </cell>
          <cell r="K4634">
            <v>0</v>
          </cell>
          <cell r="L4634">
            <v>0</v>
          </cell>
          <cell r="M4634">
            <v>0</v>
          </cell>
          <cell r="N4634">
            <v>0</v>
          </cell>
          <cell r="O4634">
            <v>0</v>
          </cell>
          <cell r="P4634">
            <v>0</v>
          </cell>
          <cell r="Q4634">
            <v>0</v>
          </cell>
          <cell r="R4634">
            <v>0</v>
          </cell>
          <cell r="S4634">
            <v>0</v>
          </cell>
          <cell r="T4634">
            <v>0</v>
          </cell>
          <cell r="U4634">
            <v>0</v>
          </cell>
          <cell r="V4634">
            <v>0</v>
          </cell>
          <cell r="W4634">
            <v>0</v>
          </cell>
        </row>
        <row r="4635">
          <cell r="A4635" t="str">
            <v>450340</v>
          </cell>
          <cell r="B4635" t="str">
            <v>1254</v>
          </cell>
          <cell r="C4635" t="str">
            <v>12</v>
          </cell>
          <cell r="D4635" t="str">
            <v>23</v>
          </cell>
          <cell r="E4635">
            <v>16</v>
          </cell>
          <cell r="G4635">
            <v>12000</v>
          </cell>
          <cell r="H4635">
            <v>0</v>
          </cell>
          <cell r="I4635">
            <v>0</v>
          </cell>
          <cell r="J4635">
            <v>0</v>
          </cell>
          <cell r="K4635">
            <v>1200</v>
          </cell>
          <cell r="L4635">
            <v>1200</v>
          </cell>
          <cell r="M4635">
            <v>13200</v>
          </cell>
          <cell r="N4635">
            <v>13000</v>
          </cell>
          <cell r="O4635">
            <v>0</v>
          </cell>
          <cell r="P4635">
            <v>0</v>
          </cell>
          <cell r="Q4635">
            <v>0</v>
          </cell>
          <cell r="R4635">
            <v>0</v>
          </cell>
          <cell r="S4635">
            <v>0</v>
          </cell>
          <cell r="T4635">
            <v>0</v>
          </cell>
          <cell r="U4635">
            <v>0</v>
          </cell>
          <cell r="V4635">
            <v>0</v>
          </cell>
          <cell r="W4635">
            <v>0</v>
          </cell>
        </row>
        <row r="4636">
          <cell r="A4636" t="str">
            <v>450340</v>
          </cell>
          <cell r="B4636" t="str">
            <v>1254</v>
          </cell>
          <cell r="C4636" t="str">
            <v>12</v>
          </cell>
          <cell r="D4636" t="str">
            <v>23</v>
          </cell>
          <cell r="E4636">
            <v>17</v>
          </cell>
          <cell r="G4636">
            <v>48440</v>
          </cell>
          <cell r="H4636">
            <v>0</v>
          </cell>
          <cell r="I4636">
            <v>0</v>
          </cell>
          <cell r="J4636">
            <v>0</v>
          </cell>
          <cell r="K4636">
            <v>172636</v>
          </cell>
          <cell r="L4636">
            <v>172636</v>
          </cell>
          <cell r="M4636">
            <v>221076</v>
          </cell>
          <cell r="N4636">
            <v>206461</v>
          </cell>
          <cell r="O4636">
            <v>0</v>
          </cell>
          <cell r="P4636">
            <v>0</v>
          </cell>
          <cell r="Q4636">
            <v>0</v>
          </cell>
          <cell r="R4636">
            <v>0</v>
          </cell>
          <cell r="S4636">
            <v>0</v>
          </cell>
          <cell r="T4636">
            <v>0</v>
          </cell>
          <cell r="U4636">
            <v>0</v>
          </cell>
          <cell r="V4636">
            <v>0</v>
          </cell>
          <cell r="W4636">
            <v>0</v>
          </cell>
        </row>
        <row r="4637">
          <cell r="A4637" t="str">
            <v>450340</v>
          </cell>
          <cell r="B4637" t="str">
            <v>1254</v>
          </cell>
          <cell r="C4637" t="str">
            <v>12</v>
          </cell>
          <cell r="D4637" t="str">
            <v>23</v>
          </cell>
          <cell r="E4637">
            <v>18</v>
          </cell>
          <cell r="G4637">
            <v>0</v>
          </cell>
          <cell r="H4637">
            <v>0</v>
          </cell>
          <cell r="I4637">
            <v>0</v>
          </cell>
          <cell r="J4637">
            <v>0</v>
          </cell>
          <cell r="K4637">
            <v>0</v>
          </cell>
          <cell r="L4637">
            <v>0</v>
          </cell>
          <cell r="M4637">
            <v>0</v>
          </cell>
          <cell r="N4637">
            <v>0</v>
          </cell>
          <cell r="O4637">
            <v>0</v>
          </cell>
          <cell r="P4637">
            <v>0</v>
          </cell>
          <cell r="Q4637">
            <v>0</v>
          </cell>
          <cell r="R4637">
            <v>0</v>
          </cell>
          <cell r="S4637">
            <v>0</v>
          </cell>
          <cell r="T4637">
            <v>0</v>
          </cell>
          <cell r="U4637">
            <v>0</v>
          </cell>
          <cell r="V4637">
            <v>0</v>
          </cell>
          <cell r="W4637">
            <v>0</v>
          </cell>
        </row>
        <row r="4638">
          <cell r="A4638" t="str">
            <v>450340</v>
          </cell>
          <cell r="B4638" t="str">
            <v>1254</v>
          </cell>
          <cell r="C4638" t="str">
            <v>12</v>
          </cell>
          <cell r="D4638" t="str">
            <v>23</v>
          </cell>
          <cell r="E4638">
            <v>19</v>
          </cell>
          <cell r="G4638">
            <v>0</v>
          </cell>
          <cell r="H4638">
            <v>0</v>
          </cell>
          <cell r="I4638">
            <v>0</v>
          </cell>
          <cell r="J4638">
            <v>0</v>
          </cell>
          <cell r="K4638">
            <v>0</v>
          </cell>
          <cell r="L4638">
            <v>0</v>
          </cell>
          <cell r="M4638">
            <v>0</v>
          </cell>
          <cell r="N4638">
            <v>0</v>
          </cell>
          <cell r="O4638">
            <v>0</v>
          </cell>
          <cell r="P4638">
            <v>0</v>
          </cell>
          <cell r="Q4638">
            <v>0</v>
          </cell>
          <cell r="R4638">
            <v>0</v>
          </cell>
          <cell r="S4638">
            <v>0</v>
          </cell>
          <cell r="T4638">
            <v>0</v>
          </cell>
          <cell r="U4638">
            <v>0</v>
          </cell>
          <cell r="V4638">
            <v>0</v>
          </cell>
          <cell r="W4638">
            <v>0</v>
          </cell>
        </row>
        <row r="4639">
          <cell r="A4639" t="str">
            <v>450340</v>
          </cell>
          <cell r="B4639" t="str">
            <v>1254</v>
          </cell>
          <cell r="C4639" t="str">
            <v>12</v>
          </cell>
          <cell r="D4639" t="str">
            <v>23</v>
          </cell>
          <cell r="E4639">
            <v>20</v>
          </cell>
          <cell r="G4639">
            <v>0</v>
          </cell>
          <cell r="H4639">
            <v>0</v>
          </cell>
          <cell r="I4639">
            <v>0</v>
          </cell>
          <cell r="J4639">
            <v>0</v>
          </cell>
          <cell r="K4639">
            <v>0</v>
          </cell>
          <cell r="L4639">
            <v>0</v>
          </cell>
          <cell r="M4639">
            <v>0</v>
          </cell>
          <cell r="N4639">
            <v>0</v>
          </cell>
          <cell r="O4639">
            <v>0</v>
          </cell>
          <cell r="P4639">
            <v>0</v>
          </cell>
          <cell r="Q4639">
            <v>0</v>
          </cell>
          <cell r="R4639">
            <v>0</v>
          </cell>
          <cell r="S4639">
            <v>0</v>
          </cell>
          <cell r="T4639">
            <v>0</v>
          </cell>
          <cell r="U4639">
            <v>0</v>
          </cell>
          <cell r="V4639">
            <v>0</v>
          </cell>
          <cell r="W4639">
            <v>0</v>
          </cell>
        </row>
        <row r="4640">
          <cell r="A4640" t="str">
            <v>450340</v>
          </cell>
          <cell r="B4640" t="str">
            <v>1254</v>
          </cell>
          <cell r="C4640" t="str">
            <v>12</v>
          </cell>
          <cell r="D4640" t="str">
            <v>23</v>
          </cell>
          <cell r="E4640">
            <v>21</v>
          </cell>
          <cell r="G4640">
            <v>0</v>
          </cell>
          <cell r="H4640">
            <v>0</v>
          </cell>
          <cell r="I4640">
            <v>0</v>
          </cell>
          <cell r="J4640">
            <v>0</v>
          </cell>
          <cell r="K4640">
            <v>0</v>
          </cell>
          <cell r="L4640">
            <v>0</v>
          </cell>
          <cell r="M4640">
            <v>0</v>
          </cell>
          <cell r="N4640">
            <v>0</v>
          </cell>
          <cell r="O4640">
            <v>0</v>
          </cell>
          <cell r="P4640">
            <v>0</v>
          </cell>
          <cell r="Q4640">
            <v>0</v>
          </cell>
          <cell r="R4640">
            <v>0</v>
          </cell>
          <cell r="S4640">
            <v>0</v>
          </cell>
          <cell r="T4640">
            <v>0</v>
          </cell>
          <cell r="U4640">
            <v>0</v>
          </cell>
          <cell r="V4640">
            <v>0</v>
          </cell>
          <cell r="W4640">
            <v>0</v>
          </cell>
        </row>
        <row r="4641">
          <cell r="A4641" t="str">
            <v>450340</v>
          </cell>
          <cell r="B4641" t="str">
            <v>1254</v>
          </cell>
          <cell r="C4641" t="str">
            <v>12</v>
          </cell>
          <cell r="D4641" t="str">
            <v>23</v>
          </cell>
          <cell r="E4641">
            <v>22</v>
          </cell>
          <cell r="G4641">
            <v>1364562</v>
          </cell>
          <cell r="H4641">
            <v>0</v>
          </cell>
          <cell r="I4641">
            <v>0</v>
          </cell>
          <cell r="J4641">
            <v>0</v>
          </cell>
          <cell r="K4641">
            <v>239809</v>
          </cell>
          <cell r="L4641">
            <v>239809</v>
          </cell>
          <cell r="M4641">
            <v>1604371</v>
          </cell>
          <cell r="N4641">
            <v>693379</v>
          </cell>
          <cell r="O4641">
            <v>0</v>
          </cell>
          <cell r="P4641">
            <v>0</v>
          </cell>
          <cell r="Q4641">
            <v>0</v>
          </cell>
          <cell r="R4641">
            <v>0</v>
          </cell>
          <cell r="S4641">
            <v>0</v>
          </cell>
          <cell r="T4641">
            <v>0</v>
          </cell>
          <cell r="U4641">
            <v>0</v>
          </cell>
          <cell r="V4641">
            <v>0</v>
          </cell>
          <cell r="W4641">
            <v>0</v>
          </cell>
        </row>
        <row r="4642">
          <cell r="A4642" t="str">
            <v>450340</v>
          </cell>
          <cell r="B4642" t="str">
            <v>1254</v>
          </cell>
          <cell r="C4642" t="str">
            <v>12</v>
          </cell>
          <cell r="D4642" t="str">
            <v>23</v>
          </cell>
          <cell r="E4642">
            <v>23</v>
          </cell>
          <cell r="G4642">
            <v>0</v>
          </cell>
          <cell r="H4642">
            <v>0</v>
          </cell>
          <cell r="I4642">
            <v>0</v>
          </cell>
          <cell r="J4642">
            <v>0</v>
          </cell>
          <cell r="K4642">
            <v>0</v>
          </cell>
          <cell r="L4642">
            <v>0</v>
          </cell>
          <cell r="M4642">
            <v>0</v>
          </cell>
          <cell r="N4642">
            <v>0</v>
          </cell>
          <cell r="O4642">
            <v>0</v>
          </cell>
          <cell r="P4642">
            <v>0</v>
          </cell>
          <cell r="Q4642">
            <v>0</v>
          </cell>
          <cell r="R4642">
            <v>0</v>
          </cell>
          <cell r="S4642">
            <v>0</v>
          </cell>
          <cell r="T4642">
            <v>0</v>
          </cell>
          <cell r="U4642">
            <v>0</v>
          </cell>
          <cell r="V4642">
            <v>0</v>
          </cell>
          <cell r="W4642">
            <v>0</v>
          </cell>
        </row>
        <row r="4643">
          <cell r="A4643" t="str">
            <v>450340</v>
          </cell>
          <cell r="B4643" t="str">
            <v>1254</v>
          </cell>
          <cell r="C4643" t="str">
            <v>12</v>
          </cell>
          <cell r="D4643" t="str">
            <v>23</v>
          </cell>
          <cell r="E4643">
            <v>24</v>
          </cell>
          <cell r="G4643">
            <v>0</v>
          </cell>
          <cell r="H4643">
            <v>0</v>
          </cell>
          <cell r="I4643">
            <v>0</v>
          </cell>
          <cell r="J4643">
            <v>0</v>
          </cell>
          <cell r="K4643">
            <v>0</v>
          </cell>
          <cell r="L4643">
            <v>0</v>
          </cell>
          <cell r="M4643">
            <v>0</v>
          </cell>
          <cell r="N4643">
            <v>9050</v>
          </cell>
          <cell r="O4643">
            <v>0</v>
          </cell>
          <cell r="P4643">
            <v>0</v>
          </cell>
          <cell r="Q4643">
            <v>0</v>
          </cell>
          <cell r="R4643">
            <v>0</v>
          </cell>
          <cell r="S4643">
            <v>0</v>
          </cell>
          <cell r="T4643">
            <v>0</v>
          </cell>
          <cell r="U4643">
            <v>0</v>
          </cell>
          <cell r="V4643">
            <v>0</v>
          </cell>
          <cell r="W4643">
            <v>0</v>
          </cell>
        </row>
        <row r="4644">
          <cell r="A4644" t="str">
            <v>450340</v>
          </cell>
          <cell r="B4644" t="str">
            <v>1254</v>
          </cell>
          <cell r="C4644" t="str">
            <v>12</v>
          </cell>
          <cell r="D4644" t="str">
            <v>23</v>
          </cell>
          <cell r="E4644">
            <v>25</v>
          </cell>
          <cell r="G4644">
            <v>200474</v>
          </cell>
          <cell r="H4644">
            <v>0</v>
          </cell>
          <cell r="I4644">
            <v>0</v>
          </cell>
          <cell r="J4644">
            <v>0</v>
          </cell>
          <cell r="K4644">
            <v>-188053</v>
          </cell>
          <cell r="L4644">
            <v>-188053</v>
          </cell>
          <cell r="M4644">
            <v>12421</v>
          </cell>
          <cell r="N4644">
            <v>0</v>
          </cell>
          <cell r="O4644">
            <v>0</v>
          </cell>
          <cell r="P4644">
            <v>0</v>
          </cell>
          <cell r="Q4644">
            <v>0</v>
          </cell>
          <cell r="R4644">
            <v>0</v>
          </cell>
          <cell r="S4644">
            <v>0</v>
          </cell>
          <cell r="T4644">
            <v>0</v>
          </cell>
          <cell r="U4644">
            <v>0</v>
          </cell>
          <cell r="V4644">
            <v>0</v>
          </cell>
          <cell r="W4644">
            <v>0</v>
          </cell>
        </row>
        <row r="4645">
          <cell r="A4645" t="str">
            <v>450340</v>
          </cell>
          <cell r="B4645" t="str">
            <v>1254</v>
          </cell>
          <cell r="C4645" t="str">
            <v>12</v>
          </cell>
          <cell r="D4645" t="str">
            <v>23</v>
          </cell>
          <cell r="E4645">
            <v>26</v>
          </cell>
          <cell r="G4645">
            <v>5640111</v>
          </cell>
          <cell r="H4645">
            <v>0</v>
          </cell>
          <cell r="I4645">
            <v>68050</v>
          </cell>
          <cell r="J4645">
            <v>0</v>
          </cell>
          <cell r="K4645">
            <v>437369</v>
          </cell>
          <cell r="L4645">
            <v>505419</v>
          </cell>
          <cell r="M4645">
            <v>6145530</v>
          </cell>
          <cell r="N4645">
            <v>4981099</v>
          </cell>
          <cell r="O4645">
            <v>0</v>
          </cell>
          <cell r="P4645">
            <v>0</v>
          </cell>
          <cell r="Q4645">
            <v>0</v>
          </cell>
          <cell r="R4645">
            <v>0</v>
          </cell>
          <cell r="S4645">
            <v>0</v>
          </cell>
          <cell r="T4645">
            <v>0</v>
          </cell>
          <cell r="U4645">
            <v>0</v>
          </cell>
          <cell r="V4645">
            <v>0</v>
          </cell>
          <cell r="W4645">
            <v>0</v>
          </cell>
        </row>
        <row r="4646">
          <cell r="A4646" t="str">
            <v>450340</v>
          </cell>
          <cell r="B4646" t="str">
            <v>1254</v>
          </cell>
          <cell r="C4646" t="str">
            <v>12</v>
          </cell>
          <cell r="D4646" t="str">
            <v>23</v>
          </cell>
          <cell r="E4646">
            <v>27</v>
          </cell>
          <cell r="G4646">
            <v>0</v>
          </cell>
          <cell r="H4646">
            <v>0</v>
          </cell>
          <cell r="I4646">
            <v>0</v>
          </cell>
          <cell r="J4646">
            <v>0</v>
          </cell>
          <cell r="K4646">
            <v>0</v>
          </cell>
          <cell r="L4646">
            <v>0</v>
          </cell>
          <cell r="M4646">
            <v>0</v>
          </cell>
          <cell r="N4646">
            <v>0</v>
          </cell>
          <cell r="O4646">
            <v>0</v>
          </cell>
          <cell r="P4646">
            <v>0</v>
          </cell>
          <cell r="Q4646">
            <v>0</v>
          </cell>
          <cell r="R4646">
            <v>0</v>
          </cell>
          <cell r="S4646">
            <v>0</v>
          </cell>
          <cell r="T4646">
            <v>0</v>
          </cell>
          <cell r="U4646">
            <v>0</v>
          </cell>
          <cell r="V4646">
            <v>0</v>
          </cell>
          <cell r="W4646">
            <v>0</v>
          </cell>
        </row>
        <row r="4647">
          <cell r="A4647" t="str">
            <v>450340</v>
          </cell>
          <cell r="B4647" t="str">
            <v>1254</v>
          </cell>
          <cell r="C4647" t="str">
            <v>12</v>
          </cell>
          <cell r="D4647" t="str">
            <v>23</v>
          </cell>
          <cell r="E4647">
            <v>28</v>
          </cell>
          <cell r="G4647">
            <v>270016</v>
          </cell>
          <cell r="H4647">
            <v>0</v>
          </cell>
          <cell r="I4647">
            <v>0</v>
          </cell>
          <cell r="J4647">
            <v>0</v>
          </cell>
          <cell r="K4647">
            <v>59900</v>
          </cell>
          <cell r="L4647">
            <v>59900</v>
          </cell>
          <cell r="M4647">
            <v>329916</v>
          </cell>
          <cell r="N4647">
            <v>181896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</row>
        <row r="4648">
          <cell r="A4648" t="str">
            <v>450340</v>
          </cell>
          <cell r="B4648" t="str">
            <v>1254</v>
          </cell>
          <cell r="C4648" t="str">
            <v>12</v>
          </cell>
          <cell r="D4648" t="str">
            <v>23</v>
          </cell>
          <cell r="E4648">
            <v>29</v>
          </cell>
          <cell r="G4648">
            <v>5910127</v>
          </cell>
          <cell r="H4648">
            <v>0</v>
          </cell>
          <cell r="I4648">
            <v>68050</v>
          </cell>
          <cell r="J4648">
            <v>0</v>
          </cell>
          <cell r="K4648">
            <v>497269</v>
          </cell>
          <cell r="L4648">
            <v>565319</v>
          </cell>
          <cell r="M4648">
            <v>6475446</v>
          </cell>
          <cell r="N4648">
            <v>5162995</v>
          </cell>
          <cell r="O4648">
            <v>0</v>
          </cell>
          <cell r="P4648">
            <v>0</v>
          </cell>
          <cell r="Q4648">
            <v>0</v>
          </cell>
          <cell r="R4648">
            <v>0</v>
          </cell>
          <cell r="S4648">
            <v>0</v>
          </cell>
          <cell r="T4648">
            <v>0</v>
          </cell>
          <cell r="U4648">
            <v>0</v>
          </cell>
          <cell r="V4648">
            <v>0</v>
          </cell>
          <cell r="W4648">
            <v>0</v>
          </cell>
        </row>
        <row r="4649">
          <cell r="A4649" t="str">
            <v>450340</v>
          </cell>
          <cell r="B4649" t="str">
            <v>1254</v>
          </cell>
          <cell r="C4649" t="str">
            <v>12</v>
          </cell>
          <cell r="D4649" t="str">
            <v>23</v>
          </cell>
          <cell r="E4649">
            <v>30</v>
          </cell>
          <cell r="G4649">
            <v>1712751</v>
          </cell>
          <cell r="H4649">
            <v>0</v>
          </cell>
          <cell r="I4649">
            <v>8848</v>
          </cell>
          <cell r="J4649">
            <v>0</v>
          </cell>
          <cell r="K4649">
            <v>128705</v>
          </cell>
          <cell r="L4649">
            <v>137553</v>
          </cell>
          <cell r="M4649">
            <v>1850304</v>
          </cell>
          <cell r="N4649">
            <v>1870738</v>
          </cell>
          <cell r="O4649">
            <v>0</v>
          </cell>
          <cell r="P4649">
            <v>0</v>
          </cell>
          <cell r="Q4649">
            <v>0</v>
          </cell>
          <cell r="R4649">
            <v>0</v>
          </cell>
          <cell r="S4649">
            <v>0</v>
          </cell>
          <cell r="T4649">
            <v>0</v>
          </cell>
          <cell r="U4649">
            <v>0</v>
          </cell>
          <cell r="V4649">
            <v>0</v>
          </cell>
          <cell r="W4649">
            <v>0</v>
          </cell>
        </row>
        <row r="4650">
          <cell r="A4650" t="str">
            <v>450340</v>
          </cell>
          <cell r="B4650" t="str">
            <v>1254</v>
          </cell>
          <cell r="C4650" t="str">
            <v>12</v>
          </cell>
          <cell r="D4650" t="str">
            <v>23</v>
          </cell>
          <cell r="E4650">
            <v>31</v>
          </cell>
          <cell r="G4650">
            <v>775953</v>
          </cell>
          <cell r="H4650">
            <v>0</v>
          </cell>
          <cell r="I4650">
            <v>-237</v>
          </cell>
          <cell r="J4650">
            <v>0</v>
          </cell>
          <cell r="K4650">
            <v>42774</v>
          </cell>
          <cell r="L4650">
            <v>42537</v>
          </cell>
          <cell r="M4650">
            <v>818490</v>
          </cell>
          <cell r="N4650">
            <v>506456</v>
          </cell>
          <cell r="O4650">
            <v>0</v>
          </cell>
          <cell r="P4650">
            <v>0</v>
          </cell>
          <cell r="Q4650">
            <v>0</v>
          </cell>
          <cell r="R4650">
            <v>0</v>
          </cell>
          <cell r="S4650">
            <v>0</v>
          </cell>
          <cell r="T4650">
            <v>0</v>
          </cell>
          <cell r="U4650">
            <v>0</v>
          </cell>
          <cell r="V4650">
            <v>0</v>
          </cell>
          <cell r="W4650">
            <v>0</v>
          </cell>
        </row>
        <row r="4651">
          <cell r="A4651" t="str">
            <v>450340</v>
          </cell>
          <cell r="B4651" t="str">
            <v>1254</v>
          </cell>
          <cell r="C4651" t="str">
            <v>12</v>
          </cell>
          <cell r="D4651" t="str">
            <v>23</v>
          </cell>
          <cell r="E4651">
            <v>32</v>
          </cell>
          <cell r="G4651">
            <v>0</v>
          </cell>
          <cell r="H4651">
            <v>0</v>
          </cell>
          <cell r="I4651">
            <v>0</v>
          </cell>
          <cell r="J4651">
            <v>0</v>
          </cell>
          <cell r="K4651">
            <v>0</v>
          </cell>
          <cell r="L4651">
            <v>0</v>
          </cell>
          <cell r="M4651">
            <v>0</v>
          </cell>
          <cell r="N4651">
            <v>0</v>
          </cell>
          <cell r="O4651">
            <v>0</v>
          </cell>
          <cell r="P4651">
            <v>0</v>
          </cell>
          <cell r="Q4651">
            <v>0</v>
          </cell>
          <cell r="R4651">
            <v>0</v>
          </cell>
          <cell r="S4651">
            <v>0</v>
          </cell>
          <cell r="T4651">
            <v>0</v>
          </cell>
          <cell r="U4651">
            <v>0</v>
          </cell>
          <cell r="V4651">
            <v>0</v>
          </cell>
          <cell r="W4651">
            <v>0</v>
          </cell>
        </row>
        <row r="4652">
          <cell r="A4652" t="str">
            <v>450340</v>
          </cell>
          <cell r="B4652" t="str">
            <v>1254</v>
          </cell>
          <cell r="C4652" t="str">
            <v>12</v>
          </cell>
          <cell r="D4652" t="str">
            <v>23</v>
          </cell>
          <cell r="E4652">
            <v>33</v>
          </cell>
          <cell r="G4652">
            <v>0</v>
          </cell>
          <cell r="H4652">
            <v>0</v>
          </cell>
          <cell r="I4652">
            <v>0</v>
          </cell>
          <cell r="J4652">
            <v>0</v>
          </cell>
          <cell r="K4652">
            <v>10500</v>
          </cell>
          <cell r="L4652">
            <v>10500</v>
          </cell>
          <cell r="M4652">
            <v>10500</v>
          </cell>
          <cell r="N4652">
            <v>17035</v>
          </cell>
          <cell r="O4652">
            <v>0</v>
          </cell>
          <cell r="P4652">
            <v>0</v>
          </cell>
          <cell r="Q4652">
            <v>0</v>
          </cell>
          <cell r="R4652">
            <v>0</v>
          </cell>
          <cell r="S4652">
            <v>0</v>
          </cell>
          <cell r="T4652">
            <v>0</v>
          </cell>
          <cell r="U4652">
            <v>0</v>
          </cell>
          <cell r="V4652">
            <v>0</v>
          </cell>
          <cell r="W4652">
            <v>0</v>
          </cell>
        </row>
        <row r="4653">
          <cell r="A4653" t="str">
            <v>450340</v>
          </cell>
          <cell r="B4653" t="str">
            <v>1254</v>
          </cell>
          <cell r="C4653" t="str">
            <v>12</v>
          </cell>
          <cell r="D4653" t="str">
            <v>23</v>
          </cell>
          <cell r="E4653">
            <v>34</v>
          </cell>
          <cell r="G4653">
            <v>2372963</v>
          </cell>
          <cell r="H4653">
            <v>0</v>
          </cell>
          <cell r="I4653">
            <v>247843</v>
          </cell>
          <cell r="J4653">
            <v>0</v>
          </cell>
          <cell r="K4653">
            <v>560755</v>
          </cell>
          <cell r="L4653">
            <v>808598</v>
          </cell>
          <cell r="M4653">
            <v>3181561</v>
          </cell>
          <cell r="N4653">
            <v>2691448</v>
          </cell>
          <cell r="O4653">
            <v>0</v>
          </cell>
          <cell r="P4653">
            <v>0</v>
          </cell>
          <cell r="Q4653">
            <v>0</v>
          </cell>
          <cell r="R4653">
            <v>0</v>
          </cell>
          <cell r="S4653">
            <v>0</v>
          </cell>
          <cell r="T4653">
            <v>0</v>
          </cell>
          <cell r="U4653">
            <v>0</v>
          </cell>
          <cell r="V4653">
            <v>0</v>
          </cell>
          <cell r="W4653">
            <v>0</v>
          </cell>
        </row>
        <row r="4654">
          <cell r="A4654" t="str">
            <v>450340</v>
          </cell>
          <cell r="B4654" t="str">
            <v>1254</v>
          </cell>
          <cell r="C4654" t="str">
            <v>12</v>
          </cell>
          <cell r="D4654" t="str">
            <v>23</v>
          </cell>
          <cell r="E4654">
            <v>35</v>
          </cell>
          <cell r="G4654">
            <v>219607</v>
          </cell>
          <cell r="H4654">
            <v>0</v>
          </cell>
          <cell r="I4654">
            <v>0</v>
          </cell>
          <cell r="J4654">
            <v>0</v>
          </cell>
          <cell r="K4654">
            <v>-146610</v>
          </cell>
          <cell r="L4654">
            <v>-146610</v>
          </cell>
          <cell r="M4654">
            <v>72997</v>
          </cell>
          <cell r="N4654">
            <v>72997</v>
          </cell>
          <cell r="O4654">
            <v>0</v>
          </cell>
          <cell r="P4654">
            <v>0</v>
          </cell>
          <cell r="Q4654">
            <v>0</v>
          </cell>
          <cell r="R4654">
            <v>0</v>
          </cell>
          <cell r="S4654">
            <v>0</v>
          </cell>
          <cell r="T4654">
            <v>0</v>
          </cell>
          <cell r="U4654">
            <v>0</v>
          </cell>
          <cell r="V4654">
            <v>0</v>
          </cell>
          <cell r="W4654">
            <v>0</v>
          </cell>
        </row>
        <row r="4655">
          <cell r="A4655" t="str">
            <v>450340</v>
          </cell>
          <cell r="B4655" t="str">
            <v>1254</v>
          </cell>
          <cell r="C4655" t="str">
            <v>12</v>
          </cell>
          <cell r="D4655" t="str">
            <v>23</v>
          </cell>
          <cell r="E4655">
            <v>36</v>
          </cell>
          <cell r="G4655">
            <v>5081274</v>
          </cell>
          <cell r="H4655">
            <v>0</v>
          </cell>
          <cell r="I4655">
            <v>256454</v>
          </cell>
          <cell r="J4655">
            <v>0</v>
          </cell>
          <cell r="K4655">
            <v>596124</v>
          </cell>
          <cell r="L4655">
            <v>852578</v>
          </cell>
          <cell r="M4655">
            <v>5933852</v>
          </cell>
          <cell r="N4655">
            <v>5158674</v>
          </cell>
          <cell r="O4655">
            <v>0</v>
          </cell>
          <cell r="P4655">
            <v>0</v>
          </cell>
          <cell r="Q4655">
            <v>0</v>
          </cell>
          <cell r="R4655">
            <v>0</v>
          </cell>
          <cell r="S4655">
            <v>0</v>
          </cell>
          <cell r="T4655">
            <v>0</v>
          </cell>
          <cell r="U4655">
            <v>0</v>
          </cell>
          <cell r="V4655">
            <v>0</v>
          </cell>
          <cell r="W4655">
            <v>0</v>
          </cell>
        </row>
        <row r="4656">
          <cell r="A4656" t="str">
            <v>450340</v>
          </cell>
          <cell r="B4656" t="str">
            <v>1254</v>
          </cell>
          <cell r="C4656" t="str">
            <v>12</v>
          </cell>
          <cell r="D4656" t="str">
            <v>23</v>
          </cell>
          <cell r="E4656">
            <v>37</v>
          </cell>
          <cell r="G4656">
            <v>0</v>
          </cell>
          <cell r="H4656">
            <v>0</v>
          </cell>
          <cell r="I4656">
            <v>0</v>
          </cell>
          <cell r="J4656">
            <v>0</v>
          </cell>
          <cell r="K4656">
            <v>0</v>
          </cell>
          <cell r="L4656">
            <v>0</v>
          </cell>
          <cell r="M4656">
            <v>0</v>
          </cell>
          <cell r="N4656">
            <v>0</v>
          </cell>
          <cell r="O4656">
            <v>0</v>
          </cell>
          <cell r="P4656">
            <v>0</v>
          </cell>
          <cell r="Q4656">
            <v>0</v>
          </cell>
          <cell r="R4656">
            <v>0</v>
          </cell>
          <cell r="S4656">
            <v>0</v>
          </cell>
          <cell r="T4656">
            <v>0</v>
          </cell>
          <cell r="U4656">
            <v>0</v>
          </cell>
          <cell r="V4656">
            <v>0</v>
          </cell>
          <cell r="W4656">
            <v>0</v>
          </cell>
        </row>
        <row r="4657">
          <cell r="A4657" t="str">
            <v>450340</v>
          </cell>
          <cell r="B4657" t="str">
            <v>1254</v>
          </cell>
          <cell r="C4657" t="str">
            <v>12</v>
          </cell>
          <cell r="D4657" t="str">
            <v>23</v>
          </cell>
          <cell r="E4657">
            <v>38</v>
          </cell>
          <cell r="G4657">
            <v>828853</v>
          </cell>
          <cell r="H4657">
            <v>0</v>
          </cell>
          <cell r="I4657">
            <v>-188404</v>
          </cell>
          <cell r="J4657">
            <v>0</v>
          </cell>
          <cell r="K4657">
            <v>-98855</v>
          </cell>
          <cell r="L4657">
            <v>-287259</v>
          </cell>
          <cell r="M4657">
            <v>541594</v>
          </cell>
          <cell r="N4657">
            <v>-20009</v>
          </cell>
          <cell r="O4657">
            <v>0</v>
          </cell>
          <cell r="P4657">
            <v>0</v>
          </cell>
          <cell r="Q4657">
            <v>0</v>
          </cell>
          <cell r="R4657">
            <v>0</v>
          </cell>
          <cell r="S4657">
            <v>0</v>
          </cell>
          <cell r="T4657">
            <v>0</v>
          </cell>
          <cell r="U4657">
            <v>0</v>
          </cell>
          <cell r="V4657">
            <v>0</v>
          </cell>
          <cell r="W4657">
            <v>0</v>
          </cell>
        </row>
        <row r="4658">
          <cell r="A4658" t="str">
            <v>450340</v>
          </cell>
          <cell r="B4658" t="str">
            <v>1254</v>
          </cell>
          <cell r="C4658" t="str">
            <v>12</v>
          </cell>
          <cell r="D4658" t="str">
            <v>23</v>
          </cell>
          <cell r="E4658">
            <v>39</v>
          </cell>
          <cell r="G4658">
            <v>5910127</v>
          </cell>
          <cell r="H4658">
            <v>0</v>
          </cell>
          <cell r="I4658">
            <v>68050</v>
          </cell>
          <cell r="J4658">
            <v>0</v>
          </cell>
          <cell r="K4658">
            <v>497269</v>
          </cell>
          <cell r="L4658">
            <v>565319</v>
          </cell>
          <cell r="M4658">
            <v>6475446</v>
          </cell>
          <cell r="N4658">
            <v>5138665</v>
          </cell>
          <cell r="O4658">
            <v>0</v>
          </cell>
          <cell r="P4658">
            <v>0</v>
          </cell>
          <cell r="Q4658">
            <v>0</v>
          </cell>
          <cell r="R4658">
            <v>0</v>
          </cell>
          <cell r="S4658">
            <v>0</v>
          </cell>
          <cell r="T4658">
            <v>0</v>
          </cell>
          <cell r="U4658">
            <v>0</v>
          </cell>
          <cell r="V4658">
            <v>0</v>
          </cell>
          <cell r="W4658">
            <v>0</v>
          </cell>
        </row>
        <row r="4659">
          <cell r="A4659" t="str">
            <v>450340</v>
          </cell>
          <cell r="B4659" t="str">
            <v>1254</v>
          </cell>
          <cell r="C4659" t="str">
            <v>12</v>
          </cell>
          <cell r="D4659" t="str">
            <v>24</v>
          </cell>
          <cell r="E4659">
            <v>1</v>
          </cell>
          <cell r="G4659">
            <v>253283</v>
          </cell>
          <cell r="H4659">
            <v>0</v>
          </cell>
          <cell r="I4659">
            <v>32</v>
          </cell>
          <cell r="J4659">
            <v>28</v>
          </cell>
          <cell r="K4659">
            <v>253343</v>
          </cell>
          <cell r="L4659">
            <v>5065668</v>
          </cell>
          <cell r="M4659">
            <v>5162995</v>
          </cell>
          <cell r="N4659">
            <v>155713</v>
          </cell>
          <cell r="O4659">
            <v>0</v>
          </cell>
          <cell r="P4659">
            <v>303</v>
          </cell>
          <cell r="Q4659">
            <v>0</v>
          </cell>
          <cell r="R4659">
            <v>156016</v>
          </cell>
          <cell r="S4659">
            <v>0</v>
          </cell>
          <cell r="T4659">
            <v>0</v>
          </cell>
          <cell r="U4659">
            <v>0</v>
          </cell>
          <cell r="V4659">
            <v>0</v>
          </cell>
          <cell r="W4659">
            <v>0</v>
          </cell>
        </row>
        <row r="4660">
          <cell r="A4660" t="str">
            <v>450340</v>
          </cell>
          <cell r="B4660" t="str">
            <v>1254</v>
          </cell>
          <cell r="C4660" t="str">
            <v>12</v>
          </cell>
          <cell r="D4660" t="str">
            <v>27</v>
          </cell>
          <cell r="E4660">
            <v>1</v>
          </cell>
          <cell r="G4660">
            <v>10148</v>
          </cell>
          <cell r="H4660">
            <v>0</v>
          </cell>
          <cell r="I4660">
            <v>0</v>
          </cell>
          <cell r="J4660">
            <v>0</v>
          </cell>
          <cell r="K4660">
            <v>1946</v>
          </cell>
          <cell r="L4660">
            <v>1946</v>
          </cell>
          <cell r="M4660">
            <v>0</v>
          </cell>
          <cell r="N4660">
            <v>0</v>
          </cell>
          <cell r="O4660">
            <v>0</v>
          </cell>
          <cell r="P4660">
            <v>0</v>
          </cell>
          <cell r="Q4660">
            <v>0</v>
          </cell>
          <cell r="R4660">
            <v>12094</v>
          </cell>
          <cell r="S4660">
            <v>0</v>
          </cell>
          <cell r="T4660">
            <v>0</v>
          </cell>
          <cell r="U4660">
            <v>0</v>
          </cell>
          <cell r="V4660">
            <v>0</v>
          </cell>
          <cell r="W4660">
            <v>0</v>
          </cell>
        </row>
        <row r="4661">
          <cell r="A4661" t="str">
            <v>450340</v>
          </cell>
          <cell r="B4661" t="str">
            <v>1254</v>
          </cell>
          <cell r="C4661" t="str">
            <v>12</v>
          </cell>
          <cell r="D4661" t="str">
            <v>38</v>
          </cell>
          <cell r="E4661">
            <v>1</v>
          </cell>
          <cell r="G4661">
            <v>23557</v>
          </cell>
          <cell r="H4661">
            <v>9252193</v>
          </cell>
          <cell r="I4661">
            <v>175688</v>
          </cell>
          <cell r="J4661">
            <v>216982</v>
          </cell>
          <cell r="K4661">
            <v>0</v>
          </cell>
          <cell r="L4661">
            <v>0</v>
          </cell>
          <cell r="M4661">
            <v>759622</v>
          </cell>
          <cell r="N4661">
            <v>10428042</v>
          </cell>
          <cell r="O4661">
            <v>0</v>
          </cell>
          <cell r="P4661">
            <v>0</v>
          </cell>
          <cell r="Q4661">
            <v>0</v>
          </cell>
          <cell r="R4661">
            <v>0</v>
          </cell>
          <cell r="S4661">
            <v>0</v>
          </cell>
          <cell r="T4661">
            <v>0</v>
          </cell>
          <cell r="U4661">
            <v>0</v>
          </cell>
          <cell r="V4661">
            <v>0</v>
          </cell>
          <cell r="W4661">
            <v>0</v>
          </cell>
        </row>
        <row r="4662">
          <cell r="A4662" t="str">
            <v>450340</v>
          </cell>
          <cell r="B4662" t="str">
            <v>1254</v>
          </cell>
          <cell r="C4662" t="str">
            <v>12</v>
          </cell>
          <cell r="D4662" t="str">
            <v>38</v>
          </cell>
          <cell r="E4662">
            <v>2</v>
          </cell>
          <cell r="G4662">
            <v>0</v>
          </cell>
          <cell r="H4662">
            <v>347615</v>
          </cell>
          <cell r="I4662">
            <v>14725</v>
          </cell>
          <cell r="J4662">
            <v>22150</v>
          </cell>
          <cell r="K4662">
            <v>0</v>
          </cell>
          <cell r="L4662">
            <v>0</v>
          </cell>
          <cell r="M4662">
            <v>0</v>
          </cell>
          <cell r="N4662">
            <v>384490</v>
          </cell>
          <cell r="O4662">
            <v>0</v>
          </cell>
          <cell r="P4662">
            <v>0</v>
          </cell>
          <cell r="Q4662">
            <v>0</v>
          </cell>
          <cell r="R4662">
            <v>0</v>
          </cell>
          <cell r="S4662">
            <v>0</v>
          </cell>
          <cell r="T4662">
            <v>0</v>
          </cell>
          <cell r="U4662">
            <v>0</v>
          </cell>
          <cell r="V4662">
            <v>0</v>
          </cell>
          <cell r="W4662">
            <v>0</v>
          </cell>
        </row>
        <row r="4663">
          <cell r="A4663" t="str">
            <v>450340</v>
          </cell>
          <cell r="B4663" t="str">
            <v>1254</v>
          </cell>
          <cell r="C4663" t="str">
            <v>12</v>
          </cell>
          <cell r="D4663" t="str">
            <v>38</v>
          </cell>
          <cell r="E4663">
            <v>3</v>
          </cell>
          <cell r="G4663">
            <v>0</v>
          </cell>
          <cell r="H4663">
            <v>12643</v>
          </cell>
          <cell r="I4663">
            <v>0</v>
          </cell>
          <cell r="J4663">
            <v>0</v>
          </cell>
          <cell r="K4663">
            <v>0</v>
          </cell>
          <cell r="L4663">
            <v>0</v>
          </cell>
          <cell r="M4663">
            <v>0</v>
          </cell>
          <cell r="N4663">
            <v>12643</v>
          </cell>
          <cell r="O4663">
            <v>0</v>
          </cell>
          <cell r="P4663">
            <v>0</v>
          </cell>
          <cell r="Q4663">
            <v>0</v>
          </cell>
          <cell r="R4663">
            <v>0</v>
          </cell>
          <cell r="S4663">
            <v>0</v>
          </cell>
          <cell r="T4663">
            <v>0</v>
          </cell>
          <cell r="U4663">
            <v>0</v>
          </cell>
          <cell r="V4663">
            <v>0</v>
          </cell>
          <cell r="W4663">
            <v>0</v>
          </cell>
        </row>
        <row r="4664">
          <cell r="A4664" t="str">
            <v>450340</v>
          </cell>
          <cell r="B4664" t="str">
            <v>1254</v>
          </cell>
          <cell r="C4664" t="str">
            <v>12</v>
          </cell>
          <cell r="D4664" t="str">
            <v>38</v>
          </cell>
          <cell r="E4664">
            <v>4</v>
          </cell>
          <cell r="G4664">
            <v>0</v>
          </cell>
          <cell r="H4664">
            <v>69284</v>
          </cell>
          <cell r="I4664">
            <v>3340</v>
          </cell>
          <cell r="J4664">
            <v>4160</v>
          </cell>
          <cell r="K4664">
            <v>0</v>
          </cell>
          <cell r="L4664">
            <v>0</v>
          </cell>
          <cell r="M4664">
            <v>0</v>
          </cell>
          <cell r="N4664">
            <v>76784</v>
          </cell>
          <cell r="O4664">
            <v>0</v>
          </cell>
          <cell r="P4664">
            <v>0</v>
          </cell>
          <cell r="Q4664">
            <v>0</v>
          </cell>
          <cell r="R4664">
            <v>0</v>
          </cell>
          <cell r="S4664">
            <v>0</v>
          </cell>
          <cell r="T4664">
            <v>0</v>
          </cell>
          <cell r="U4664">
            <v>0</v>
          </cell>
          <cell r="V4664">
            <v>0</v>
          </cell>
          <cell r="W4664">
            <v>0</v>
          </cell>
        </row>
        <row r="4665">
          <cell r="A4665" t="str">
            <v>450340</v>
          </cell>
          <cell r="B4665" t="str">
            <v>1254</v>
          </cell>
          <cell r="C4665" t="str">
            <v>12</v>
          </cell>
          <cell r="D4665" t="str">
            <v>38</v>
          </cell>
          <cell r="E4665">
            <v>5</v>
          </cell>
          <cell r="G4665">
            <v>0</v>
          </cell>
          <cell r="H4665">
            <v>429542</v>
          </cell>
          <cell r="I4665">
            <v>18065</v>
          </cell>
          <cell r="J4665">
            <v>26310</v>
          </cell>
          <cell r="K4665">
            <v>0</v>
          </cell>
          <cell r="L4665">
            <v>0</v>
          </cell>
          <cell r="M4665">
            <v>0</v>
          </cell>
          <cell r="N4665">
            <v>473917</v>
          </cell>
          <cell r="O4665">
            <v>0</v>
          </cell>
          <cell r="P4665">
            <v>0</v>
          </cell>
          <cell r="Q4665">
            <v>0</v>
          </cell>
          <cell r="R4665">
            <v>0</v>
          </cell>
          <cell r="S4665">
            <v>0</v>
          </cell>
          <cell r="T4665">
            <v>0</v>
          </cell>
          <cell r="U4665">
            <v>0</v>
          </cell>
          <cell r="V4665">
            <v>0</v>
          </cell>
          <cell r="W4665">
            <v>0</v>
          </cell>
        </row>
        <row r="4666">
          <cell r="A4666" t="str">
            <v>450340</v>
          </cell>
          <cell r="B4666" t="str">
            <v>1254</v>
          </cell>
          <cell r="C4666" t="str">
            <v>12</v>
          </cell>
          <cell r="D4666" t="str">
            <v>38</v>
          </cell>
          <cell r="E4666">
            <v>6</v>
          </cell>
          <cell r="G4666">
            <v>0</v>
          </cell>
          <cell r="H4666">
            <v>0</v>
          </cell>
          <cell r="I4666">
            <v>0</v>
          </cell>
          <cell r="J4666">
            <v>0</v>
          </cell>
          <cell r="K4666">
            <v>0</v>
          </cell>
          <cell r="L4666">
            <v>0</v>
          </cell>
          <cell r="M4666">
            <v>0</v>
          </cell>
          <cell r="N4666">
            <v>0</v>
          </cell>
          <cell r="O4666">
            <v>0</v>
          </cell>
          <cell r="P4666">
            <v>0</v>
          </cell>
          <cell r="Q4666">
            <v>0</v>
          </cell>
          <cell r="R4666">
            <v>0</v>
          </cell>
          <cell r="S4666">
            <v>0</v>
          </cell>
          <cell r="T4666">
            <v>0</v>
          </cell>
          <cell r="U4666">
            <v>0</v>
          </cell>
          <cell r="V4666">
            <v>0</v>
          </cell>
          <cell r="W4666">
            <v>0</v>
          </cell>
        </row>
        <row r="4667">
          <cell r="A4667" t="str">
            <v>450340</v>
          </cell>
          <cell r="B4667" t="str">
            <v>1254</v>
          </cell>
          <cell r="C4667" t="str">
            <v>12</v>
          </cell>
          <cell r="D4667" t="str">
            <v>38</v>
          </cell>
          <cell r="E4667">
            <v>7</v>
          </cell>
          <cell r="G4667">
            <v>0</v>
          </cell>
          <cell r="H4667">
            <v>6463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6463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</row>
        <row r="4668">
          <cell r="A4668" t="str">
            <v>450340</v>
          </cell>
          <cell r="B4668" t="str">
            <v>1254</v>
          </cell>
          <cell r="C4668" t="str">
            <v>12</v>
          </cell>
          <cell r="D4668" t="str">
            <v>38</v>
          </cell>
          <cell r="E4668">
            <v>8</v>
          </cell>
          <cell r="G4668">
            <v>0</v>
          </cell>
          <cell r="H4668">
            <v>0</v>
          </cell>
          <cell r="I4668">
            <v>0</v>
          </cell>
          <cell r="J4668">
            <v>59154</v>
          </cell>
          <cell r="K4668">
            <v>0</v>
          </cell>
          <cell r="L4668">
            <v>0</v>
          </cell>
          <cell r="M4668">
            <v>0</v>
          </cell>
          <cell r="N4668">
            <v>59154</v>
          </cell>
          <cell r="O4668">
            <v>0</v>
          </cell>
          <cell r="P4668">
            <v>0</v>
          </cell>
          <cell r="Q4668">
            <v>0</v>
          </cell>
          <cell r="R4668">
            <v>0</v>
          </cell>
          <cell r="S4668">
            <v>0</v>
          </cell>
          <cell r="T4668">
            <v>0</v>
          </cell>
          <cell r="U4668">
            <v>0</v>
          </cell>
          <cell r="V4668">
            <v>0</v>
          </cell>
          <cell r="W4668">
            <v>0</v>
          </cell>
        </row>
        <row r="4669">
          <cell r="A4669" t="str">
            <v>450340</v>
          </cell>
          <cell r="B4669" t="str">
            <v>1254</v>
          </cell>
          <cell r="C4669" t="str">
            <v>12</v>
          </cell>
          <cell r="D4669" t="str">
            <v>38</v>
          </cell>
          <cell r="E4669">
            <v>9</v>
          </cell>
          <cell r="G4669">
            <v>0</v>
          </cell>
          <cell r="H4669">
            <v>139424</v>
          </cell>
          <cell r="I4669">
            <v>5199</v>
          </cell>
          <cell r="J4669">
            <v>0</v>
          </cell>
          <cell r="K4669">
            <v>0</v>
          </cell>
          <cell r="L4669">
            <v>0</v>
          </cell>
          <cell r="M4669">
            <v>2080290</v>
          </cell>
          <cell r="N4669">
            <v>2224913</v>
          </cell>
          <cell r="O4669">
            <v>0</v>
          </cell>
          <cell r="P4669">
            <v>0</v>
          </cell>
          <cell r="Q4669">
            <v>0</v>
          </cell>
          <cell r="R4669">
            <v>0</v>
          </cell>
          <cell r="S4669">
            <v>0</v>
          </cell>
          <cell r="T4669">
            <v>0</v>
          </cell>
          <cell r="U4669">
            <v>0</v>
          </cell>
          <cell r="V4669">
            <v>0</v>
          </cell>
          <cell r="W4669">
            <v>0</v>
          </cell>
        </row>
        <row r="4670">
          <cell r="A4670" t="str">
            <v>450340</v>
          </cell>
          <cell r="B4670" t="str">
            <v>1254</v>
          </cell>
          <cell r="C4670" t="str">
            <v>12</v>
          </cell>
          <cell r="D4670" t="str">
            <v>38</v>
          </cell>
          <cell r="E4670">
            <v>10</v>
          </cell>
          <cell r="G4670">
            <v>0</v>
          </cell>
          <cell r="H4670">
            <v>145887</v>
          </cell>
          <cell r="I4670">
            <v>5199</v>
          </cell>
          <cell r="J4670">
            <v>59154</v>
          </cell>
          <cell r="K4670">
            <v>0</v>
          </cell>
          <cell r="L4670">
            <v>0</v>
          </cell>
          <cell r="M4670">
            <v>2080290</v>
          </cell>
          <cell r="N4670">
            <v>2290530</v>
          </cell>
          <cell r="O4670">
            <v>0</v>
          </cell>
          <cell r="P4670">
            <v>0</v>
          </cell>
          <cell r="Q4670">
            <v>0</v>
          </cell>
          <cell r="R4670">
            <v>0</v>
          </cell>
          <cell r="S4670">
            <v>0</v>
          </cell>
          <cell r="T4670">
            <v>0</v>
          </cell>
          <cell r="U4670">
            <v>0</v>
          </cell>
          <cell r="V4670">
            <v>0</v>
          </cell>
          <cell r="W4670">
            <v>0</v>
          </cell>
        </row>
        <row r="4671">
          <cell r="A4671" t="str">
            <v>450340</v>
          </cell>
          <cell r="B4671" t="str">
            <v>1254</v>
          </cell>
          <cell r="C4671" t="str">
            <v>12</v>
          </cell>
          <cell r="D4671" t="str">
            <v>38</v>
          </cell>
          <cell r="E4671">
            <v>11</v>
          </cell>
          <cell r="G4671">
            <v>0</v>
          </cell>
          <cell r="H4671">
            <v>575429</v>
          </cell>
          <cell r="I4671">
            <v>23264</v>
          </cell>
          <cell r="J4671">
            <v>85464</v>
          </cell>
          <cell r="K4671">
            <v>0</v>
          </cell>
          <cell r="L4671">
            <v>0</v>
          </cell>
          <cell r="M4671">
            <v>2080290</v>
          </cell>
          <cell r="N4671">
            <v>2764447</v>
          </cell>
          <cell r="O4671">
            <v>0</v>
          </cell>
          <cell r="P4671">
            <v>0</v>
          </cell>
          <cell r="Q4671">
            <v>0</v>
          </cell>
          <cell r="R4671">
            <v>0</v>
          </cell>
          <cell r="S4671">
            <v>0</v>
          </cell>
          <cell r="T4671">
            <v>0</v>
          </cell>
          <cell r="U4671">
            <v>0</v>
          </cell>
          <cell r="V4671">
            <v>0</v>
          </cell>
          <cell r="W4671">
            <v>0</v>
          </cell>
        </row>
        <row r="4672">
          <cell r="A4672" t="str">
            <v>450340</v>
          </cell>
          <cell r="B4672" t="str">
            <v>1254</v>
          </cell>
          <cell r="C4672" t="str">
            <v>12</v>
          </cell>
          <cell r="D4672" t="str">
            <v>38</v>
          </cell>
          <cell r="E4672">
            <v>12</v>
          </cell>
          <cell r="G4672">
            <v>0</v>
          </cell>
          <cell r="H4672">
            <v>0</v>
          </cell>
          <cell r="I4672">
            <v>0</v>
          </cell>
          <cell r="J4672">
            <v>120</v>
          </cell>
          <cell r="K4672">
            <v>0</v>
          </cell>
          <cell r="L4672">
            <v>0</v>
          </cell>
          <cell r="M4672">
            <v>0</v>
          </cell>
          <cell r="N4672">
            <v>120</v>
          </cell>
          <cell r="O4672">
            <v>0</v>
          </cell>
          <cell r="P4672">
            <v>0</v>
          </cell>
          <cell r="Q4672">
            <v>0</v>
          </cell>
          <cell r="R4672">
            <v>0</v>
          </cell>
          <cell r="S4672">
            <v>0</v>
          </cell>
          <cell r="T4672">
            <v>0</v>
          </cell>
          <cell r="U4672">
            <v>0</v>
          </cell>
          <cell r="V4672">
            <v>0</v>
          </cell>
          <cell r="W4672">
            <v>0</v>
          </cell>
        </row>
        <row r="4673">
          <cell r="A4673" t="str">
            <v>450340</v>
          </cell>
          <cell r="B4673" t="str">
            <v>1254</v>
          </cell>
          <cell r="C4673" t="str">
            <v>12</v>
          </cell>
          <cell r="D4673" t="str">
            <v>38</v>
          </cell>
          <cell r="E4673">
            <v>13</v>
          </cell>
          <cell r="G4673">
            <v>0</v>
          </cell>
          <cell r="H4673">
            <v>400590</v>
          </cell>
          <cell r="I4673">
            <v>265</v>
          </cell>
          <cell r="J4673">
            <v>0</v>
          </cell>
          <cell r="K4673">
            <v>0</v>
          </cell>
          <cell r="L4673">
            <v>0</v>
          </cell>
          <cell r="M4673">
            <v>0</v>
          </cell>
          <cell r="N4673">
            <v>400855</v>
          </cell>
          <cell r="O4673">
            <v>0</v>
          </cell>
          <cell r="P4673">
            <v>0</v>
          </cell>
          <cell r="Q4673">
            <v>0</v>
          </cell>
          <cell r="R4673">
            <v>0</v>
          </cell>
          <cell r="S4673">
            <v>0</v>
          </cell>
          <cell r="T4673">
            <v>0</v>
          </cell>
          <cell r="U4673">
            <v>0</v>
          </cell>
          <cell r="V4673">
            <v>0</v>
          </cell>
          <cell r="W4673">
            <v>0</v>
          </cell>
        </row>
        <row r="4674">
          <cell r="A4674" t="str">
            <v>450340</v>
          </cell>
          <cell r="B4674" t="str">
            <v>1254</v>
          </cell>
          <cell r="C4674" t="str">
            <v>12</v>
          </cell>
          <cell r="D4674" t="str">
            <v>38</v>
          </cell>
          <cell r="E4674">
            <v>14</v>
          </cell>
          <cell r="G4674">
            <v>0</v>
          </cell>
          <cell r="H4674">
            <v>0</v>
          </cell>
          <cell r="I4674">
            <v>0</v>
          </cell>
          <cell r="J4674">
            <v>0</v>
          </cell>
          <cell r="K4674">
            <v>0</v>
          </cell>
          <cell r="L4674">
            <v>0</v>
          </cell>
          <cell r="M4674">
            <v>0</v>
          </cell>
          <cell r="N4674">
            <v>0</v>
          </cell>
          <cell r="O4674">
            <v>0</v>
          </cell>
          <cell r="P4674">
            <v>0</v>
          </cell>
          <cell r="Q4674">
            <v>0</v>
          </cell>
          <cell r="R4674">
            <v>0</v>
          </cell>
          <cell r="S4674">
            <v>0</v>
          </cell>
          <cell r="T4674">
            <v>0</v>
          </cell>
          <cell r="U4674">
            <v>0</v>
          </cell>
          <cell r="V4674">
            <v>0</v>
          </cell>
          <cell r="W4674">
            <v>0</v>
          </cell>
        </row>
        <row r="4675">
          <cell r="A4675" t="str">
            <v>450340</v>
          </cell>
          <cell r="B4675" t="str">
            <v>1254</v>
          </cell>
          <cell r="C4675" t="str">
            <v>12</v>
          </cell>
          <cell r="D4675" t="str">
            <v>38</v>
          </cell>
          <cell r="E4675">
            <v>15</v>
          </cell>
          <cell r="G4675">
            <v>0</v>
          </cell>
          <cell r="H4675">
            <v>0</v>
          </cell>
          <cell r="I4675">
            <v>0</v>
          </cell>
          <cell r="J4675">
            <v>0</v>
          </cell>
          <cell r="K4675">
            <v>0</v>
          </cell>
          <cell r="L4675">
            <v>0</v>
          </cell>
          <cell r="M4675">
            <v>0</v>
          </cell>
          <cell r="N4675">
            <v>0</v>
          </cell>
          <cell r="O4675">
            <v>0</v>
          </cell>
          <cell r="P4675">
            <v>0</v>
          </cell>
          <cell r="Q4675">
            <v>0</v>
          </cell>
          <cell r="R4675">
            <v>0</v>
          </cell>
          <cell r="S4675">
            <v>0</v>
          </cell>
          <cell r="T4675">
            <v>0</v>
          </cell>
          <cell r="U4675">
            <v>0</v>
          </cell>
          <cell r="V4675">
            <v>0</v>
          </cell>
          <cell r="W4675">
            <v>0</v>
          </cell>
        </row>
        <row r="4676">
          <cell r="A4676" t="str">
            <v>450340</v>
          </cell>
          <cell r="B4676" t="str">
            <v>1254</v>
          </cell>
          <cell r="C4676" t="str">
            <v>12</v>
          </cell>
          <cell r="D4676" t="str">
            <v>38</v>
          </cell>
          <cell r="E4676">
            <v>16</v>
          </cell>
          <cell r="G4676">
            <v>0</v>
          </cell>
          <cell r="H4676">
            <v>2797</v>
          </cell>
          <cell r="I4676">
            <v>220</v>
          </cell>
          <cell r="J4676">
            <v>0</v>
          </cell>
          <cell r="K4676">
            <v>0</v>
          </cell>
          <cell r="L4676">
            <v>0</v>
          </cell>
          <cell r="M4676">
            <v>0</v>
          </cell>
          <cell r="N4676">
            <v>3017</v>
          </cell>
          <cell r="O4676">
            <v>0</v>
          </cell>
          <cell r="P4676">
            <v>0</v>
          </cell>
          <cell r="Q4676">
            <v>0</v>
          </cell>
          <cell r="R4676">
            <v>0</v>
          </cell>
          <cell r="S4676">
            <v>0</v>
          </cell>
          <cell r="T4676">
            <v>0</v>
          </cell>
          <cell r="U4676">
            <v>0</v>
          </cell>
          <cell r="V4676">
            <v>0</v>
          </cell>
          <cell r="W4676">
            <v>0</v>
          </cell>
        </row>
        <row r="4677">
          <cell r="A4677" t="str">
            <v>450340</v>
          </cell>
          <cell r="B4677" t="str">
            <v>1254</v>
          </cell>
          <cell r="C4677" t="str">
            <v>12</v>
          </cell>
          <cell r="D4677" t="str">
            <v>38</v>
          </cell>
          <cell r="E4677">
            <v>17</v>
          </cell>
          <cell r="G4677">
            <v>0</v>
          </cell>
          <cell r="H4677">
            <v>2192823</v>
          </cell>
          <cell r="I4677">
            <v>41448</v>
          </cell>
          <cell r="J4677">
            <v>29001</v>
          </cell>
          <cell r="K4677">
            <v>0</v>
          </cell>
          <cell r="L4677">
            <v>0</v>
          </cell>
          <cell r="M4677">
            <v>2151</v>
          </cell>
          <cell r="N4677">
            <v>2265423</v>
          </cell>
          <cell r="O4677">
            <v>0</v>
          </cell>
          <cell r="P4677">
            <v>0</v>
          </cell>
          <cell r="Q4677">
            <v>0</v>
          </cell>
          <cell r="R4677">
            <v>0</v>
          </cell>
          <cell r="S4677">
            <v>0</v>
          </cell>
          <cell r="T4677">
            <v>0</v>
          </cell>
          <cell r="U4677">
            <v>0</v>
          </cell>
          <cell r="V4677">
            <v>0</v>
          </cell>
          <cell r="W4677">
            <v>0</v>
          </cell>
        </row>
        <row r="4678">
          <cell r="A4678" t="str">
            <v>450340</v>
          </cell>
          <cell r="B4678" t="str">
            <v>1254</v>
          </cell>
          <cell r="C4678" t="str">
            <v>12</v>
          </cell>
          <cell r="D4678" t="str">
            <v>38</v>
          </cell>
          <cell r="E4678">
            <v>18</v>
          </cell>
          <cell r="G4678">
            <v>0</v>
          </cell>
          <cell r="H4678">
            <v>2596210</v>
          </cell>
          <cell r="I4678">
            <v>41933</v>
          </cell>
          <cell r="J4678">
            <v>29121</v>
          </cell>
          <cell r="K4678">
            <v>0</v>
          </cell>
          <cell r="L4678">
            <v>0</v>
          </cell>
          <cell r="M4678">
            <v>2151</v>
          </cell>
          <cell r="N4678">
            <v>2669415</v>
          </cell>
          <cell r="O4678">
            <v>0</v>
          </cell>
          <cell r="P4678">
            <v>0</v>
          </cell>
          <cell r="Q4678">
            <v>0</v>
          </cell>
          <cell r="R4678">
            <v>0</v>
          </cell>
          <cell r="S4678">
            <v>0</v>
          </cell>
          <cell r="T4678">
            <v>0</v>
          </cell>
          <cell r="U4678">
            <v>0</v>
          </cell>
          <cell r="V4678">
            <v>0</v>
          </cell>
          <cell r="W4678">
            <v>0</v>
          </cell>
        </row>
        <row r="4679">
          <cell r="A4679" t="str">
            <v>450340</v>
          </cell>
          <cell r="B4679" t="str">
            <v>1254</v>
          </cell>
          <cell r="C4679" t="str">
            <v>12</v>
          </cell>
          <cell r="D4679" t="str">
            <v>38</v>
          </cell>
          <cell r="E4679">
            <v>19</v>
          </cell>
          <cell r="G4679">
            <v>23557</v>
          </cell>
          <cell r="H4679">
            <v>7231412</v>
          </cell>
          <cell r="I4679">
            <v>157019</v>
          </cell>
          <cell r="J4679">
            <v>273325</v>
          </cell>
          <cell r="K4679">
            <v>0</v>
          </cell>
          <cell r="L4679">
            <v>0</v>
          </cell>
          <cell r="M4679">
            <v>2837761</v>
          </cell>
          <cell r="N4679">
            <v>10523074</v>
          </cell>
          <cell r="O4679">
            <v>0</v>
          </cell>
          <cell r="P4679">
            <v>0</v>
          </cell>
          <cell r="Q4679">
            <v>0</v>
          </cell>
          <cell r="R4679">
            <v>0</v>
          </cell>
          <cell r="S4679">
            <v>0</v>
          </cell>
          <cell r="T4679">
            <v>0</v>
          </cell>
          <cell r="U4679">
            <v>0</v>
          </cell>
          <cell r="V4679">
            <v>0</v>
          </cell>
          <cell r="W4679">
            <v>0</v>
          </cell>
        </row>
        <row r="4680">
          <cell r="A4680" t="str">
            <v>450340</v>
          </cell>
          <cell r="B4680" t="str">
            <v>1254</v>
          </cell>
          <cell r="C4680" t="str">
            <v>12</v>
          </cell>
          <cell r="D4680" t="str">
            <v>38</v>
          </cell>
          <cell r="E4680">
            <v>20</v>
          </cell>
          <cell r="G4680">
            <v>16134</v>
          </cell>
          <cell r="H4680">
            <v>1257852</v>
          </cell>
          <cell r="I4680">
            <v>76525</v>
          </cell>
          <cell r="J4680">
            <v>182003</v>
          </cell>
          <cell r="K4680">
            <v>0</v>
          </cell>
          <cell r="L4680">
            <v>0</v>
          </cell>
          <cell r="M4680">
            <v>102466</v>
          </cell>
          <cell r="N4680">
            <v>1634980</v>
          </cell>
          <cell r="O4680">
            <v>0</v>
          </cell>
          <cell r="P4680">
            <v>0</v>
          </cell>
          <cell r="Q4680">
            <v>0</v>
          </cell>
          <cell r="R4680">
            <v>0</v>
          </cell>
          <cell r="S4680">
            <v>0</v>
          </cell>
          <cell r="T4680">
            <v>0</v>
          </cell>
          <cell r="U4680">
            <v>0</v>
          </cell>
          <cell r="V4680">
            <v>0</v>
          </cell>
          <cell r="W4680">
            <v>0</v>
          </cell>
        </row>
        <row r="4681">
          <cell r="A4681" t="str">
            <v>450340</v>
          </cell>
          <cell r="B4681" t="str">
            <v>1254</v>
          </cell>
          <cell r="C4681" t="str">
            <v>12</v>
          </cell>
          <cell r="D4681" t="str">
            <v>38</v>
          </cell>
          <cell r="E4681">
            <v>21</v>
          </cell>
          <cell r="G4681">
            <v>1959</v>
          </cell>
          <cell r="H4681">
            <v>156772</v>
          </cell>
          <cell r="I4681">
            <v>15625</v>
          </cell>
          <cell r="J4681">
            <v>18566</v>
          </cell>
          <cell r="K4681">
            <v>0</v>
          </cell>
          <cell r="L4681">
            <v>0</v>
          </cell>
          <cell r="M4681">
            <v>155446</v>
          </cell>
          <cell r="N4681">
            <v>348368</v>
          </cell>
          <cell r="O4681">
            <v>0</v>
          </cell>
          <cell r="P4681">
            <v>0</v>
          </cell>
          <cell r="Q4681">
            <v>0</v>
          </cell>
          <cell r="R4681">
            <v>0</v>
          </cell>
          <cell r="S4681">
            <v>0</v>
          </cell>
          <cell r="T4681">
            <v>0</v>
          </cell>
          <cell r="U4681">
            <v>0</v>
          </cell>
          <cell r="V4681">
            <v>0</v>
          </cell>
          <cell r="W4681">
            <v>0</v>
          </cell>
        </row>
        <row r="4682">
          <cell r="A4682" t="str">
            <v>450340</v>
          </cell>
          <cell r="B4682" t="str">
            <v>1254</v>
          </cell>
          <cell r="C4682" t="str">
            <v>12</v>
          </cell>
          <cell r="D4682" t="str">
            <v>38</v>
          </cell>
          <cell r="E4682">
            <v>22</v>
          </cell>
          <cell r="G4682">
            <v>0</v>
          </cell>
          <cell r="H4682">
            <v>113552</v>
          </cell>
          <cell r="I4682">
            <v>10538</v>
          </cell>
          <cell r="J4682">
            <v>2811</v>
          </cell>
          <cell r="K4682">
            <v>0</v>
          </cell>
          <cell r="L4682">
            <v>0</v>
          </cell>
          <cell r="M4682">
            <v>1030</v>
          </cell>
          <cell r="N4682">
            <v>127931</v>
          </cell>
          <cell r="O4682">
            <v>0</v>
          </cell>
          <cell r="P4682">
            <v>0</v>
          </cell>
          <cell r="Q4682">
            <v>0</v>
          </cell>
          <cell r="R4682">
            <v>0</v>
          </cell>
          <cell r="S4682">
            <v>0</v>
          </cell>
          <cell r="T4682">
            <v>0</v>
          </cell>
          <cell r="U4682">
            <v>0</v>
          </cell>
          <cell r="V4682">
            <v>0</v>
          </cell>
          <cell r="W4682">
            <v>0</v>
          </cell>
        </row>
        <row r="4683">
          <cell r="A4683" t="str">
            <v>450340</v>
          </cell>
          <cell r="B4683" t="str">
            <v>1254</v>
          </cell>
          <cell r="C4683" t="str">
            <v>12</v>
          </cell>
          <cell r="D4683" t="str">
            <v>38</v>
          </cell>
          <cell r="E4683">
            <v>23</v>
          </cell>
          <cell r="G4683">
            <v>18093</v>
          </cell>
          <cell r="H4683">
            <v>1301072</v>
          </cell>
          <cell r="I4683">
            <v>81612</v>
          </cell>
          <cell r="J4683">
            <v>197758</v>
          </cell>
          <cell r="K4683">
            <v>0</v>
          </cell>
          <cell r="L4683">
            <v>0</v>
          </cell>
          <cell r="M4683">
            <v>256882</v>
          </cell>
          <cell r="N4683">
            <v>1855417</v>
          </cell>
          <cell r="O4683">
            <v>0</v>
          </cell>
          <cell r="P4683">
            <v>0</v>
          </cell>
          <cell r="Q4683">
            <v>0</v>
          </cell>
          <cell r="R4683">
            <v>0</v>
          </cell>
          <cell r="S4683">
            <v>0</v>
          </cell>
          <cell r="T4683">
            <v>0</v>
          </cell>
          <cell r="U4683">
            <v>0</v>
          </cell>
          <cell r="V4683">
            <v>0</v>
          </cell>
          <cell r="W4683">
            <v>0</v>
          </cell>
        </row>
        <row r="4684">
          <cell r="A4684" t="str">
            <v>450340</v>
          </cell>
          <cell r="B4684" t="str">
            <v>1254</v>
          </cell>
          <cell r="C4684" t="str">
            <v>12</v>
          </cell>
          <cell r="D4684" t="str">
            <v>38</v>
          </cell>
          <cell r="E4684">
            <v>24</v>
          </cell>
          <cell r="G4684">
            <v>0</v>
          </cell>
          <cell r="H4684">
            <v>0</v>
          </cell>
          <cell r="I4684">
            <v>0</v>
          </cell>
          <cell r="J4684">
            <v>0</v>
          </cell>
          <cell r="K4684">
            <v>0</v>
          </cell>
          <cell r="L4684">
            <v>0</v>
          </cell>
          <cell r="M4684">
            <v>0</v>
          </cell>
          <cell r="N4684">
            <v>0</v>
          </cell>
          <cell r="O4684">
            <v>0</v>
          </cell>
          <cell r="P4684">
            <v>0</v>
          </cell>
          <cell r="Q4684">
            <v>0</v>
          </cell>
          <cell r="R4684">
            <v>0</v>
          </cell>
          <cell r="S4684">
            <v>0</v>
          </cell>
          <cell r="T4684">
            <v>0</v>
          </cell>
          <cell r="U4684">
            <v>0</v>
          </cell>
          <cell r="V4684">
            <v>0</v>
          </cell>
          <cell r="W4684">
            <v>0</v>
          </cell>
        </row>
        <row r="4685">
          <cell r="A4685" t="str">
            <v>450340</v>
          </cell>
          <cell r="B4685" t="str">
            <v>1254</v>
          </cell>
          <cell r="C4685" t="str">
            <v>12</v>
          </cell>
          <cell r="D4685" t="str">
            <v>38</v>
          </cell>
          <cell r="E4685">
            <v>25</v>
          </cell>
          <cell r="G4685">
            <v>0</v>
          </cell>
          <cell r="H4685">
            <v>0</v>
          </cell>
          <cell r="I4685">
            <v>0</v>
          </cell>
          <cell r="J4685">
            <v>0</v>
          </cell>
          <cell r="K4685">
            <v>0</v>
          </cell>
          <cell r="L4685">
            <v>0</v>
          </cell>
          <cell r="M4685">
            <v>0</v>
          </cell>
          <cell r="N4685">
            <v>0</v>
          </cell>
          <cell r="O4685">
            <v>0</v>
          </cell>
          <cell r="P4685">
            <v>0</v>
          </cell>
          <cell r="Q4685">
            <v>0</v>
          </cell>
          <cell r="R4685">
            <v>0</v>
          </cell>
          <cell r="S4685">
            <v>0</v>
          </cell>
          <cell r="T4685">
            <v>0</v>
          </cell>
          <cell r="U4685">
            <v>0</v>
          </cell>
          <cell r="V4685">
            <v>0</v>
          </cell>
          <cell r="W4685">
            <v>0</v>
          </cell>
        </row>
        <row r="4686">
          <cell r="A4686" t="str">
            <v>450340</v>
          </cell>
          <cell r="B4686" t="str">
            <v>1254</v>
          </cell>
          <cell r="C4686" t="str">
            <v>12</v>
          </cell>
          <cell r="D4686" t="str">
            <v>38</v>
          </cell>
          <cell r="E4686">
            <v>26</v>
          </cell>
          <cell r="G4686">
            <v>0</v>
          </cell>
          <cell r="H4686">
            <v>0</v>
          </cell>
          <cell r="I4686">
            <v>0</v>
          </cell>
          <cell r="J4686">
            <v>0</v>
          </cell>
          <cell r="K4686">
            <v>0</v>
          </cell>
          <cell r="L4686">
            <v>0</v>
          </cell>
          <cell r="M4686">
            <v>0</v>
          </cell>
          <cell r="N4686">
            <v>0</v>
          </cell>
          <cell r="O4686">
            <v>0</v>
          </cell>
          <cell r="P4686">
            <v>0</v>
          </cell>
          <cell r="Q4686">
            <v>0</v>
          </cell>
          <cell r="R4686">
            <v>0</v>
          </cell>
          <cell r="S4686">
            <v>0</v>
          </cell>
          <cell r="T4686">
            <v>0</v>
          </cell>
          <cell r="U4686">
            <v>0</v>
          </cell>
          <cell r="V4686">
            <v>0</v>
          </cell>
          <cell r="W4686">
            <v>0</v>
          </cell>
        </row>
        <row r="4687">
          <cell r="A4687" t="str">
            <v>450340</v>
          </cell>
          <cell r="B4687" t="str">
            <v>1254</v>
          </cell>
          <cell r="C4687" t="str">
            <v>12</v>
          </cell>
          <cell r="D4687" t="str">
            <v>38</v>
          </cell>
          <cell r="E4687">
            <v>27</v>
          </cell>
          <cell r="G4687">
            <v>0</v>
          </cell>
          <cell r="H4687">
            <v>0</v>
          </cell>
          <cell r="I4687">
            <v>0</v>
          </cell>
          <cell r="J4687">
            <v>0</v>
          </cell>
          <cell r="K4687">
            <v>0</v>
          </cell>
          <cell r="L4687">
            <v>0</v>
          </cell>
          <cell r="M4687">
            <v>0</v>
          </cell>
          <cell r="N4687">
            <v>0</v>
          </cell>
          <cell r="O4687">
            <v>0</v>
          </cell>
          <cell r="P4687">
            <v>0</v>
          </cell>
          <cell r="Q4687">
            <v>0</v>
          </cell>
          <cell r="R4687">
            <v>0</v>
          </cell>
          <cell r="S4687">
            <v>0</v>
          </cell>
          <cell r="T4687">
            <v>0</v>
          </cell>
          <cell r="U4687">
            <v>0</v>
          </cell>
          <cell r="V4687">
            <v>0</v>
          </cell>
          <cell r="W4687">
            <v>0</v>
          </cell>
        </row>
        <row r="4688">
          <cell r="A4688" t="str">
            <v>450340</v>
          </cell>
          <cell r="B4688" t="str">
            <v>1254</v>
          </cell>
          <cell r="C4688" t="str">
            <v>12</v>
          </cell>
          <cell r="D4688" t="str">
            <v>38</v>
          </cell>
          <cell r="E4688">
            <v>28</v>
          </cell>
          <cell r="G4688">
            <v>0</v>
          </cell>
          <cell r="H4688">
            <v>0</v>
          </cell>
          <cell r="I4688">
            <v>0</v>
          </cell>
          <cell r="J4688">
            <v>0</v>
          </cell>
          <cell r="K4688">
            <v>0</v>
          </cell>
          <cell r="L4688">
            <v>0</v>
          </cell>
          <cell r="M4688">
            <v>0</v>
          </cell>
          <cell r="N4688">
            <v>0</v>
          </cell>
          <cell r="O4688">
            <v>0</v>
          </cell>
          <cell r="P4688">
            <v>0</v>
          </cell>
          <cell r="Q4688">
            <v>0</v>
          </cell>
          <cell r="R4688">
            <v>0</v>
          </cell>
          <cell r="S4688">
            <v>0</v>
          </cell>
          <cell r="T4688">
            <v>0</v>
          </cell>
          <cell r="U4688">
            <v>0</v>
          </cell>
          <cell r="V4688">
            <v>0</v>
          </cell>
          <cell r="W4688">
            <v>0</v>
          </cell>
        </row>
        <row r="4689">
          <cell r="A4689" t="str">
            <v>450340</v>
          </cell>
          <cell r="B4689" t="str">
            <v>1254</v>
          </cell>
          <cell r="C4689" t="str">
            <v>12</v>
          </cell>
          <cell r="D4689" t="str">
            <v>38</v>
          </cell>
          <cell r="E4689">
            <v>29</v>
          </cell>
          <cell r="G4689">
            <v>18093</v>
          </cell>
          <cell r="H4689">
            <v>1301072</v>
          </cell>
          <cell r="I4689">
            <v>81612</v>
          </cell>
          <cell r="J4689">
            <v>197758</v>
          </cell>
          <cell r="K4689">
            <v>0</v>
          </cell>
          <cell r="L4689">
            <v>0</v>
          </cell>
          <cell r="M4689">
            <v>256882</v>
          </cell>
          <cell r="N4689">
            <v>1855417</v>
          </cell>
          <cell r="O4689">
            <v>0</v>
          </cell>
          <cell r="P4689">
            <v>0</v>
          </cell>
          <cell r="Q4689">
            <v>0</v>
          </cell>
          <cell r="R4689">
            <v>0</v>
          </cell>
          <cell r="S4689">
            <v>0</v>
          </cell>
          <cell r="T4689">
            <v>0</v>
          </cell>
          <cell r="U4689">
            <v>0</v>
          </cell>
          <cell r="V4689">
            <v>0</v>
          </cell>
          <cell r="W4689">
            <v>0</v>
          </cell>
        </row>
        <row r="4690">
          <cell r="A4690" t="str">
            <v>450340</v>
          </cell>
          <cell r="B4690" t="str">
            <v>1254</v>
          </cell>
          <cell r="C4690" t="str">
            <v>12</v>
          </cell>
          <cell r="D4690" t="str">
            <v>38</v>
          </cell>
          <cell r="E4690">
            <v>30</v>
          </cell>
          <cell r="G4690">
            <v>5464</v>
          </cell>
          <cell r="H4690">
            <v>5930340</v>
          </cell>
          <cell r="I4690">
            <v>75407</v>
          </cell>
          <cell r="J4690">
            <v>75567</v>
          </cell>
          <cell r="K4690">
            <v>0</v>
          </cell>
          <cell r="L4690">
            <v>0</v>
          </cell>
          <cell r="M4690">
            <v>2580879</v>
          </cell>
          <cell r="N4690">
            <v>8667657</v>
          </cell>
          <cell r="O4690">
            <v>0</v>
          </cell>
          <cell r="P4690">
            <v>0</v>
          </cell>
          <cell r="Q4690">
            <v>0</v>
          </cell>
          <cell r="R4690">
            <v>0</v>
          </cell>
          <cell r="S4690">
            <v>0</v>
          </cell>
          <cell r="T4690">
            <v>0</v>
          </cell>
          <cell r="U4690">
            <v>0</v>
          </cell>
          <cell r="V4690">
            <v>0</v>
          </cell>
          <cell r="W4690">
            <v>0</v>
          </cell>
        </row>
        <row r="4691">
          <cell r="A4691" t="str">
            <v>450340</v>
          </cell>
          <cell r="B4691" t="str">
            <v>1254</v>
          </cell>
          <cell r="C4691" t="str">
            <v>12</v>
          </cell>
          <cell r="D4691" t="str">
            <v>38</v>
          </cell>
          <cell r="E4691">
            <v>31</v>
          </cell>
          <cell r="G4691">
            <v>16535</v>
          </cell>
          <cell r="H4691">
            <v>5228</v>
          </cell>
          <cell r="I4691">
            <v>53644</v>
          </cell>
          <cell r="J4691">
            <v>126241</v>
          </cell>
          <cell r="K4691">
            <v>0</v>
          </cell>
          <cell r="L4691">
            <v>0</v>
          </cell>
          <cell r="M4691">
            <v>10831</v>
          </cell>
          <cell r="N4691">
            <v>212479</v>
          </cell>
          <cell r="O4691">
            <v>0</v>
          </cell>
          <cell r="P4691">
            <v>0</v>
          </cell>
          <cell r="Q4691">
            <v>0</v>
          </cell>
          <cell r="R4691">
            <v>0</v>
          </cell>
          <cell r="S4691">
            <v>0</v>
          </cell>
          <cell r="T4691">
            <v>0</v>
          </cell>
          <cell r="U4691">
            <v>0</v>
          </cell>
          <cell r="V4691">
            <v>0</v>
          </cell>
          <cell r="W4691">
            <v>0</v>
          </cell>
        </row>
        <row r="4692">
          <cell r="A4692" t="str">
            <v>450340</v>
          </cell>
          <cell r="B4692" t="str">
            <v>1254</v>
          </cell>
          <cell r="C4692" t="str">
            <v>12</v>
          </cell>
          <cell r="D4692" t="str">
            <v>80</v>
          </cell>
          <cell r="E4692">
            <v>1</v>
          </cell>
          <cell r="G4692">
            <v>436512</v>
          </cell>
          <cell r="H4692">
            <v>442638</v>
          </cell>
          <cell r="I4692">
            <v>403239</v>
          </cell>
          <cell r="J4692">
            <v>0</v>
          </cell>
          <cell r="K4692">
            <v>60163</v>
          </cell>
          <cell r="L4692">
            <v>66542</v>
          </cell>
          <cell r="M4692">
            <v>74320</v>
          </cell>
          <cell r="N4692">
            <v>0</v>
          </cell>
          <cell r="O4692">
            <v>32784</v>
          </cell>
          <cell r="P4692">
            <v>40464</v>
          </cell>
          <cell r="Q4692">
            <v>37595</v>
          </cell>
          <cell r="R4692">
            <v>0</v>
          </cell>
          <cell r="S4692">
            <v>529459</v>
          </cell>
          <cell r="T4692">
            <v>549644</v>
          </cell>
          <cell r="U4692">
            <v>515154</v>
          </cell>
          <cell r="V4692">
            <v>0</v>
          </cell>
          <cell r="W4692">
            <v>0</v>
          </cell>
        </row>
        <row r="4693">
          <cell r="A4693" t="str">
            <v>450340</v>
          </cell>
          <cell r="B4693" t="str">
            <v>1254</v>
          </cell>
          <cell r="C4693" t="str">
            <v>12</v>
          </cell>
          <cell r="D4693" t="str">
            <v>80</v>
          </cell>
          <cell r="E4693">
            <v>5</v>
          </cell>
          <cell r="G4693">
            <v>159573</v>
          </cell>
          <cell r="H4693">
            <v>166183</v>
          </cell>
          <cell r="I4693">
            <v>160452</v>
          </cell>
          <cell r="J4693">
            <v>0</v>
          </cell>
          <cell r="K4693">
            <v>4003</v>
          </cell>
          <cell r="L4693">
            <v>5412</v>
          </cell>
          <cell r="M4693">
            <v>5525</v>
          </cell>
          <cell r="N4693">
            <v>0</v>
          </cell>
          <cell r="O4693">
            <v>209553</v>
          </cell>
          <cell r="P4693">
            <v>308642</v>
          </cell>
          <cell r="Q4693">
            <v>256060</v>
          </cell>
          <cell r="R4693">
            <v>0</v>
          </cell>
          <cell r="S4693">
            <v>81761</v>
          </cell>
          <cell r="T4693">
            <v>108005</v>
          </cell>
          <cell r="U4693">
            <v>96956</v>
          </cell>
          <cell r="V4693">
            <v>0</v>
          </cell>
          <cell r="W4693">
            <v>0</v>
          </cell>
        </row>
        <row r="4694">
          <cell r="A4694" t="str">
            <v>450340</v>
          </cell>
          <cell r="B4694" t="str">
            <v>1254</v>
          </cell>
          <cell r="C4694" t="str">
            <v>12</v>
          </cell>
          <cell r="D4694" t="str">
            <v>80</v>
          </cell>
          <cell r="E4694">
            <v>9</v>
          </cell>
          <cell r="G4694">
            <v>15946</v>
          </cell>
          <cell r="H4694">
            <v>36346</v>
          </cell>
          <cell r="I4694">
            <v>33390</v>
          </cell>
          <cell r="J4694">
            <v>0</v>
          </cell>
          <cell r="K4694">
            <v>0</v>
          </cell>
          <cell r="L4694">
            <v>19766</v>
          </cell>
          <cell r="M4694">
            <v>25563</v>
          </cell>
          <cell r="N4694">
            <v>0</v>
          </cell>
          <cell r="O4694">
            <v>0</v>
          </cell>
          <cell r="P4694">
            <v>216</v>
          </cell>
          <cell r="Q4694">
            <v>1496</v>
          </cell>
          <cell r="R4694">
            <v>0</v>
          </cell>
          <cell r="S4694">
            <v>0</v>
          </cell>
          <cell r="T4694">
            <v>0</v>
          </cell>
          <cell r="U4694">
            <v>0</v>
          </cell>
          <cell r="V4694">
            <v>0</v>
          </cell>
          <cell r="W4694">
            <v>0</v>
          </cell>
        </row>
        <row r="4695">
          <cell r="A4695" t="str">
            <v>450340</v>
          </cell>
          <cell r="B4695" t="str">
            <v>1254</v>
          </cell>
          <cell r="C4695" t="str">
            <v>12</v>
          </cell>
          <cell r="D4695" t="str">
            <v>80</v>
          </cell>
          <cell r="E4695">
            <v>13</v>
          </cell>
          <cell r="G4695">
            <v>0</v>
          </cell>
          <cell r="H4695">
            <v>0</v>
          </cell>
          <cell r="I4695">
            <v>0</v>
          </cell>
          <cell r="J4695">
            <v>0</v>
          </cell>
          <cell r="K4695">
            <v>0</v>
          </cell>
          <cell r="L4695">
            <v>0</v>
          </cell>
          <cell r="M4695">
            <v>0</v>
          </cell>
          <cell r="N4695">
            <v>0</v>
          </cell>
          <cell r="O4695">
            <v>0</v>
          </cell>
          <cell r="P4695">
            <v>13652</v>
          </cell>
          <cell r="Q4695">
            <v>14678</v>
          </cell>
          <cell r="R4695">
            <v>0</v>
          </cell>
          <cell r="S4695">
            <v>0</v>
          </cell>
          <cell r="T4695">
            <v>0</v>
          </cell>
          <cell r="U4695">
            <v>0</v>
          </cell>
          <cell r="V4695">
            <v>0</v>
          </cell>
          <cell r="W4695">
            <v>0</v>
          </cell>
        </row>
        <row r="4696">
          <cell r="A4696" t="str">
            <v>450340</v>
          </cell>
          <cell r="B4696" t="str">
            <v>1254</v>
          </cell>
          <cell r="C4696" t="str">
            <v>12</v>
          </cell>
          <cell r="D4696" t="str">
            <v>80</v>
          </cell>
          <cell r="E4696">
            <v>17</v>
          </cell>
          <cell r="G4696">
            <v>0</v>
          </cell>
          <cell r="H4696">
            <v>0</v>
          </cell>
          <cell r="I4696">
            <v>0</v>
          </cell>
          <cell r="J4696">
            <v>0</v>
          </cell>
          <cell r="K4696">
            <v>0</v>
          </cell>
          <cell r="L4696">
            <v>13868</v>
          </cell>
          <cell r="M4696">
            <v>16174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</row>
        <row r="4697">
          <cell r="A4697" t="str">
            <v>450340</v>
          </cell>
          <cell r="B4697" t="str">
            <v>1254</v>
          </cell>
          <cell r="C4697" t="str">
            <v>12</v>
          </cell>
          <cell r="D4697" t="str">
            <v>80</v>
          </cell>
          <cell r="E4697">
            <v>21</v>
          </cell>
          <cell r="G4697">
            <v>0</v>
          </cell>
          <cell r="H4697">
            <v>0</v>
          </cell>
          <cell r="I4697">
            <v>0</v>
          </cell>
          <cell r="J4697">
            <v>0</v>
          </cell>
          <cell r="K4697">
            <v>0</v>
          </cell>
          <cell r="L4697">
            <v>0</v>
          </cell>
          <cell r="M4697">
            <v>0</v>
          </cell>
          <cell r="N4697">
            <v>0</v>
          </cell>
          <cell r="O4697">
            <v>12000</v>
          </cell>
          <cell r="P4697">
            <v>15000</v>
          </cell>
          <cell r="Q4697">
            <v>10000</v>
          </cell>
          <cell r="R4697">
            <v>0</v>
          </cell>
          <cell r="S4697">
            <v>4000</v>
          </cell>
          <cell r="T4697">
            <v>12336</v>
          </cell>
          <cell r="U4697">
            <v>10736</v>
          </cell>
          <cell r="V4697">
            <v>0</v>
          </cell>
          <cell r="W4697">
            <v>0</v>
          </cell>
        </row>
        <row r="4698">
          <cell r="A4698" t="str">
            <v>450340</v>
          </cell>
          <cell r="B4698" t="str">
            <v>1254</v>
          </cell>
          <cell r="C4698" t="str">
            <v>12</v>
          </cell>
          <cell r="D4698" t="str">
            <v>80</v>
          </cell>
          <cell r="E4698">
            <v>25</v>
          </cell>
          <cell r="G4698">
            <v>16000</v>
          </cell>
          <cell r="H4698">
            <v>27336</v>
          </cell>
          <cell r="I4698">
            <v>20736</v>
          </cell>
          <cell r="J4698">
            <v>0</v>
          </cell>
          <cell r="K4698">
            <v>0</v>
          </cell>
          <cell r="L4698">
            <v>0</v>
          </cell>
          <cell r="M4698">
            <v>0</v>
          </cell>
          <cell r="N4698">
            <v>0</v>
          </cell>
          <cell r="O4698">
            <v>2000</v>
          </cell>
          <cell r="P4698">
            <v>2000</v>
          </cell>
          <cell r="Q4698">
            <v>0</v>
          </cell>
          <cell r="R4698">
            <v>0</v>
          </cell>
          <cell r="S4698">
            <v>113107</v>
          </cell>
          <cell r="T4698">
            <v>100474</v>
          </cell>
          <cell r="U4698">
            <v>90868</v>
          </cell>
          <cell r="V4698">
            <v>0</v>
          </cell>
          <cell r="W4698">
            <v>0</v>
          </cell>
        </row>
        <row r="4699">
          <cell r="A4699" t="str">
            <v>450340</v>
          </cell>
          <cell r="B4699" t="str">
            <v>1254</v>
          </cell>
          <cell r="C4699" t="str">
            <v>12</v>
          </cell>
          <cell r="D4699" t="str">
            <v>80</v>
          </cell>
          <cell r="E4699">
            <v>29</v>
          </cell>
          <cell r="G4699">
            <v>0</v>
          </cell>
          <cell r="H4699">
            <v>0</v>
          </cell>
          <cell r="I4699">
            <v>0</v>
          </cell>
          <cell r="J4699">
            <v>0</v>
          </cell>
          <cell r="K4699">
            <v>0</v>
          </cell>
          <cell r="L4699">
            <v>0</v>
          </cell>
          <cell r="M4699">
            <v>0</v>
          </cell>
          <cell r="N4699">
            <v>0</v>
          </cell>
          <cell r="O4699">
            <v>131107</v>
          </cell>
          <cell r="P4699">
            <v>129810</v>
          </cell>
          <cell r="Q4699">
            <v>111604</v>
          </cell>
          <cell r="R4699">
            <v>0</v>
          </cell>
          <cell r="S4699">
            <v>0</v>
          </cell>
          <cell r="T4699">
            <v>0</v>
          </cell>
          <cell r="U4699">
            <v>0</v>
          </cell>
          <cell r="V4699">
            <v>0</v>
          </cell>
          <cell r="W4699">
            <v>0</v>
          </cell>
        </row>
        <row r="4700">
          <cell r="A4700" t="str">
            <v>450340</v>
          </cell>
          <cell r="B4700" t="str">
            <v>1254</v>
          </cell>
          <cell r="C4700" t="str">
            <v>12</v>
          </cell>
          <cell r="D4700" t="str">
            <v>80</v>
          </cell>
          <cell r="E4700">
            <v>33</v>
          </cell>
          <cell r="G4700">
            <v>63000</v>
          </cell>
          <cell r="H4700">
            <v>143346</v>
          </cell>
          <cell r="I4700">
            <v>129771</v>
          </cell>
          <cell r="J4700">
            <v>0</v>
          </cell>
          <cell r="K4700">
            <v>0</v>
          </cell>
          <cell r="L4700">
            <v>0</v>
          </cell>
          <cell r="M4700">
            <v>255</v>
          </cell>
          <cell r="N4700">
            <v>0</v>
          </cell>
          <cell r="O4700">
            <v>200474</v>
          </cell>
          <cell r="P4700">
            <v>12421</v>
          </cell>
          <cell r="Q4700">
            <v>0</v>
          </cell>
          <cell r="R4700">
            <v>0</v>
          </cell>
          <cell r="S4700">
            <v>394581</v>
          </cell>
          <cell r="T4700">
            <v>299445</v>
          </cell>
          <cell r="U4700">
            <v>257804</v>
          </cell>
          <cell r="V4700">
            <v>0</v>
          </cell>
          <cell r="W4700">
            <v>0</v>
          </cell>
        </row>
        <row r="4701">
          <cell r="A4701" t="str">
            <v>450340</v>
          </cell>
          <cell r="B4701" t="str">
            <v>1254</v>
          </cell>
          <cell r="C4701" t="str">
            <v>12</v>
          </cell>
          <cell r="D4701" t="str">
            <v>80</v>
          </cell>
          <cell r="E4701">
            <v>37</v>
          </cell>
          <cell r="G4701">
            <v>55800</v>
          </cell>
          <cell r="H4701">
            <v>55799</v>
          </cell>
          <cell r="I4701">
            <v>24675</v>
          </cell>
          <cell r="J4701">
            <v>0</v>
          </cell>
          <cell r="K4701">
            <v>1450676</v>
          </cell>
          <cell r="L4701">
            <v>1549242</v>
          </cell>
          <cell r="M4701">
            <v>1375579</v>
          </cell>
          <cell r="N4701">
            <v>0</v>
          </cell>
          <cell r="O4701">
            <v>84474</v>
          </cell>
          <cell r="P4701">
            <v>55321</v>
          </cell>
          <cell r="Q4701">
            <v>14892</v>
          </cell>
          <cell r="R4701">
            <v>0</v>
          </cell>
          <cell r="S4701">
            <v>1018920</v>
          </cell>
          <cell r="T4701">
            <v>1102079</v>
          </cell>
          <cell r="U4701">
            <v>384490</v>
          </cell>
          <cell r="V4701">
            <v>0</v>
          </cell>
          <cell r="W4701">
            <v>0</v>
          </cell>
        </row>
        <row r="4702">
          <cell r="A4702" t="str">
            <v>450340</v>
          </cell>
          <cell r="B4702" t="str">
            <v>1254</v>
          </cell>
          <cell r="C4702" t="str">
            <v>12</v>
          </cell>
          <cell r="D4702" t="str">
            <v>80</v>
          </cell>
          <cell r="E4702">
            <v>41</v>
          </cell>
          <cell r="G4702">
            <v>200728</v>
          </cell>
          <cell r="H4702">
            <v>212695</v>
          </cell>
          <cell r="I4702">
            <v>74536</v>
          </cell>
          <cell r="J4702">
            <v>0</v>
          </cell>
          <cell r="K4702">
            <v>12000</v>
          </cell>
          <cell r="L4702">
            <v>13200</v>
          </cell>
          <cell r="M4702">
            <v>13000</v>
          </cell>
          <cell r="N4702">
            <v>0</v>
          </cell>
          <cell r="O4702">
            <v>0</v>
          </cell>
          <cell r="P4702">
            <v>0</v>
          </cell>
          <cell r="Q4702">
            <v>0</v>
          </cell>
          <cell r="R4702">
            <v>0</v>
          </cell>
          <cell r="S4702">
            <v>0</v>
          </cell>
          <cell r="T4702">
            <v>0</v>
          </cell>
          <cell r="U4702">
            <v>0</v>
          </cell>
          <cell r="V4702">
            <v>0</v>
          </cell>
          <cell r="W4702">
            <v>0</v>
          </cell>
        </row>
        <row r="4703">
          <cell r="A4703" t="str">
            <v>450340</v>
          </cell>
          <cell r="B4703" t="str">
            <v>1254</v>
          </cell>
          <cell r="C4703" t="str">
            <v>12</v>
          </cell>
          <cell r="D4703" t="str">
            <v>80</v>
          </cell>
          <cell r="E4703">
            <v>45</v>
          </cell>
          <cell r="G4703">
            <v>0</v>
          </cell>
          <cell r="H4703">
            <v>0</v>
          </cell>
          <cell r="I4703">
            <v>0</v>
          </cell>
          <cell r="J4703">
            <v>0</v>
          </cell>
          <cell r="K4703">
            <v>0</v>
          </cell>
          <cell r="L4703">
            <v>0</v>
          </cell>
          <cell r="M4703">
            <v>0</v>
          </cell>
          <cell r="N4703">
            <v>0</v>
          </cell>
          <cell r="O4703">
            <v>0</v>
          </cell>
          <cell r="P4703">
            <v>0</v>
          </cell>
          <cell r="Q4703">
            <v>0</v>
          </cell>
          <cell r="R4703">
            <v>0</v>
          </cell>
          <cell r="S4703">
            <v>12000</v>
          </cell>
          <cell r="T4703">
            <v>13200</v>
          </cell>
          <cell r="U4703">
            <v>13000</v>
          </cell>
          <cell r="V4703">
            <v>0</v>
          </cell>
          <cell r="W4703">
            <v>0</v>
          </cell>
        </row>
        <row r="4704">
          <cell r="A4704" t="str">
            <v>450340</v>
          </cell>
          <cell r="B4704" t="str">
            <v>1254</v>
          </cell>
          <cell r="C4704" t="str">
            <v>12</v>
          </cell>
          <cell r="D4704" t="str">
            <v>80</v>
          </cell>
          <cell r="E4704">
            <v>49</v>
          </cell>
          <cell r="G4704">
            <v>0</v>
          </cell>
          <cell r="H4704">
            <v>0</v>
          </cell>
          <cell r="I4704">
            <v>411</v>
          </cell>
          <cell r="J4704">
            <v>0</v>
          </cell>
          <cell r="K4704">
            <v>0</v>
          </cell>
          <cell r="L4704">
            <v>0</v>
          </cell>
          <cell r="M4704">
            <v>0</v>
          </cell>
          <cell r="N4704">
            <v>0</v>
          </cell>
          <cell r="O4704">
            <v>0</v>
          </cell>
          <cell r="P4704">
            <v>0</v>
          </cell>
          <cell r="Q4704">
            <v>411</v>
          </cell>
          <cell r="R4704">
            <v>0</v>
          </cell>
          <cell r="S4704">
            <v>0</v>
          </cell>
          <cell r="T4704">
            <v>0</v>
          </cell>
          <cell r="U4704">
            <v>0</v>
          </cell>
          <cell r="V4704">
            <v>0</v>
          </cell>
          <cell r="W4704">
            <v>0</v>
          </cell>
        </row>
        <row r="4705">
          <cell r="A4705" t="str">
            <v>450340</v>
          </cell>
          <cell r="B4705" t="str">
            <v>1254</v>
          </cell>
          <cell r="C4705" t="str">
            <v>12</v>
          </cell>
          <cell r="D4705" t="str">
            <v>80</v>
          </cell>
          <cell r="E4705">
            <v>53</v>
          </cell>
          <cell r="G4705">
            <v>3440</v>
          </cell>
          <cell r="H4705">
            <v>3440</v>
          </cell>
          <cell r="I4705">
            <v>3440</v>
          </cell>
          <cell r="J4705">
            <v>0</v>
          </cell>
          <cell r="K4705">
            <v>3440</v>
          </cell>
          <cell r="L4705">
            <v>3440</v>
          </cell>
          <cell r="M4705">
            <v>3851</v>
          </cell>
          <cell r="N4705">
            <v>0</v>
          </cell>
          <cell r="O4705">
            <v>0</v>
          </cell>
          <cell r="P4705">
            <v>140000</v>
          </cell>
          <cell r="Q4705">
            <v>140000</v>
          </cell>
          <cell r="R4705">
            <v>0</v>
          </cell>
          <cell r="S4705">
            <v>15000</v>
          </cell>
          <cell r="T4705">
            <v>52636</v>
          </cell>
          <cell r="U4705">
            <v>39611</v>
          </cell>
          <cell r="V4705">
            <v>0</v>
          </cell>
          <cell r="W4705">
            <v>0</v>
          </cell>
        </row>
        <row r="4706">
          <cell r="A4706" t="str">
            <v>450340</v>
          </cell>
          <cell r="B4706" t="str">
            <v>1254</v>
          </cell>
          <cell r="C4706" t="str">
            <v>12</v>
          </cell>
          <cell r="D4706" t="str">
            <v>80</v>
          </cell>
          <cell r="E4706">
            <v>57</v>
          </cell>
          <cell r="G4706">
            <v>30000</v>
          </cell>
          <cell r="H4706">
            <v>25000</v>
          </cell>
          <cell r="I4706">
            <v>22999</v>
          </cell>
          <cell r="J4706">
            <v>0</v>
          </cell>
          <cell r="K4706">
            <v>0</v>
          </cell>
          <cell r="L4706">
            <v>0</v>
          </cell>
          <cell r="M4706">
            <v>0</v>
          </cell>
          <cell r="N4706">
            <v>0</v>
          </cell>
          <cell r="O4706">
            <v>0</v>
          </cell>
          <cell r="P4706">
            <v>0</v>
          </cell>
          <cell r="Q4706">
            <v>0</v>
          </cell>
          <cell r="R4706">
            <v>0</v>
          </cell>
          <cell r="S4706">
            <v>48440</v>
          </cell>
          <cell r="T4706">
            <v>221076</v>
          </cell>
          <cell r="U4706">
            <v>206461</v>
          </cell>
          <cell r="V4706">
            <v>0</v>
          </cell>
          <cell r="W4706">
            <v>0</v>
          </cell>
        </row>
        <row r="4707">
          <cell r="A4707" t="str">
            <v>450340</v>
          </cell>
          <cell r="B4707" t="str">
            <v>1254</v>
          </cell>
          <cell r="C4707" t="str">
            <v>12</v>
          </cell>
          <cell r="D4707" t="str">
            <v>80</v>
          </cell>
          <cell r="E4707">
            <v>61</v>
          </cell>
          <cell r="G4707">
            <v>1364562</v>
          </cell>
          <cell r="H4707">
            <v>1604371</v>
          </cell>
          <cell r="I4707">
            <v>693379</v>
          </cell>
          <cell r="J4707">
            <v>0</v>
          </cell>
          <cell r="K4707">
            <v>0</v>
          </cell>
          <cell r="L4707">
            <v>0</v>
          </cell>
          <cell r="M4707">
            <v>0</v>
          </cell>
          <cell r="N4707">
            <v>0</v>
          </cell>
          <cell r="O4707">
            <v>0</v>
          </cell>
          <cell r="P4707">
            <v>0</v>
          </cell>
          <cell r="Q4707">
            <v>9050</v>
          </cell>
          <cell r="R4707">
            <v>0</v>
          </cell>
          <cell r="S4707">
            <v>0</v>
          </cell>
          <cell r="T4707">
            <v>0</v>
          </cell>
          <cell r="U4707">
            <v>0</v>
          </cell>
          <cell r="V4707">
            <v>0</v>
          </cell>
          <cell r="W4707">
            <v>0</v>
          </cell>
        </row>
        <row r="4708">
          <cell r="A4708" t="str">
            <v>450340</v>
          </cell>
          <cell r="B4708" t="str">
            <v>1254</v>
          </cell>
          <cell r="C4708" t="str">
            <v>12</v>
          </cell>
          <cell r="D4708" t="str">
            <v>80</v>
          </cell>
          <cell r="E4708">
            <v>65</v>
          </cell>
          <cell r="G4708">
            <v>0</v>
          </cell>
          <cell r="H4708">
            <v>0</v>
          </cell>
          <cell r="I4708">
            <v>0</v>
          </cell>
          <cell r="J4708">
            <v>0</v>
          </cell>
          <cell r="K4708">
            <v>2824873</v>
          </cell>
          <cell r="L4708">
            <v>2991917</v>
          </cell>
          <cell r="M4708">
            <v>2903091</v>
          </cell>
          <cell r="N4708">
            <v>0</v>
          </cell>
          <cell r="O4708">
            <v>5640111</v>
          </cell>
          <cell r="P4708">
            <v>6145530</v>
          </cell>
          <cell r="Q4708">
            <v>4981099</v>
          </cell>
          <cell r="R4708">
            <v>0</v>
          </cell>
          <cell r="S4708">
            <v>7520</v>
          </cell>
          <cell r="T4708">
            <v>4000</v>
          </cell>
          <cell r="U4708">
            <v>3894</v>
          </cell>
          <cell r="V4708">
            <v>0</v>
          </cell>
          <cell r="W4708">
            <v>0</v>
          </cell>
        </row>
        <row r="4709">
          <cell r="A4709" t="str">
            <v>450340</v>
          </cell>
          <cell r="B4709" t="str">
            <v>1254</v>
          </cell>
          <cell r="C4709" t="str">
            <v>12</v>
          </cell>
          <cell r="D4709" t="str">
            <v>80</v>
          </cell>
          <cell r="E4709">
            <v>69</v>
          </cell>
          <cell r="G4709">
            <v>73540</v>
          </cell>
          <cell r="H4709">
            <v>102089</v>
          </cell>
          <cell r="I4709">
            <v>107145</v>
          </cell>
          <cell r="J4709">
            <v>0</v>
          </cell>
          <cell r="K4709">
            <v>15340</v>
          </cell>
          <cell r="L4709">
            <v>30801</v>
          </cell>
          <cell r="M4709">
            <v>57055</v>
          </cell>
          <cell r="N4709">
            <v>0</v>
          </cell>
          <cell r="O4709">
            <v>3000</v>
          </cell>
          <cell r="P4709">
            <v>3000</v>
          </cell>
          <cell r="Q4709">
            <v>2194</v>
          </cell>
          <cell r="R4709">
            <v>0</v>
          </cell>
          <cell r="S4709">
            <v>85000</v>
          </cell>
          <cell r="T4709">
            <v>85000</v>
          </cell>
          <cell r="U4709">
            <v>78233</v>
          </cell>
          <cell r="V4709">
            <v>0</v>
          </cell>
          <cell r="W4709">
            <v>0</v>
          </cell>
        </row>
        <row r="4710">
          <cell r="A4710" t="str">
            <v>450340</v>
          </cell>
          <cell r="B4710" t="str">
            <v>1254</v>
          </cell>
          <cell r="C4710" t="str">
            <v>12</v>
          </cell>
          <cell r="D4710" t="str">
            <v>80</v>
          </cell>
          <cell r="E4710">
            <v>73</v>
          </cell>
          <cell r="G4710">
            <v>0</v>
          </cell>
          <cell r="H4710">
            <v>0</v>
          </cell>
          <cell r="I4710">
            <v>0</v>
          </cell>
          <cell r="J4710">
            <v>0</v>
          </cell>
          <cell r="K4710">
            <v>339000</v>
          </cell>
          <cell r="L4710">
            <v>386500</v>
          </cell>
          <cell r="M4710">
            <v>389865</v>
          </cell>
          <cell r="N4710">
            <v>0</v>
          </cell>
          <cell r="O4710">
            <v>0</v>
          </cell>
          <cell r="P4710">
            <v>0</v>
          </cell>
          <cell r="Q4710">
            <v>0</v>
          </cell>
          <cell r="R4710">
            <v>0</v>
          </cell>
          <cell r="S4710">
            <v>0</v>
          </cell>
          <cell r="T4710">
            <v>0</v>
          </cell>
          <cell r="U4710">
            <v>0</v>
          </cell>
          <cell r="V4710">
            <v>0</v>
          </cell>
          <cell r="W4710">
            <v>0</v>
          </cell>
        </row>
        <row r="4711">
          <cell r="A4711" t="str">
            <v>450340</v>
          </cell>
          <cell r="B4711" t="str">
            <v>1254</v>
          </cell>
          <cell r="C4711" t="str">
            <v>12</v>
          </cell>
          <cell r="D4711" t="str">
            <v>80</v>
          </cell>
          <cell r="E4711">
            <v>77</v>
          </cell>
          <cell r="G4711">
            <v>0</v>
          </cell>
          <cell r="H4711">
            <v>0</v>
          </cell>
          <cell r="I4711">
            <v>0</v>
          </cell>
          <cell r="J4711">
            <v>0</v>
          </cell>
          <cell r="K4711">
            <v>29000</v>
          </cell>
          <cell r="L4711">
            <v>29000</v>
          </cell>
          <cell r="M4711">
            <v>28387</v>
          </cell>
          <cell r="N4711">
            <v>0</v>
          </cell>
          <cell r="O4711">
            <v>0</v>
          </cell>
          <cell r="P4711">
            <v>0</v>
          </cell>
          <cell r="Q4711">
            <v>0</v>
          </cell>
          <cell r="R4711">
            <v>0</v>
          </cell>
          <cell r="S4711">
            <v>0</v>
          </cell>
          <cell r="T4711">
            <v>0</v>
          </cell>
          <cell r="U4711">
            <v>0</v>
          </cell>
          <cell r="V4711">
            <v>0</v>
          </cell>
          <cell r="W4711">
            <v>0</v>
          </cell>
        </row>
        <row r="4712">
          <cell r="A4712" t="str">
            <v>450340</v>
          </cell>
          <cell r="B4712" t="str">
            <v>1254</v>
          </cell>
          <cell r="C4712" t="str">
            <v>12</v>
          </cell>
          <cell r="D4712" t="str">
            <v>80</v>
          </cell>
          <cell r="E4712">
            <v>81</v>
          </cell>
          <cell r="G4712">
            <v>310000</v>
          </cell>
          <cell r="H4712">
            <v>357500</v>
          </cell>
          <cell r="I4712">
            <v>357435</v>
          </cell>
          <cell r="J4712">
            <v>0</v>
          </cell>
          <cell r="K4712">
            <v>0</v>
          </cell>
          <cell r="L4712">
            <v>0</v>
          </cell>
          <cell r="M4712">
            <v>4043</v>
          </cell>
          <cell r="N4712">
            <v>0</v>
          </cell>
          <cell r="O4712">
            <v>0</v>
          </cell>
          <cell r="P4712">
            <v>0</v>
          </cell>
          <cell r="Q4712">
            <v>0</v>
          </cell>
          <cell r="R4712">
            <v>0</v>
          </cell>
          <cell r="S4712">
            <v>1085438</v>
          </cell>
          <cell r="T4712">
            <v>1076449</v>
          </cell>
          <cell r="U4712">
            <v>1064029</v>
          </cell>
          <cell r="V4712">
            <v>0</v>
          </cell>
          <cell r="W4712">
            <v>0</v>
          </cell>
        </row>
        <row r="4713">
          <cell r="A4713" t="str">
            <v>450340</v>
          </cell>
          <cell r="B4713" t="str">
            <v>1254</v>
          </cell>
          <cell r="C4713" t="str">
            <v>12</v>
          </cell>
          <cell r="D4713" t="str">
            <v>80</v>
          </cell>
          <cell r="E4713">
            <v>85</v>
          </cell>
          <cell r="G4713">
            <v>0</v>
          </cell>
          <cell r="H4713">
            <v>0</v>
          </cell>
          <cell r="I4713">
            <v>0</v>
          </cell>
          <cell r="J4713">
            <v>0</v>
          </cell>
          <cell r="K4713">
            <v>0</v>
          </cell>
          <cell r="L4713">
            <v>0</v>
          </cell>
          <cell r="M4713">
            <v>0</v>
          </cell>
          <cell r="N4713">
            <v>0</v>
          </cell>
          <cell r="O4713">
            <v>2000</v>
          </cell>
          <cell r="P4713">
            <v>2000</v>
          </cell>
          <cell r="Q4713">
            <v>1957</v>
          </cell>
          <cell r="R4713">
            <v>0</v>
          </cell>
          <cell r="S4713">
            <v>12000</v>
          </cell>
          <cell r="T4713">
            <v>12000</v>
          </cell>
          <cell r="U4713">
            <v>5037</v>
          </cell>
          <cell r="V4713">
            <v>0</v>
          </cell>
          <cell r="W4713">
            <v>0</v>
          </cell>
        </row>
        <row r="4714">
          <cell r="A4714" t="str">
            <v>450340</v>
          </cell>
          <cell r="B4714" t="str">
            <v>1254</v>
          </cell>
          <cell r="C4714" t="str">
            <v>12</v>
          </cell>
          <cell r="D4714" t="str">
            <v>80</v>
          </cell>
          <cell r="E4714">
            <v>89</v>
          </cell>
          <cell r="G4714">
            <v>0</v>
          </cell>
          <cell r="H4714">
            <v>0</v>
          </cell>
          <cell r="I4714">
            <v>0</v>
          </cell>
          <cell r="J4714">
            <v>0</v>
          </cell>
          <cell r="K4714">
            <v>0</v>
          </cell>
          <cell r="L4714">
            <v>0</v>
          </cell>
          <cell r="M4714">
            <v>0</v>
          </cell>
          <cell r="N4714">
            <v>0</v>
          </cell>
          <cell r="O4714">
            <v>38413</v>
          </cell>
          <cell r="P4714">
            <v>41502</v>
          </cell>
          <cell r="Q4714">
            <v>48251</v>
          </cell>
          <cell r="R4714">
            <v>0</v>
          </cell>
          <cell r="S4714">
            <v>0</v>
          </cell>
          <cell r="T4714">
            <v>0</v>
          </cell>
          <cell r="U4714">
            <v>0</v>
          </cell>
          <cell r="V4714">
            <v>0</v>
          </cell>
          <cell r="W4714">
            <v>0</v>
          </cell>
        </row>
        <row r="4715">
          <cell r="A4715" t="str">
            <v>450340</v>
          </cell>
          <cell r="B4715" t="str">
            <v>1254</v>
          </cell>
          <cell r="C4715" t="str">
            <v>12</v>
          </cell>
          <cell r="D4715" t="str">
            <v>80</v>
          </cell>
          <cell r="E4715">
            <v>93</v>
          </cell>
          <cell r="G4715">
            <v>0</v>
          </cell>
          <cell r="H4715">
            <v>0</v>
          </cell>
          <cell r="I4715">
            <v>0</v>
          </cell>
          <cell r="J4715">
            <v>0</v>
          </cell>
          <cell r="K4715">
            <v>0</v>
          </cell>
          <cell r="L4715">
            <v>51274</v>
          </cell>
          <cell r="M4715">
            <v>49560</v>
          </cell>
          <cell r="N4715">
            <v>0</v>
          </cell>
          <cell r="O4715">
            <v>10500</v>
          </cell>
          <cell r="P4715">
            <v>14439</v>
          </cell>
          <cell r="Q4715">
            <v>21801</v>
          </cell>
          <cell r="R4715">
            <v>0</v>
          </cell>
          <cell r="S4715">
            <v>41000</v>
          </cell>
          <cell r="T4715">
            <v>41000</v>
          </cell>
          <cell r="U4715">
            <v>38162</v>
          </cell>
          <cell r="V4715">
            <v>0</v>
          </cell>
          <cell r="W4715">
            <v>0</v>
          </cell>
        </row>
        <row r="4716">
          <cell r="A4716" t="str">
            <v>450340</v>
          </cell>
          <cell r="B4716" t="str">
            <v>1254</v>
          </cell>
          <cell r="C4716" t="str">
            <v>12</v>
          </cell>
          <cell r="D4716" t="str">
            <v>80</v>
          </cell>
          <cell r="E4716">
            <v>97</v>
          </cell>
          <cell r="G4716">
            <v>0</v>
          </cell>
          <cell r="H4716">
            <v>0</v>
          </cell>
          <cell r="I4716">
            <v>0</v>
          </cell>
          <cell r="J4716">
            <v>0</v>
          </cell>
          <cell r="K4716">
            <v>89913</v>
          </cell>
          <cell r="L4716">
            <v>148215</v>
          </cell>
          <cell r="M4716">
            <v>157774</v>
          </cell>
          <cell r="N4716">
            <v>0</v>
          </cell>
          <cell r="O4716">
            <v>0</v>
          </cell>
          <cell r="P4716">
            <v>250</v>
          </cell>
          <cell r="Q4716">
            <v>3555</v>
          </cell>
          <cell r="R4716">
            <v>0</v>
          </cell>
          <cell r="S4716">
            <v>0</v>
          </cell>
          <cell r="T4716">
            <v>0</v>
          </cell>
          <cell r="U4716">
            <v>0</v>
          </cell>
          <cell r="V4716">
            <v>0</v>
          </cell>
          <cell r="W4716">
            <v>0</v>
          </cell>
        </row>
        <row r="4717">
          <cell r="A4717" t="str">
            <v>450340</v>
          </cell>
          <cell r="B4717" t="str">
            <v>1254</v>
          </cell>
          <cell r="C4717" t="str">
            <v>12</v>
          </cell>
          <cell r="D4717" t="str">
            <v>80</v>
          </cell>
          <cell r="E4717">
            <v>101</v>
          </cell>
          <cell r="G4717">
            <v>160481</v>
          </cell>
          <cell r="H4717">
            <v>203317</v>
          </cell>
          <cell r="I4717">
            <v>162388</v>
          </cell>
          <cell r="J4717">
            <v>0</v>
          </cell>
          <cell r="K4717">
            <v>587047</v>
          </cell>
          <cell r="L4717">
            <v>417940</v>
          </cell>
          <cell r="M4717">
            <v>129122</v>
          </cell>
          <cell r="N4717">
            <v>0</v>
          </cell>
          <cell r="O4717">
            <v>0</v>
          </cell>
          <cell r="P4717">
            <v>0</v>
          </cell>
          <cell r="Q4717">
            <v>0</v>
          </cell>
          <cell r="R4717">
            <v>0</v>
          </cell>
          <cell r="S4717">
            <v>0</v>
          </cell>
          <cell r="T4717">
            <v>0</v>
          </cell>
          <cell r="U4717">
            <v>0</v>
          </cell>
          <cell r="V4717">
            <v>0</v>
          </cell>
          <cell r="W4717">
            <v>0</v>
          </cell>
        </row>
        <row r="4718">
          <cell r="A4718" t="str">
            <v>450340</v>
          </cell>
          <cell r="B4718" t="str">
            <v>1254</v>
          </cell>
          <cell r="C4718" t="str">
            <v>12</v>
          </cell>
          <cell r="D4718" t="str">
            <v>80</v>
          </cell>
          <cell r="E4718">
            <v>105</v>
          </cell>
          <cell r="G4718">
            <v>0</v>
          </cell>
          <cell r="H4718">
            <v>0</v>
          </cell>
          <cell r="I4718">
            <v>0</v>
          </cell>
          <cell r="J4718">
            <v>0</v>
          </cell>
          <cell r="K4718">
            <v>0</v>
          </cell>
          <cell r="L4718">
            <v>19503</v>
          </cell>
          <cell r="M4718">
            <v>4644</v>
          </cell>
          <cell r="N4718">
            <v>0</v>
          </cell>
          <cell r="O4718">
            <v>0</v>
          </cell>
          <cell r="P4718">
            <v>0</v>
          </cell>
          <cell r="Q4718">
            <v>0</v>
          </cell>
          <cell r="R4718">
            <v>0</v>
          </cell>
          <cell r="S4718">
            <v>587047</v>
          </cell>
          <cell r="T4718">
            <v>437443</v>
          </cell>
          <cell r="U4718">
            <v>133766</v>
          </cell>
          <cell r="V4718">
            <v>0</v>
          </cell>
          <cell r="W4718">
            <v>0</v>
          </cell>
        </row>
        <row r="4719">
          <cell r="A4719" t="str">
            <v>450340</v>
          </cell>
          <cell r="B4719" t="str">
            <v>1254</v>
          </cell>
          <cell r="C4719" t="str">
            <v>12</v>
          </cell>
          <cell r="D4719" t="str">
            <v>80</v>
          </cell>
          <cell r="E4719">
            <v>109</v>
          </cell>
          <cell r="G4719">
            <v>4000</v>
          </cell>
          <cell r="H4719">
            <v>149750</v>
          </cell>
          <cell r="I4719">
            <v>176585</v>
          </cell>
          <cell r="J4719">
            <v>0</v>
          </cell>
          <cell r="K4719">
            <v>0</v>
          </cell>
          <cell r="L4719">
            <v>0</v>
          </cell>
          <cell r="M4719">
            <v>0</v>
          </cell>
          <cell r="N4719">
            <v>0</v>
          </cell>
          <cell r="O4719">
            <v>17000</v>
          </cell>
          <cell r="P4719">
            <v>17000</v>
          </cell>
          <cell r="Q4719">
            <v>21477</v>
          </cell>
          <cell r="R4719">
            <v>0</v>
          </cell>
          <cell r="S4719">
            <v>0</v>
          </cell>
          <cell r="T4719">
            <v>0</v>
          </cell>
          <cell r="U4719">
            <v>0</v>
          </cell>
          <cell r="V4719">
            <v>0</v>
          </cell>
          <cell r="W4719">
            <v>0</v>
          </cell>
        </row>
        <row r="4720">
          <cell r="A4720" t="str">
            <v>450340</v>
          </cell>
          <cell r="B4720" t="str">
            <v>1254</v>
          </cell>
          <cell r="C4720" t="str">
            <v>12</v>
          </cell>
          <cell r="D4720" t="str">
            <v>80</v>
          </cell>
          <cell r="E4720">
            <v>113</v>
          </cell>
          <cell r="G4720">
            <v>0</v>
          </cell>
          <cell r="H4720">
            <v>0</v>
          </cell>
          <cell r="I4720">
            <v>0</v>
          </cell>
          <cell r="J4720">
            <v>0</v>
          </cell>
          <cell r="K4720">
            <v>0</v>
          </cell>
          <cell r="L4720">
            <v>3555</v>
          </cell>
          <cell r="M4720">
            <v>11312</v>
          </cell>
          <cell r="N4720">
            <v>0</v>
          </cell>
          <cell r="O4720">
            <v>768528</v>
          </cell>
          <cell r="P4720">
            <v>811065</v>
          </cell>
          <cell r="Q4720">
            <v>505528</v>
          </cell>
          <cell r="R4720">
            <v>0</v>
          </cell>
          <cell r="S4720">
            <v>0</v>
          </cell>
          <cell r="T4720">
            <v>0</v>
          </cell>
          <cell r="U4720">
            <v>0</v>
          </cell>
          <cell r="V4720">
            <v>0</v>
          </cell>
          <cell r="W4720">
            <v>0</v>
          </cell>
        </row>
        <row r="4721">
          <cell r="A4721" t="str">
            <v>450340</v>
          </cell>
          <cell r="B4721" t="str">
            <v>1254</v>
          </cell>
          <cell r="C4721" t="str">
            <v>12</v>
          </cell>
          <cell r="D4721" t="str">
            <v>80</v>
          </cell>
          <cell r="E4721">
            <v>117</v>
          </cell>
          <cell r="G4721">
            <v>0</v>
          </cell>
          <cell r="H4721">
            <v>10500</v>
          </cell>
          <cell r="I4721">
            <v>17035</v>
          </cell>
          <cell r="J4721">
            <v>0</v>
          </cell>
          <cell r="K4721">
            <v>0</v>
          </cell>
          <cell r="L4721">
            <v>0</v>
          </cell>
          <cell r="M4721">
            <v>0</v>
          </cell>
          <cell r="N4721">
            <v>0</v>
          </cell>
          <cell r="O4721">
            <v>7425</v>
          </cell>
          <cell r="P4721">
            <v>0</v>
          </cell>
          <cell r="Q4721">
            <v>20</v>
          </cell>
          <cell r="R4721">
            <v>0</v>
          </cell>
          <cell r="S4721">
            <v>0</v>
          </cell>
          <cell r="T4721">
            <v>0</v>
          </cell>
          <cell r="U4721">
            <v>908</v>
          </cell>
          <cell r="V4721">
            <v>0</v>
          </cell>
          <cell r="W4721">
            <v>0</v>
          </cell>
        </row>
        <row r="4722">
          <cell r="A4722" t="str">
            <v>450340</v>
          </cell>
          <cell r="B4722" t="str">
            <v>1254</v>
          </cell>
          <cell r="C4722" t="str">
            <v>12</v>
          </cell>
          <cell r="D4722" t="str">
            <v>80</v>
          </cell>
          <cell r="E4722">
            <v>121</v>
          </cell>
          <cell r="G4722">
            <v>2488704</v>
          </cell>
          <cell r="H4722">
            <v>2671869</v>
          </cell>
          <cell r="I4722">
            <v>2394229</v>
          </cell>
          <cell r="J4722">
            <v>0</v>
          </cell>
          <cell r="K4722">
            <v>2372963</v>
          </cell>
          <cell r="L4722">
            <v>3181561</v>
          </cell>
          <cell r="M4722">
            <v>2691448</v>
          </cell>
          <cell r="N4722">
            <v>0</v>
          </cell>
          <cell r="O4722">
            <v>0</v>
          </cell>
          <cell r="P4722">
            <v>0</v>
          </cell>
          <cell r="Q4722">
            <v>0</v>
          </cell>
          <cell r="R4722">
            <v>0</v>
          </cell>
          <cell r="S4722">
            <v>778444</v>
          </cell>
          <cell r="T4722">
            <v>292100</v>
          </cell>
          <cell r="U4722">
            <v>-104578</v>
          </cell>
          <cell r="V4722">
            <v>0</v>
          </cell>
          <cell r="W4722">
            <v>0</v>
          </cell>
        </row>
        <row r="4723">
          <cell r="A4723" t="str">
            <v>450340</v>
          </cell>
          <cell r="B4723" t="str">
            <v>1254</v>
          </cell>
          <cell r="C4723" t="str">
            <v>12</v>
          </cell>
          <cell r="D4723" t="str">
            <v>80</v>
          </cell>
          <cell r="E4723">
            <v>125</v>
          </cell>
          <cell r="G4723">
            <v>219607</v>
          </cell>
          <cell r="H4723">
            <v>72997</v>
          </cell>
          <cell r="I4723">
            <v>72997</v>
          </cell>
          <cell r="J4723">
            <v>0</v>
          </cell>
          <cell r="K4723">
            <v>0</v>
          </cell>
          <cell r="L4723">
            <v>0</v>
          </cell>
          <cell r="M4723">
            <v>0</v>
          </cell>
          <cell r="N4723">
            <v>0</v>
          </cell>
          <cell r="O4723">
            <v>216136</v>
          </cell>
          <cell r="P4723">
            <v>216136</v>
          </cell>
          <cell r="Q4723">
            <v>65044</v>
          </cell>
          <cell r="R4723">
            <v>0</v>
          </cell>
          <cell r="S4723">
            <v>53880</v>
          </cell>
          <cell r="T4723">
            <v>113780</v>
          </cell>
          <cell r="U4723">
            <v>114074</v>
          </cell>
          <cell r="V4723">
            <v>0</v>
          </cell>
          <cell r="W4723">
            <v>0</v>
          </cell>
        </row>
        <row r="4724">
          <cell r="A4724" t="str">
            <v>450340</v>
          </cell>
          <cell r="B4724" t="str">
            <v>1254</v>
          </cell>
          <cell r="C4724" t="str">
            <v>12</v>
          </cell>
          <cell r="D4724" t="str">
            <v>80</v>
          </cell>
          <cell r="E4724">
            <v>129</v>
          </cell>
          <cell r="G4724">
            <v>0</v>
          </cell>
          <cell r="H4724">
            <v>0</v>
          </cell>
          <cell r="I4724">
            <v>0</v>
          </cell>
          <cell r="J4724">
            <v>0</v>
          </cell>
          <cell r="K4724">
            <v>0</v>
          </cell>
          <cell r="L4724">
            <v>0</v>
          </cell>
          <cell r="M4724">
            <v>0</v>
          </cell>
          <cell r="N4724">
            <v>0</v>
          </cell>
          <cell r="O4724">
            <v>0</v>
          </cell>
          <cell r="P4724">
            <v>0</v>
          </cell>
          <cell r="Q4724">
            <v>0</v>
          </cell>
          <cell r="R4724">
            <v>0</v>
          </cell>
          <cell r="S4724">
            <v>0</v>
          </cell>
          <cell r="T4724">
            <v>0</v>
          </cell>
          <cell r="U4724">
            <v>0</v>
          </cell>
          <cell r="V4724">
            <v>0</v>
          </cell>
          <cell r="W4724">
            <v>0</v>
          </cell>
        </row>
        <row r="4725">
          <cell r="A4725" t="str">
            <v>450340</v>
          </cell>
          <cell r="B4725" t="str">
            <v>1254</v>
          </cell>
          <cell r="C4725" t="str">
            <v>12</v>
          </cell>
          <cell r="D4725" t="str">
            <v>80</v>
          </cell>
          <cell r="E4725">
            <v>133</v>
          </cell>
          <cell r="G4725">
            <v>0</v>
          </cell>
          <cell r="H4725">
            <v>0</v>
          </cell>
          <cell r="I4725">
            <v>0</v>
          </cell>
          <cell r="J4725">
            <v>0</v>
          </cell>
          <cell r="K4725">
            <v>0</v>
          </cell>
          <cell r="L4725">
            <v>0</v>
          </cell>
          <cell r="M4725">
            <v>0</v>
          </cell>
          <cell r="N4725">
            <v>0</v>
          </cell>
          <cell r="O4725">
            <v>0</v>
          </cell>
          <cell r="P4725">
            <v>0</v>
          </cell>
          <cell r="Q4725">
            <v>2778</v>
          </cell>
          <cell r="R4725">
            <v>0</v>
          </cell>
          <cell r="S4725">
            <v>270016</v>
          </cell>
          <cell r="T4725">
            <v>329916</v>
          </cell>
          <cell r="U4725">
            <v>181896</v>
          </cell>
          <cell r="V4725">
            <v>0</v>
          </cell>
          <cell r="W4725">
            <v>0</v>
          </cell>
        </row>
        <row r="4726">
          <cell r="A4726" t="str">
            <v>450340</v>
          </cell>
          <cell r="B4726" t="str">
            <v>1254</v>
          </cell>
          <cell r="C4726" t="str">
            <v>12</v>
          </cell>
          <cell r="D4726" t="str">
            <v>80</v>
          </cell>
          <cell r="E4726">
            <v>137</v>
          </cell>
          <cell r="G4726">
            <v>828853</v>
          </cell>
          <cell r="H4726">
            <v>412024</v>
          </cell>
          <cell r="I4726">
            <v>0</v>
          </cell>
          <cell r="J4726">
            <v>0</v>
          </cell>
          <cell r="K4726">
            <v>0</v>
          </cell>
          <cell r="L4726">
            <v>0</v>
          </cell>
          <cell r="M4726">
            <v>0</v>
          </cell>
          <cell r="N4726">
            <v>0</v>
          </cell>
          <cell r="O4726">
            <v>0</v>
          </cell>
          <cell r="P4726">
            <v>129570</v>
          </cell>
          <cell r="Q4726">
            <v>11249</v>
          </cell>
          <cell r="R4726">
            <v>0</v>
          </cell>
          <cell r="S4726">
            <v>0</v>
          </cell>
          <cell r="T4726">
            <v>0</v>
          </cell>
          <cell r="U4726">
            <v>0</v>
          </cell>
          <cell r="V4726">
            <v>0</v>
          </cell>
          <cell r="W4726">
            <v>0</v>
          </cell>
        </row>
        <row r="4727">
          <cell r="A4727" t="str">
            <v>450340</v>
          </cell>
          <cell r="B4727" t="str">
            <v>1254</v>
          </cell>
          <cell r="C4727" t="str">
            <v>12</v>
          </cell>
          <cell r="D4727" t="str">
            <v>80</v>
          </cell>
          <cell r="E4727">
            <v>141</v>
          </cell>
          <cell r="G4727">
            <v>0</v>
          </cell>
          <cell r="H4727">
            <v>0</v>
          </cell>
          <cell r="I4727">
            <v>0</v>
          </cell>
          <cell r="J4727">
            <v>0</v>
          </cell>
          <cell r="K4727">
            <v>0</v>
          </cell>
          <cell r="L4727">
            <v>0</v>
          </cell>
          <cell r="M4727">
            <v>0</v>
          </cell>
          <cell r="N4727">
            <v>0</v>
          </cell>
          <cell r="O4727">
            <v>0</v>
          </cell>
          <cell r="P4727">
            <v>7425</v>
          </cell>
          <cell r="Q4727">
            <v>0</v>
          </cell>
          <cell r="R4727">
            <v>0</v>
          </cell>
          <cell r="S4727">
            <v>0</v>
          </cell>
          <cell r="T4727">
            <v>0</v>
          </cell>
          <cell r="U4727">
            <v>0</v>
          </cell>
          <cell r="V4727">
            <v>0</v>
          </cell>
          <cell r="W4727">
            <v>0</v>
          </cell>
        </row>
        <row r="4728">
          <cell r="A4728" t="str">
            <v>450340</v>
          </cell>
          <cell r="B4728" t="str">
            <v>1254</v>
          </cell>
          <cell r="C4728" t="str">
            <v>12</v>
          </cell>
          <cell r="D4728" t="str">
            <v>80</v>
          </cell>
          <cell r="E4728">
            <v>145</v>
          </cell>
          <cell r="G4728">
            <v>0</v>
          </cell>
          <cell r="H4728">
            <v>0</v>
          </cell>
          <cell r="I4728">
            <v>0</v>
          </cell>
          <cell r="J4728">
            <v>0</v>
          </cell>
          <cell r="K4728">
            <v>0</v>
          </cell>
          <cell r="L4728">
            <v>0</v>
          </cell>
          <cell r="M4728">
            <v>-31258</v>
          </cell>
          <cell r="N4728">
            <v>0</v>
          </cell>
          <cell r="O4728">
            <v>828853</v>
          </cell>
          <cell r="P4728">
            <v>549019</v>
          </cell>
          <cell r="Q4728">
            <v>-20009</v>
          </cell>
          <cell r="R4728">
            <v>0</v>
          </cell>
          <cell r="S4728">
            <v>778444</v>
          </cell>
          <cell r="T4728">
            <v>292100</v>
          </cell>
          <cell r="U4728">
            <v>-128908</v>
          </cell>
          <cell r="V4728">
            <v>0</v>
          </cell>
          <cell r="W4728">
            <v>0</v>
          </cell>
        </row>
        <row r="4729">
          <cell r="A4729" t="str">
            <v>450340</v>
          </cell>
          <cell r="B4729" t="str">
            <v>1254</v>
          </cell>
          <cell r="C4729" t="str">
            <v>12</v>
          </cell>
          <cell r="D4729" t="str">
            <v>80</v>
          </cell>
          <cell r="E4729">
            <v>149</v>
          </cell>
          <cell r="G4729">
            <v>0</v>
          </cell>
          <cell r="H4729">
            <v>0</v>
          </cell>
          <cell r="I4729">
            <v>0</v>
          </cell>
          <cell r="J4729">
            <v>0</v>
          </cell>
          <cell r="K4729">
            <v>0</v>
          </cell>
          <cell r="L4729">
            <v>0</v>
          </cell>
          <cell r="M4729">
            <v>0</v>
          </cell>
          <cell r="N4729">
            <v>0</v>
          </cell>
          <cell r="O4729">
            <v>0</v>
          </cell>
          <cell r="P4729">
            <v>0</v>
          </cell>
          <cell r="Q4729">
            <v>0</v>
          </cell>
          <cell r="R4729">
            <v>0</v>
          </cell>
          <cell r="S4729">
            <v>0</v>
          </cell>
          <cell r="T4729">
            <v>0</v>
          </cell>
          <cell r="U4729">
            <v>0</v>
          </cell>
          <cell r="V4729">
            <v>0</v>
          </cell>
          <cell r="W4729">
            <v>0</v>
          </cell>
        </row>
        <row r="4730">
          <cell r="A4730" t="str">
            <v>450340</v>
          </cell>
          <cell r="B4730" t="str">
            <v>1254</v>
          </cell>
          <cell r="C4730" t="str">
            <v>12</v>
          </cell>
          <cell r="D4730" t="str">
            <v>80</v>
          </cell>
          <cell r="E4730">
            <v>153</v>
          </cell>
          <cell r="G4730">
            <v>0</v>
          </cell>
          <cell r="H4730">
            <v>0</v>
          </cell>
          <cell r="I4730">
            <v>-97327</v>
          </cell>
          <cell r="J4730">
            <v>0</v>
          </cell>
          <cell r="K4730">
            <v>0</v>
          </cell>
          <cell r="L4730">
            <v>0</v>
          </cell>
          <cell r="M4730">
            <v>253343</v>
          </cell>
          <cell r="N4730">
            <v>0</v>
          </cell>
          <cell r="O4730">
            <v>0</v>
          </cell>
          <cell r="P4730">
            <v>0</v>
          </cell>
          <cell r="Q4730">
            <v>156016</v>
          </cell>
          <cell r="R4730">
            <v>0</v>
          </cell>
          <cell r="S4730">
            <v>290</v>
          </cell>
          <cell r="T4730">
            <v>287</v>
          </cell>
          <cell r="U4730">
            <v>288</v>
          </cell>
          <cell r="V4730">
            <v>0</v>
          </cell>
          <cell r="W4730">
            <v>0</v>
          </cell>
        </row>
        <row r="4731">
          <cell r="A4731" t="str">
            <v>450340</v>
          </cell>
          <cell r="B4731" t="str">
            <v>1254</v>
          </cell>
          <cell r="C4731" t="str">
            <v>12</v>
          </cell>
          <cell r="D4731" t="str">
            <v>80</v>
          </cell>
          <cell r="E4731">
            <v>157</v>
          </cell>
          <cell r="G4731">
            <v>0</v>
          </cell>
          <cell r="H4731">
            <v>0</v>
          </cell>
          <cell r="I4731">
            <v>287</v>
          </cell>
          <cell r="J4731">
            <v>0</v>
          </cell>
          <cell r="K4731">
            <v>0</v>
          </cell>
          <cell r="L4731">
            <v>0</v>
          </cell>
          <cell r="M4731">
            <v>0</v>
          </cell>
          <cell r="N4731">
            <v>0</v>
          </cell>
          <cell r="O4731">
            <v>0</v>
          </cell>
          <cell r="P4731">
            <v>0</v>
          </cell>
          <cell r="Q4731">
            <v>0</v>
          </cell>
          <cell r="R4731">
            <v>0</v>
          </cell>
          <cell r="S4731">
            <v>0</v>
          </cell>
          <cell r="T4731">
            <v>0</v>
          </cell>
          <cell r="U4731">
            <v>0</v>
          </cell>
          <cell r="V4731">
            <v>0</v>
          </cell>
          <cell r="W4731">
            <v>0</v>
          </cell>
        </row>
        <row r="4732">
          <cell r="A4732" t="str">
            <v>450340</v>
          </cell>
          <cell r="B4732" t="str">
            <v>1254</v>
          </cell>
          <cell r="C4732" t="str">
            <v>12</v>
          </cell>
          <cell r="D4732" t="str">
            <v>17</v>
          </cell>
          <cell r="E4732">
            <v>1</v>
          </cell>
          <cell r="G4732">
            <v>0</v>
          </cell>
          <cell r="H4732">
            <v>0</v>
          </cell>
          <cell r="I4732">
            <v>0</v>
          </cell>
          <cell r="J4732">
            <v>0</v>
          </cell>
          <cell r="K4732">
            <v>0</v>
          </cell>
          <cell r="L4732">
            <v>0</v>
          </cell>
          <cell r="M4732">
            <v>0</v>
          </cell>
          <cell r="N4732">
            <v>650</v>
          </cell>
          <cell r="O4732">
            <v>0</v>
          </cell>
          <cell r="P4732">
            <v>0</v>
          </cell>
          <cell r="Q4732">
            <v>650</v>
          </cell>
          <cell r="R4732">
            <v>0</v>
          </cell>
          <cell r="S4732">
            <v>0</v>
          </cell>
          <cell r="T4732">
            <v>208</v>
          </cell>
          <cell r="U4732">
            <v>0</v>
          </cell>
          <cell r="V4732">
            <v>0</v>
          </cell>
          <cell r="W4732">
            <v>0</v>
          </cell>
        </row>
        <row r="4733">
          <cell r="A4733" t="str">
            <v>450340</v>
          </cell>
          <cell r="B4733" t="str">
            <v>1254</v>
          </cell>
          <cell r="C4733" t="str">
            <v>12</v>
          </cell>
          <cell r="D4733" t="str">
            <v>17</v>
          </cell>
          <cell r="E4733">
            <v>6</v>
          </cell>
          <cell r="G4733">
            <v>640</v>
          </cell>
          <cell r="H4733">
            <v>720</v>
          </cell>
          <cell r="I4733">
            <v>588</v>
          </cell>
          <cell r="J4733">
            <v>0</v>
          </cell>
          <cell r="K4733">
            <v>0</v>
          </cell>
          <cell r="L4733">
            <v>0</v>
          </cell>
          <cell r="M4733">
            <v>640</v>
          </cell>
          <cell r="N4733">
            <v>720</v>
          </cell>
          <cell r="O4733">
            <v>588</v>
          </cell>
          <cell r="P4733">
            <v>0</v>
          </cell>
          <cell r="Q4733">
            <v>196</v>
          </cell>
          <cell r="R4733">
            <v>133</v>
          </cell>
          <cell r="S4733">
            <v>0</v>
          </cell>
          <cell r="T4733">
            <v>0</v>
          </cell>
          <cell r="U4733">
            <v>0</v>
          </cell>
          <cell r="V4733">
            <v>0</v>
          </cell>
          <cell r="W4733">
            <v>0</v>
          </cell>
        </row>
        <row r="4734">
          <cell r="A4734" t="str">
            <v>450340</v>
          </cell>
          <cell r="B4734" t="str">
            <v>1254</v>
          </cell>
          <cell r="C4734" t="str">
            <v>12</v>
          </cell>
          <cell r="D4734" t="str">
            <v>17</v>
          </cell>
          <cell r="E4734">
            <v>11</v>
          </cell>
          <cell r="G4734">
            <v>640</v>
          </cell>
          <cell r="H4734">
            <v>1774</v>
          </cell>
          <cell r="I4734">
            <v>721</v>
          </cell>
          <cell r="J4734">
            <v>0</v>
          </cell>
          <cell r="K4734">
            <v>250</v>
          </cell>
          <cell r="L4734">
            <v>292</v>
          </cell>
          <cell r="M4734">
            <v>0</v>
          </cell>
          <cell r="N4734">
            <v>0</v>
          </cell>
          <cell r="O4734">
            <v>0</v>
          </cell>
          <cell r="P4734">
            <v>0</v>
          </cell>
          <cell r="Q4734">
            <v>0</v>
          </cell>
          <cell r="R4734">
            <v>0</v>
          </cell>
          <cell r="S4734">
            <v>0</v>
          </cell>
          <cell r="T4734">
            <v>250</v>
          </cell>
          <cell r="U4734">
            <v>292</v>
          </cell>
          <cell r="V4734">
            <v>0</v>
          </cell>
          <cell r="W4734">
            <v>0</v>
          </cell>
        </row>
        <row r="4735">
          <cell r="A4735" t="str">
            <v>450340</v>
          </cell>
          <cell r="B4735" t="str">
            <v>1254</v>
          </cell>
          <cell r="C4735" t="str">
            <v>12</v>
          </cell>
          <cell r="D4735" t="str">
            <v>17</v>
          </cell>
          <cell r="E4735">
            <v>16</v>
          </cell>
          <cell r="G4735">
            <v>640</v>
          </cell>
          <cell r="H4735">
            <v>2024</v>
          </cell>
          <cell r="I4735">
            <v>1013</v>
          </cell>
          <cell r="J4735">
            <v>0</v>
          </cell>
          <cell r="K4735">
            <v>0</v>
          </cell>
          <cell r="L4735">
            <v>0</v>
          </cell>
          <cell r="M4735">
            <v>0</v>
          </cell>
          <cell r="N4735">
            <v>0</v>
          </cell>
          <cell r="O4735">
            <v>0</v>
          </cell>
          <cell r="P4735">
            <v>0</v>
          </cell>
          <cell r="Q4735">
            <v>0</v>
          </cell>
          <cell r="R4735">
            <v>0</v>
          </cell>
          <cell r="S4735">
            <v>0</v>
          </cell>
          <cell r="T4735">
            <v>0</v>
          </cell>
          <cell r="U4735">
            <v>0</v>
          </cell>
          <cell r="V4735">
            <v>0</v>
          </cell>
          <cell r="W4735">
            <v>0</v>
          </cell>
        </row>
        <row r="4736">
          <cell r="A4736" t="str">
            <v>450340</v>
          </cell>
          <cell r="B4736" t="str">
            <v>1254</v>
          </cell>
          <cell r="C4736" t="str">
            <v>12</v>
          </cell>
          <cell r="D4736" t="str">
            <v>17</v>
          </cell>
          <cell r="E4736">
            <v>21</v>
          </cell>
          <cell r="G4736">
            <v>0</v>
          </cell>
          <cell r="H4736">
            <v>0</v>
          </cell>
          <cell r="I4736">
            <v>0</v>
          </cell>
          <cell r="J4736">
            <v>0</v>
          </cell>
          <cell r="K4736">
            <v>0</v>
          </cell>
          <cell r="L4736">
            <v>0</v>
          </cell>
          <cell r="M4736">
            <v>640</v>
          </cell>
          <cell r="N4736">
            <v>2024</v>
          </cell>
          <cell r="O4736">
            <v>1013</v>
          </cell>
          <cell r="P4736">
            <v>0</v>
          </cell>
          <cell r="Q4736">
            <v>0</v>
          </cell>
          <cell r="R4736">
            <v>0</v>
          </cell>
          <cell r="S4736">
            <v>640</v>
          </cell>
          <cell r="T4736">
            <v>2024</v>
          </cell>
          <cell r="U4736">
            <v>1013</v>
          </cell>
          <cell r="V4736">
            <v>0</v>
          </cell>
          <cell r="W4736">
            <v>0</v>
          </cell>
        </row>
        <row r="4737">
          <cell r="A4737" t="str">
            <v>450340</v>
          </cell>
          <cell r="B4737" t="str">
            <v>1254</v>
          </cell>
          <cell r="C4737" t="str">
            <v>12</v>
          </cell>
          <cell r="D4737" t="str">
            <v>17</v>
          </cell>
          <cell r="E4737">
            <v>26</v>
          </cell>
          <cell r="G4737">
            <v>0</v>
          </cell>
          <cell r="H4737">
            <v>0</v>
          </cell>
          <cell r="I4737">
            <v>0</v>
          </cell>
          <cell r="J4737">
            <v>0</v>
          </cell>
          <cell r="K4737">
            <v>0</v>
          </cell>
          <cell r="L4737">
            <v>0</v>
          </cell>
          <cell r="M4737">
            <v>0</v>
          </cell>
          <cell r="N4737">
            <v>0</v>
          </cell>
          <cell r="O4737">
            <v>0</v>
          </cell>
          <cell r="P4737">
            <v>640</v>
          </cell>
          <cell r="Q4737">
            <v>2024</v>
          </cell>
          <cell r="R4737">
            <v>1013</v>
          </cell>
          <cell r="S4737">
            <v>0</v>
          </cell>
          <cell r="T4737">
            <v>0</v>
          </cell>
          <cell r="U4737">
            <v>1</v>
          </cell>
          <cell r="V4737">
            <v>0</v>
          </cell>
          <cell r="W4737">
            <v>0</v>
          </cell>
        </row>
        <row r="4738">
          <cell r="A4738" t="str">
            <v>450340</v>
          </cell>
          <cell r="B4738" t="str">
            <v>1254</v>
          </cell>
          <cell r="C4738" t="str">
            <v>12</v>
          </cell>
          <cell r="D4738" t="str">
            <v>17</v>
          </cell>
          <cell r="E4738">
            <v>31</v>
          </cell>
          <cell r="G4738">
            <v>0</v>
          </cell>
          <cell r="H4738">
            <v>0</v>
          </cell>
          <cell r="I4738">
            <v>0</v>
          </cell>
          <cell r="J4738">
            <v>640</v>
          </cell>
          <cell r="K4738">
            <v>640</v>
          </cell>
          <cell r="L4738">
            <v>800</v>
          </cell>
          <cell r="M4738">
            <v>0</v>
          </cell>
          <cell r="N4738">
            <v>0</v>
          </cell>
          <cell r="O4738">
            <v>0</v>
          </cell>
          <cell r="P4738">
            <v>0</v>
          </cell>
          <cell r="Q4738">
            <v>938</v>
          </cell>
          <cell r="R4738">
            <v>150</v>
          </cell>
          <cell r="S4738">
            <v>0</v>
          </cell>
          <cell r="T4738">
            <v>0</v>
          </cell>
          <cell r="U4738">
            <v>0</v>
          </cell>
          <cell r="V4738">
            <v>0</v>
          </cell>
          <cell r="W4738">
            <v>0</v>
          </cell>
        </row>
        <row r="4739">
          <cell r="A4739" t="str">
            <v>450340</v>
          </cell>
          <cell r="B4739" t="str">
            <v>1254</v>
          </cell>
          <cell r="C4739" t="str">
            <v>12</v>
          </cell>
          <cell r="D4739" t="str">
            <v>17</v>
          </cell>
          <cell r="E4739">
            <v>36</v>
          </cell>
          <cell r="G4739">
            <v>0</v>
          </cell>
          <cell r="H4739">
            <v>0</v>
          </cell>
          <cell r="I4739">
            <v>0</v>
          </cell>
          <cell r="J4739">
            <v>0</v>
          </cell>
          <cell r="K4739">
            <v>0</v>
          </cell>
          <cell r="L4739">
            <v>0</v>
          </cell>
          <cell r="M4739">
            <v>0</v>
          </cell>
          <cell r="N4739">
            <v>0</v>
          </cell>
          <cell r="O4739">
            <v>0</v>
          </cell>
          <cell r="P4739">
            <v>0</v>
          </cell>
          <cell r="Q4739">
            <v>0</v>
          </cell>
          <cell r="R4739">
            <v>0</v>
          </cell>
          <cell r="S4739">
            <v>0</v>
          </cell>
          <cell r="T4739">
            <v>0</v>
          </cell>
          <cell r="U4739">
            <v>0</v>
          </cell>
          <cell r="V4739">
            <v>0</v>
          </cell>
          <cell r="W4739">
            <v>0</v>
          </cell>
        </row>
        <row r="4740">
          <cell r="A4740" t="str">
            <v>450340</v>
          </cell>
          <cell r="B4740" t="str">
            <v>1254</v>
          </cell>
          <cell r="C4740" t="str">
            <v>12</v>
          </cell>
          <cell r="D4740" t="str">
            <v>17</v>
          </cell>
          <cell r="E4740">
            <v>41</v>
          </cell>
          <cell r="G4740">
            <v>640</v>
          </cell>
          <cell r="H4740">
            <v>1578</v>
          </cell>
          <cell r="I4740">
            <v>951</v>
          </cell>
          <cell r="J4740">
            <v>0</v>
          </cell>
          <cell r="K4740">
            <v>446</v>
          </cell>
          <cell r="L4740">
            <v>446</v>
          </cell>
          <cell r="M4740">
            <v>640</v>
          </cell>
          <cell r="N4740">
            <v>2024</v>
          </cell>
          <cell r="O4740">
            <v>1397</v>
          </cell>
          <cell r="P4740">
            <v>0</v>
          </cell>
          <cell r="Q4740">
            <v>0</v>
          </cell>
          <cell r="R4740">
            <v>0</v>
          </cell>
          <cell r="S4740">
            <v>0</v>
          </cell>
          <cell r="T4740">
            <v>0</v>
          </cell>
          <cell r="U4740">
            <v>0</v>
          </cell>
          <cell r="V4740">
            <v>0</v>
          </cell>
          <cell r="W4740">
            <v>0</v>
          </cell>
        </row>
        <row r="4741">
          <cell r="A4741" t="str">
            <v>450340</v>
          </cell>
          <cell r="B4741" t="str">
            <v>1254</v>
          </cell>
          <cell r="C4741" t="str">
            <v>12</v>
          </cell>
          <cell r="D4741" t="str">
            <v>17</v>
          </cell>
          <cell r="E4741">
            <v>46</v>
          </cell>
          <cell r="G4741">
            <v>0</v>
          </cell>
          <cell r="H4741">
            <v>0</v>
          </cell>
          <cell r="I4741">
            <v>0</v>
          </cell>
          <cell r="J4741">
            <v>640</v>
          </cell>
          <cell r="K4741">
            <v>2024</v>
          </cell>
          <cell r="L4741">
            <v>1397</v>
          </cell>
          <cell r="M4741">
            <v>0</v>
          </cell>
          <cell r="N4741">
            <v>0</v>
          </cell>
          <cell r="O4741">
            <v>0</v>
          </cell>
          <cell r="P4741">
            <v>0</v>
          </cell>
          <cell r="Q4741">
            <v>0</v>
          </cell>
          <cell r="R4741">
            <v>0</v>
          </cell>
          <cell r="S4741">
            <v>0</v>
          </cell>
          <cell r="T4741">
            <v>0</v>
          </cell>
          <cell r="U4741">
            <v>0</v>
          </cell>
          <cell r="V4741">
            <v>0</v>
          </cell>
          <cell r="W4741">
            <v>0</v>
          </cell>
        </row>
        <row r="4742">
          <cell r="A4742" t="str">
            <v>450340</v>
          </cell>
          <cell r="B4742" t="str">
            <v>1254</v>
          </cell>
          <cell r="C4742" t="str">
            <v>12</v>
          </cell>
          <cell r="D4742" t="str">
            <v>54</v>
          </cell>
          <cell r="E4742">
            <v>1</v>
          </cell>
          <cell r="G4742">
            <v>33696340</v>
          </cell>
          <cell r="H4742">
            <v>0</v>
          </cell>
          <cell r="I4742">
            <v>0</v>
          </cell>
          <cell r="J4742">
            <v>0</v>
          </cell>
          <cell r="K4742">
            <v>33696340</v>
          </cell>
          <cell r="L4742">
            <v>33696340</v>
          </cell>
          <cell r="M4742">
            <v>0</v>
          </cell>
          <cell r="N4742">
            <v>33696340</v>
          </cell>
          <cell r="O4742">
            <v>0</v>
          </cell>
          <cell r="P4742">
            <v>0</v>
          </cell>
          <cell r="Q4742">
            <v>0</v>
          </cell>
          <cell r="R4742">
            <v>0</v>
          </cell>
          <cell r="S4742">
            <v>0</v>
          </cell>
          <cell r="T4742">
            <v>0</v>
          </cell>
          <cell r="U4742">
            <v>0</v>
          </cell>
          <cell r="V4742">
            <v>0</v>
          </cell>
          <cell r="W4742">
            <v>0</v>
          </cell>
        </row>
        <row r="4743">
          <cell r="A4743" t="str">
            <v>450340</v>
          </cell>
          <cell r="B4743" t="str">
            <v>1254</v>
          </cell>
          <cell r="C4743" t="str">
            <v>12</v>
          </cell>
          <cell r="D4743" t="str">
            <v>54</v>
          </cell>
          <cell r="E4743">
            <v>2</v>
          </cell>
          <cell r="G4743">
            <v>35627958</v>
          </cell>
          <cell r="H4743">
            <v>0</v>
          </cell>
          <cell r="I4743">
            <v>0</v>
          </cell>
          <cell r="J4743">
            <v>0</v>
          </cell>
          <cell r="K4743">
            <v>35627958</v>
          </cell>
          <cell r="L4743">
            <v>35627958</v>
          </cell>
          <cell r="M4743">
            <v>0</v>
          </cell>
          <cell r="N4743">
            <v>35627958</v>
          </cell>
          <cell r="O4743">
            <v>0</v>
          </cell>
          <cell r="P4743">
            <v>0</v>
          </cell>
          <cell r="Q4743">
            <v>0</v>
          </cell>
          <cell r="R4743">
            <v>0</v>
          </cell>
          <cell r="S4743">
            <v>0</v>
          </cell>
          <cell r="T4743">
            <v>0</v>
          </cell>
          <cell r="U4743">
            <v>0</v>
          </cell>
          <cell r="V4743">
            <v>0</v>
          </cell>
          <cell r="W4743">
            <v>0</v>
          </cell>
        </row>
        <row r="4744">
          <cell r="A4744" t="str">
            <v>450340</v>
          </cell>
          <cell r="B4744" t="str">
            <v>1254</v>
          </cell>
          <cell r="C4744" t="str">
            <v>12</v>
          </cell>
          <cell r="D4744" t="str">
            <v>54</v>
          </cell>
          <cell r="E4744">
            <v>3</v>
          </cell>
          <cell r="G4744">
            <v>3982800</v>
          </cell>
          <cell r="H4744">
            <v>0</v>
          </cell>
          <cell r="I4744">
            <v>0</v>
          </cell>
          <cell r="J4744">
            <v>0</v>
          </cell>
          <cell r="K4744">
            <v>3982800</v>
          </cell>
          <cell r="L4744">
            <v>3982800</v>
          </cell>
          <cell r="M4744">
            <v>0</v>
          </cell>
          <cell r="N4744">
            <v>3982800</v>
          </cell>
          <cell r="O4744">
            <v>0</v>
          </cell>
          <cell r="P4744">
            <v>0</v>
          </cell>
          <cell r="Q4744">
            <v>0</v>
          </cell>
          <cell r="R4744">
            <v>0</v>
          </cell>
          <cell r="S4744">
            <v>0</v>
          </cell>
          <cell r="T4744">
            <v>0</v>
          </cell>
          <cell r="U4744">
            <v>0</v>
          </cell>
          <cell r="V4744">
            <v>0</v>
          </cell>
          <cell r="W4744">
            <v>0</v>
          </cell>
        </row>
        <row r="4745">
          <cell r="A4745" t="str">
            <v>450340</v>
          </cell>
          <cell r="B4745" t="str">
            <v>1254</v>
          </cell>
          <cell r="C4745" t="str">
            <v>12</v>
          </cell>
          <cell r="D4745" t="str">
            <v>54</v>
          </cell>
          <cell r="E4745">
            <v>4</v>
          </cell>
          <cell r="G4745">
            <v>0</v>
          </cell>
          <cell r="H4745">
            <v>0</v>
          </cell>
          <cell r="I4745">
            <v>0</v>
          </cell>
          <cell r="J4745">
            <v>0</v>
          </cell>
          <cell r="K4745">
            <v>0</v>
          </cell>
          <cell r="L4745">
            <v>0</v>
          </cell>
          <cell r="M4745">
            <v>0</v>
          </cell>
          <cell r="N4745">
            <v>0</v>
          </cell>
          <cell r="O4745">
            <v>0</v>
          </cell>
          <cell r="P4745">
            <v>0</v>
          </cell>
          <cell r="Q4745">
            <v>0</v>
          </cell>
          <cell r="R4745">
            <v>0</v>
          </cell>
          <cell r="S4745">
            <v>0</v>
          </cell>
          <cell r="T4745">
            <v>0</v>
          </cell>
          <cell r="U4745">
            <v>0</v>
          </cell>
          <cell r="V4745">
            <v>0</v>
          </cell>
          <cell r="W4745">
            <v>0</v>
          </cell>
        </row>
        <row r="4746">
          <cell r="A4746" t="str">
            <v>450340</v>
          </cell>
          <cell r="B4746" t="str">
            <v>1254</v>
          </cell>
          <cell r="C4746" t="str">
            <v>12</v>
          </cell>
          <cell r="D4746" t="str">
            <v>54</v>
          </cell>
          <cell r="E4746">
            <v>5</v>
          </cell>
          <cell r="G4746">
            <v>372400</v>
          </cell>
          <cell r="H4746">
            <v>0</v>
          </cell>
          <cell r="I4746">
            <v>0</v>
          </cell>
          <cell r="J4746">
            <v>0</v>
          </cell>
          <cell r="K4746">
            <v>372400</v>
          </cell>
          <cell r="L4746">
            <v>372400</v>
          </cell>
          <cell r="M4746">
            <v>0</v>
          </cell>
          <cell r="N4746">
            <v>372400</v>
          </cell>
          <cell r="O4746">
            <v>0</v>
          </cell>
          <cell r="P4746">
            <v>0</v>
          </cell>
          <cell r="Q4746">
            <v>0</v>
          </cell>
          <cell r="R4746">
            <v>0</v>
          </cell>
          <cell r="S4746">
            <v>0</v>
          </cell>
          <cell r="T4746">
            <v>0</v>
          </cell>
          <cell r="U4746">
            <v>0</v>
          </cell>
          <cell r="V4746">
            <v>0</v>
          </cell>
          <cell r="W4746">
            <v>0</v>
          </cell>
        </row>
        <row r="4747">
          <cell r="A4747" t="str">
            <v>450340</v>
          </cell>
          <cell r="B4747" t="str">
            <v>1254</v>
          </cell>
          <cell r="C4747" t="str">
            <v>12</v>
          </cell>
          <cell r="D4747" t="str">
            <v>54</v>
          </cell>
          <cell r="E4747">
            <v>6</v>
          </cell>
          <cell r="G4747">
            <v>0</v>
          </cell>
          <cell r="H4747">
            <v>0</v>
          </cell>
          <cell r="I4747">
            <v>0</v>
          </cell>
          <cell r="J4747">
            <v>0</v>
          </cell>
          <cell r="K4747">
            <v>0</v>
          </cell>
          <cell r="L4747">
            <v>0</v>
          </cell>
          <cell r="M4747">
            <v>0</v>
          </cell>
          <cell r="N4747">
            <v>0</v>
          </cell>
          <cell r="O4747">
            <v>0</v>
          </cell>
          <cell r="P4747">
            <v>0</v>
          </cell>
          <cell r="Q4747">
            <v>0</v>
          </cell>
          <cell r="R4747">
            <v>0</v>
          </cell>
          <cell r="S4747">
            <v>0</v>
          </cell>
          <cell r="T4747">
            <v>0</v>
          </cell>
          <cell r="U4747">
            <v>0</v>
          </cell>
          <cell r="V4747">
            <v>0</v>
          </cell>
          <cell r="W4747">
            <v>0</v>
          </cell>
        </row>
        <row r="4748">
          <cell r="A4748" t="str">
            <v>450340</v>
          </cell>
          <cell r="B4748" t="str">
            <v>1254</v>
          </cell>
          <cell r="C4748" t="str">
            <v>12</v>
          </cell>
          <cell r="D4748" t="str">
            <v>54</v>
          </cell>
          <cell r="E4748">
            <v>7</v>
          </cell>
          <cell r="G4748">
            <v>0</v>
          </cell>
          <cell r="H4748">
            <v>0</v>
          </cell>
          <cell r="I4748">
            <v>0</v>
          </cell>
          <cell r="J4748">
            <v>0</v>
          </cell>
          <cell r="K4748">
            <v>0</v>
          </cell>
          <cell r="L4748">
            <v>0</v>
          </cell>
          <cell r="M4748">
            <v>0</v>
          </cell>
          <cell r="N4748">
            <v>0</v>
          </cell>
          <cell r="O4748">
            <v>0</v>
          </cell>
          <cell r="P4748">
            <v>0</v>
          </cell>
          <cell r="Q4748">
            <v>0</v>
          </cell>
          <cell r="R4748">
            <v>0</v>
          </cell>
          <cell r="S4748">
            <v>0</v>
          </cell>
          <cell r="T4748">
            <v>0</v>
          </cell>
          <cell r="U4748">
            <v>0</v>
          </cell>
          <cell r="V4748">
            <v>0</v>
          </cell>
          <cell r="W4748">
            <v>0</v>
          </cell>
        </row>
        <row r="4749">
          <cell r="A4749" t="str">
            <v>450340</v>
          </cell>
          <cell r="B4749" t="str">
            <v>1254</v>
          </cell>
          <cell r="C4749" t="str">
            <v>12</v>
          </cell>
          <cell r="D4749" t="str">
            <v>54</v>
          </cell>
          <cell r="E4749">
            <v>8</v>
          </cell>
          <cell r="G4749">
            <v>0</v>
          </cell>
          <cell r="H4749">
            <v>0</v>
          </cell>
          <cell r="I4749">
            <v>0</v>
          </cell>
          <cell r="J4749">
            <v>0</v>
          </cell>
          <cell r="K4749">
            <v>0</v>
          </cell>
          <cell r="L4749">
            <v>0</v>
          </cell>
          <cell r="M4749">
            <v>0</v>
          </cell>
          <cell r="N4749">
            <v>0</v>
          </cell>
          <cell r="O4749">
            <v>0</v>
          </cell>
          <cell r="P4749">
            <v>0</v>
          </cell>
          <cell r="Q4749">
            <v>0</v>
          </cell>
          <cell r="R4749">
            <v>0</v>
          </cell>
          <cell r="S4749">
            <v>0</v>
          </cell>
          <cell r="T4749">
            <v>0</v>
          </cell>
          <cell r="U4749">
            <v>0</v>
          </cell>
          <cell r="V4749">
            <v>0</v>
          </cell>
          <cell r="W4749">
            <v>0</v>
          </cell>
        </row>
        <row r="4750">
          <cell r="A4750" t="str">
            <v>450340</v>
          </cell>
          <cell r="B4750" t="str">
            <v>1254</v>
          </cell>
          <cell r="C4750" t="str">
            <v>12</v>
          </cell>
          <cell r="D4750" t="str">
            <v>54</v>
          </cell>
          <cell r="E4750">
            <v>9</v>
          </cell>
          <cell r="G4750">
            <v>87364140</v>
          </cell>
          <cell r="H4750">
            <v>0</v>
          </cell>
          <cell r="I4750">
            <v>21841035</v>
          </cell>
          <cell r="J4750">
            <v>0</v>
          </cell>
          <cell r="K4750">
            <v>65523105</v>
          </cell>
          <cell r="L4750">
            <v>87364140</v>
          </cell>
          <cell r="M4750">
            <v>21841035</v>
          </cell>
          <cell r="N4750">
            <v>65523105</v>
          </cell>
          <cell r="O4750">
            <v>0</v>
          </cell>
          <cell r="P4750">
            <v>0</v>
          </cell>
          <cell r="Q4750">
            <v>0</v>
          </cell>
          <cell r="R4750">
            <v>0</v>
          </cell>
          <cell r="S4750">
            <v>0</v>
          </cell>
          <cell r="T4750">
            <v>0</v>
          </cell>
          <cell r="U4750">
            <v>0</v>
          </cell>
          <cell r="V4750">
            <v>0</v>
          </cell>
          <cell r="W4750">
            <v>0</v>
          </cell>
        </row>
        <row r="4751">
          <cell r="A4751" t="str">
            <v>450340</v>
          </cell>
          <cell r="B4751" t="str">
            <v>1254</v>
          </cell>
          <cell r="C4751" t="str">
            <v>12</v>
          </cell>
          <cell r="D4751" t="str">
            <v>54</v>
          </cell>
          <cell r="E4751">
            <v>10</v>
          </cell>
          <cell r="G4751">
            <v>22264469</v>
          </cell>
          <cell r="H4751">
            <v>0</v>
          </cell>
          <cell r="I4751">
            <v>0</v>
          </cell>
          <cell r="J4751">
            <v>0</v>
          </cell>
          <cell r="K4751">
            <v>22264469</v>
          </cell>
          <cell r="L4751">
            <v>22264469</v>
          </cell>
          <cell r="M4751">
            <v>0</v>
          </cell>
          <cell r="N4751">
            <v>22264469</v>
          </cell>
          <cell r="O4751">
            <v>0</v>
          </cell>
          <cell r="P4751">
            <v>0</v>
          </cell>
          <cell r="Q4751">
            <v>0</v>
          </cell>
          <cell r="R4751">
            <v>0</v>
          </cell>
          <cell r="S4751">
            <v>0</v>
          </cell>
          <cell r="T4751">
            <v>0</v>
          </cell>
          <cell r="U4751">
            <v>0</v>
          </cell>
          <cell r="V4751">
            <v>0</v>
          </cell>
          <cell r="W4751">
            <v>0</v>
          </cell>
        </row>
        <row r="4752">
          <cell r="A4752" t="str">
            <v>450340</v>
          </cell>
          <cell r="B4752" t="str">
            <v>1254</v>
          </cell>
          <cell r="C4752" t="str">
            <v>12</v>
          </cell>
          <cell r="D4752" t="str">
            <v>54</v>
          </cell>
          <cell r="E4752">
            <v>11</v>
          </cell>
          <cell r="G4752">
            <v>30916820</v>
          </cell>
          <cell r="H4752">
            <v>0</v>
          </cell>
          <cell r="I4752">
            <v>11946259</v>
          </cell>
          <cell r="J4752">
            <v>0</v>
          </cell>
          <cell r="K4752">
            <v>18970561</v>
          </cell>
          <cell r="L4752">
            <v>30916820</v>
          </cell>
          <cell r="M4752">
            <v>11946259</v>
          </cell>
          <cell r="N4752">
            <v>18970561</v>
          </cell>
          <cell r="O4752">
            <v>0</v>
          </cell>
          <cell r="P4752">
            <v>0</v>
          </cell>
          <cell r="Q4752">
            <v>0</v>
          </cell>
          <cell r="R4752">
            <v>0</v>
          </cell>
          <cell r="S4752">
            <v>0</v>
          </cell>
          <cell r="T4752">
            <v>0</v>
          </cell>
          <cell r="U4752">
            <v>0</v>
          </cell>
          <cell r="V4752">
            <v>0</v>
          </cell>
          <cell r="W4752">
            <v>0</v>
          </cell>
        </row>
        <row r="4753">
          <cell r="A4753" t="str">
            <v>450340</v>
          </cell>
          <cell r="B4753" t="str">
            <v>1254</v>
          </cell>
          <cell r="C4753" t="str">
            <v>12</v>
          </cell>
          <cell r="D4753" t="str">
            <v>54</v>
          </cell>
          <cell r="E4753">
            <v>12</v>
          </cell>
          <cell r="G4753">
            <v>164850000</v>
          </cell>
          <cell r="H4753">
            <v>0</v>
          </cell>
          <cell r="I4753">
            <v>49817670</v>
          </cell>
          <cell r="J4753">
            <v>0</v>
          </cell>
          <cell r="K4753">
            <v>115032330</v>
          </cell>
          <cell r="L4753">
            <v>164850000</v>
          </cell>
          <cell r="M4753">
            <v>49817670</v>
          </cell>
          <cell r="N4753">
            <v>115032330</v>
          </cell>
          <cell r="O4753">
            <v>0</v>
          </cell>
          <cell r="P4753">
            <v>0</v>
          </cell>
          <cell r="Q4753">
            <v>0</v>
          </cell>
          <cell r="R4753">
            <v>0</v>
          </cell>
          <cell r="S4753">
            <v>0</v>
          </cell>
          <cell r="T4753">
            <v>0</v>
          </cell>
          <cell r="U4753">
            <v>0</v>
          </cell>
          <cell r="V4753">
            <v>0</v>
          </cell>
          <cell r="W4753">
            <v>0</v>
          </cell>
        </row>
        <row r="4754">
          <cell r="A4754" t="str">
            <v>450340</v>
          </cell>
          <cell r="B4754" t="str">
            <v>1254</v>
          </cell>
          <cell r="C4754" t="str">
            <v>12</v>
          </cell>
          <cell r="D4754" t="str">
            <v>54</v>
          </cell>
          <cell r="E4754">
            <v>13</v>
          </cell>
          <cell r="G4754">
            <v>0</v>
          </cell>
          <cell r="H4754">
            <v>0</v>
          </cell>
          <cell r="I4754">
            <v>0</v>
          </cell>
          <cell r="J4754">
            <v>0</v>
          </cell>
          <cell r="K4754">
            <v>0</v>
          </cell>
          <cell r="L4754">
            <v>0</v>
          </cell>
          <cell r="M4754">
            <v>0</v>
          </cell>
          <cell r="N4754">
            <v>0</v>
          </cell>
          <cell r="O4754">
            <v>0</v>
          </cell>
          <cell r="P4754">
            <v>0</v>
          </cell>
          <cell r="Q4754">
            <v>0</v>
          </cell>
          <cell r="R4754">
            <v>0</v>
          </cell>
          <cell r="S4754">
            <v>0</v>
          </cell>
          <cell r="T4754">
            <v>0</v>
          </cell>
          <cell r="U4754">
            <v>0</v>
          </cell>
          <cell r="V4754">
            <v>0</v>
          </cell>
          <cell r="W4754">
            <v>0</v>
          </cell>
        </row>
        <row r="4755">
          <cell r="A4755" t="str">
            <v>450340</v>
          </cell>
          <cell r="B4755" t="str">
            <v>1254</v>
          </cell>
          <cell r="C4755" t="str">
            <v>12</v>
          </cell>
          <cell r="D4755" t="str">
            <v>54</v>
          </cell>
          <cell r="E4755">
            <v>14</v>
          </cell>
          <cell r="G4755">
            <v>18130000</v>
          </cell>
          <cell r="H4755">
            <v>0</v>
          </cell>
          <cell r="I4755">
            <v>2719500</v>
          </cell>
          <cell r="J4755">
            <v>0</v>
          </cell>
          <cell r="K4755">
            <v>15410500</v>
          </cell>
          <cell r="L4755">
            <v>18130000</v>
          </cell>
          <cell r="M4755">
            <v>2719500</v>
          </cell>
          <cell r="N4755">
            <v>15410500</v>
          </cell>
          <cell r="O4755">
            <v>0</v>
          </cell>
          <cell r="P4755">
            <v>0</v>
          </cell>
          <cell r="Q4755">
            <v>0</v>
          </cell>
          <cell r="R4755">
            <v>0</v>
          </cell>
          <cell r="S4755">
            <v>0</v>
          </cell>
          <cell r="T4755">
            <v>0</v>
          </cell>
          <cell r="U4755">
            <v>0</v>
          </cell>
          <cell r="V4755">
            <v>0</v>
          </cell>
          <cell r="W4755">
            <v>0</v>
          </cell>
        </row>
        <row r="4756">
          <cell r="A4756" t="str">
            <v>450340</v>
          </cell>
          <cell r="B4756" t="str">
            <v>1254</v>
          </cell>
          <cell r="C4756" t="str">
            <v>12</v>
          </cell>
          <cell r="D4756" t="str">
            <v>54</v>
          </cell>
          <cell r="E4756">
            <v>15</v>
          </cell>
          <cell r="G4756">
            <v>110843000</v>
          </cell>
          <cell r="H4756">
            <v>0</v>
          </cell>
          <cell r="I4756">
            <v>110843000</v>
          </cell>
          <cell r="J4756">
            <v>0</v>
          </cell>
          <cell r="K4756">
            <v>0</v>
          </cell>
          <cell r="L4756">
            <v>110843000</v>
          </cell>
          <cell r="M4756">
            <v>110843000</v>
          </cell>
          <cell r="N4756">
            <v>0</v>
          </cell>
          <cell r="O4756">
            <v>0</v>
          </cell>
          <cell r="P4756">
            <v>0</v>
          </cell>
          <cell r="Q4756">
            <v>0</v>
          </cell>
          <cell r="R4756">
            <v>0</v>
          </cell>
          <cell r="S4756">
            <v>0</v>
          </cell>
          <cell r="T4756">
            <v>0</v>
          </cell>
          <cell r="U4756">
            <v>0</v>
          </cell>
          <cell r="V4756">
            <v>0</v>
          </cell>
          <cell r="W4756">
            <v>0</v>
          </cell>
        </row>
        <row r="4757">
          <cell r="A4757" t="str">
            <v>450340</v>
          </cell>
          <cell r="B4757" t="str">
            <v>1254</v>
          </cell>
          <cell r="C4757" t="str">
            <v>12</v>
          </cell>
          <cell r="D4757" t="str">
            <v>54</v>
          </cell>
          <cell r="E4757">
            <v>16</v>
          </cell>
          <cell r="G4757">
            <v>1261811200</v>
          </cell>
          <cell r="H4757">
            <v>0</v>
          </cell>
          <cell r="I4757">
            <v>1261811200</v>
          </cell>
          <cell r="J4757">
            <v>0</v>
          </cell>
          <cell r="K4757">
            <v>0</v>
          </cell>
          <cell r="L4757">
            <v>1261811200</v>
          </cell>
          <cell r="M4757">
            <v>1261811200</v>
          </cell>
          <cell r="N4757">
            <v>0</v>
          </cell>
          <cell r="O4757">
            <v>0</v>
          </cell>
          <cell r="P4757">
            <v>0</v>
          </cell>
          <cell r="Q4757">
            <v>0</v>
          </cell>
          <cell r="R4757">
            <v>0</v>
          </cell>
          <cell r="S4757">
            <v>0</v>
          </cell>
          <cell r="T4757">
            <v>0</v>
          </cell>
          <cell r="U4757">
            <v>0</v>
          </cell>
          <cell r="V4757">
            <v>0</v>
          </cell>
          <cell r="W4757">
            <v>0</v>
          </cell>
        </row>
        <row r="4758">
          <cell r="A4758" t="str">
            <v>450340</v>
          </cell>
          <cell r="B4758" t="str">
            <v>1254</v>
          </cell>
          <cell r="C4758" t="str">
            <v>12</v>
          </cell>
          <cell r="D4758" t="str">
            <v>54</v>
          </cell>
          <cell r="E4758">
            <v>17</v>
          </cell>
          <cell r="G4758">
            <v>31830400</v>
          </cell>
          <cell r="H4758">
            <v>0</v>
          </cell>
          <cell r="I4758">
            <v>31830400</v>
          </cell>
          <cell r="J4758">
            <v>0</v>
          </cell>
          <cell r="K4758">
            <v>0</v>
          </cell>
          <cell r="L4758">
            <v>31830400</v>
          </cell>
          <cell r="M4758">
            <v>31830400</v>
          </cell>
          <cell r="N4758">
            <v>0</v>
          </cell>
          <cell r="O4758">
            <v>0</v>
          </cell>
          <cell r="P4758">
            <v>0</v>
          </cell>
          <cell r="Q4758">
            <v>0</v>
          </cell>
          <cell r="R4758">
            <v>0</v>
          </cell>
          <cell r="S4758">
            <v>0</v>
          </cell>
          <cell r="T4758">
            <v>0</v>
          </cell>
          <cell r="U4758">
            <v>0</v>
          </cell>
          <cell r="V4758">
            <v>0</v>
          </cell>
          <cell r="W4758">
            <v>0</v>
          </cell>
        </row>
        <row r="4759">
          <cell r="A4759" t="str">
            <v>450340</v>
          </cell>
          <cell r="B4759" t="str">
            <v>1254</v>
          </cell>
          <cell r="C4759" t="str">
            <v>12</v>
          </cell>
          <cell r="D4759" t="str">
            <v>54</v>
          </cell>
          <cell r="E4759">
            <v>18</v>
          </cell>
          <cell r="G4759">
            <v>0</v>
          </cell>
          <cell r="H4759">
            <v>0</v>
          </cell>
          <cell r="I4759">
            <v>0</v>
          </cell>
          <cell r="J4759">
            <v>0</v>
          </cell>
          <cell r="K4759">
            <v>0</v>
          </cell>
          <cell r="L4759">
            <v>0</v>
          </cell>
          <cell r="M4759">
            <v>0</v>
          </cell>
          <cell r="N4759">
            <v>0</v>
          </cell>
          <cell r="O4759">
            <v>0</v>
          </cell>
          <cell r="P4759">
            <v>0</v>
          </cell>
          <cell r="Q4759">
            <v>0</v>
          </cell>
          <cell r="R4759">
            <v>0</v>
          </cell>
          <cell r="S4759">
            <v>0</v>
          </cell>
          <cell r="T4759">
            <v>0</v>
          </cell>
          <cell r="U4759">
            <v>0</v>
          </cell>
          <cell r="V4759">
            <v>0</v>
          </cell>
          <cell r="W4759">
            <v>0</v>
          </cell>
        </row>
        <row r="4760">
          <cell r="A4760" t="str">
            <v>450340</v>
          </cell>
          <cell r="B4760" t="str">
            <v>1254</v>
          </cell>
          <cell r="C4760" t="str">
            <v>12</v>
          </cell>
          <cell r="D4760" t="str">
            <v>54</v>
          </cell>
          <cell r="E4760">
            <v>19</v>
          </cell>
          <cell r="G4760">
            <v>134586000</v>
          </cell>
          <cell r="H4760">
            <v>0</v>
          </cell>
          <cell r="I4760">
            <v>134586000</v>
          </cell>
          <cell r="J4760">
            <v>0</v>
          </cell>
          <cell r="K4760">
            <v>0</v>
          </cell>
          <cell r="L4760">
            <v>134586000</v>
          </cell>
          <cell r="M4760">
            <v>134586000</v>
          </cell>
          <cell r="N4760">
            <v>0</v>
          </cell>
          <cell r="O4760">
            <v>0</v>
          </cell>
          <cell r="P4760">
            <v>0</v>
          </cell>
          <cell r="Q4760">
            <v>0</v>
          </cell>
          <cell r="R4760">
            <v>0</v>
          </cell>
          <cell r="S4760">
            <v>0</v>
          </cell>
          <cell r="T4760">
            <v>0</v>
          </cell>
          <cell r="U4760">
            <v>0</v>
          </cell>
          <cell r="V4760">
            <v>0</v>
          </cell>
          <cell r="W4760">
            <v>0</v>
          </cell>
        </row>
        <row r="4761">
          <cell r="A4761" t="str">
            <v>450340</v>
          </cell>
          <cell r="B4761" t="str">
            <v>1254</v>
          </cell>
          <cell r="C4761" t="str">
            <v>12</v>
          </cell>
          <cell r="D4761" t="str">
            <v>54</v>
          </cell>
          <cell r="E4761">
            <v>20</v>
          </cell>
          <cell r="G4761">
            <v>29759940</v>
          </cell>
          <cell r="H4761">
            <v>0</v>
          </cell>
          <cell r="I4761">
            <v>29759940</v>
          </cell>
          <cell r="J4761">
            <v>0</v>
          </cell>
          <cell r="K4761">
            <v>0</v>
          </cell>
          <cell r="L4761">
            <v>29759940</v>
          </cell>
          <cell r="M4761">
            <v>29759940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0</v>
          </cell>
          <cell r="S4761">
            <v>0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</row>
        <row r="4762">
          <cell r="A4762" t="str">
            <v>450340</v>
          </cell>
          <cell r="B4762" t="str">
            <v>1254</v>
          </cell>
          <cell r="C4762" t="str">
            <v>12</v>
          </cell>
          <cell r="D4762" t="str">
            <v>54</v>
          </cell>
          <cell r="E4762">
            <v>21</v>
          </cell>
          <cell r="G4762">
            <v>39495000</v>
          </cell>
          <cell r="H4762">
            <v>0</v>
          </cell>
          <cell r="I4762">
            <v>39495000</v>
          </cell>
          <cell r="J4762">
            <v>0</v>
          </cell>
          <cell r="K4762">
            <v>0</v>
          </cell>
          <cell r="L4762">
            <v>39495000</v>
          </cell>
          <cell r="M4762">
            <v>39495000</v>
          </cell>
          <cell r="N4762">
            <v>0</v>
          </cell>
          <cell r="O4762">
            <v>0</v>
          </cell>
          <cell r="P4762">
            <v>0</v>
          </cell>
          <cell r="Q4762">
            <v>0</v>
          </cell>
          <cell r="R4762">
            <v>0</v>
          </cell>
          <cell r="S4762">
            <v>0</v>
          </cell>
          <cell r="T4762">
            <v>0</v>
          </cell>
          <cell r="U4762">
            <v>0</v>
          </cell>
          <cell r="V4762">
            <v>0</v>
          </cell>
          <cell r="W4762">
            <v>0</v>
          </cell>
        </row>
        <row r="4763">
          <cell r="A4763" t="str">
            <v>450340</v>
          </cell>
          <cell r="B4763" t="str">
            <v>1254</v>
          </cell>
          <cell r="C4763" t="str">
            <v>12</v>
          </cell>
          <cell r="D4763" t="str">
            <v>54</v>
          </cell>
          <cell r="E4763">
            <v>22</v>
          </cell>
          <cell r="G4763">
            <v>59495000</v>
          </cell>
          <cell r="H4763">
            <v>0</v>
          </cell>
          <cell r="I4763">
            <v>59495000</v>
          </cell>
          <cell r="J4763">
            <v>0</v>
          </cell>
          <cell r="K4763">
            <v>0</v>
          </cell>
          <cell r="L4763">
            <v>59495000</v>
          </cell>
          <cell r="M4763">
            <v>59495000</v>
          </cell>
          <cell r="N4763">
            <v>0</v>
          </cell>
          <cell r="O4763">
            <v>0</v>
          </cell>
          <cell r="P4763">
            <v>0</v>
          </cell>
          <cell r="Q4763">
            <v>0</v>
          </cell>
          <cell r="R4763">
            <v>0</v>
          </cell>
          <cell r="S4763">
            <v>0</v>
          </cell>
          <cell r="T4763">
            <v>0</v>
          </cell>
          <cell r="U4763">
            <v>0</v>
          </cell>
          <cell r="V4763">
            <v>0</v>
          </cell>
          <cell r="W4763">
            <v>0</v>
          </cell>
        </row>
        <row r="4764">
          <cell r="A4764" t="str">
            <v>450340</v>
          </cell>
          <cell r="B4764" t="str">
            <v>1254</v>
          </cell>
          <cell r="C4764" t="str">
            <v>12</v>
          </cell>
          <cell r="D4764" t="str">
            <v>54</v>
          </cell>
          <cell r="E4764">
            <v>23</v>
          </cell>
          <cell r="G4764">
            <v>20516936</v>
          </cell>
          <cell r="H4764">
            <v>0</v>
          </cell>
          <cell r="I4764">
            <v>0</v>
          </cell>
          <cell r="J4764">
            <v>0</v>
          </cell>
          <cell r="K4764">
            <v>20516936</v>
          </cell>
          <cell r="L4764">
            <v>20516936</v>
          </cell>
          <cell r="M4764">
            <v>0</v>
          </cell>
          <cell r="N4764">
            <v>20516936</v>
          </cell>
          <cell r="O4764">
            <v>0</v>
          </cell>
          <cell r="P4764">
            <v>0</v>
          </cell>
          <cell r="Q4764">
            <v>0</v>
          </cell>
          <cell r="R4764">
            <v>0</v>
          </cell>
          <cell r="S4764">
            <v>0</v>
          </cell>
          <cell r="T4764">
            <v>0</v>
          </cell>
          <cell r="U4764">
            <v>0</v>
          </cell>
          <cell r="V4764">
            <v>0</v>
          </cell>
          <cell r="W4764">
            <v>0</v>
          </cell>
        </row>
        <row r="4765">
          <cell r="A4765" t="str">
            <v>450340</v>
          </cell>
          <cell r="B4765" t="str">
            <v>1254</v>
          </cell>
          <cell r="C4765" t="str">
            <v>12</v>
          </cell>
          <cell r="D4765" t="str">
            <v>54</v>
          </cell>
          <cell r="E4765">
            <v>24</v>
          </cell>
          <cell r="G4765">
            <v>0</v>
          </cell>
          <cell r="H4765">
            <v>0</v>
          </cell>
          <cell r="I4765">
            <v>0</v>
          </cell>
          <cell r="J4765">
            <v>0</v>
          </cell>
          <cell r="K4765">
            <v>0</v>
          </cell>
          <cell r="L4765">
            <v>0</v>
          </cell>
          <cell r="M4765">
            <v>0</v>
          </cell>
          <cell r="N4765">
            <v>0</v>
          </cell>
          <cell r="O4765">
            <v>0</v>
          </cell>
          <cell r="P4765">
            <v>0</v>
          </cell>
          <cell r="Q4765">
            <v>0</v>
          </cell>
          <cell r="R4765">
            <v>0</v>
          </cell>
          <cell r="S4765">
            <v>0</v>
          </cell>
          <cell r="T4765">
            <v>0</v>
          </cell>
          <cell r="U4765">
            <v>0</v>
          </cell>
          <cell r="V4765">
            <v>0</v>
          </cell>
          <cell r="W4765">
            <v>0</v>
          </cell>
        </row>
        <row r="4766">
          <cell r="A4766" t="str">
            <v>450340</v>
          </cell>
          <cell r="B4766" t="str">
            <v>1254</v>
          </cell>
          <cell r="C4766" t="str">
            <v>12</v>
          </cell>
          <cell r="D4766" t="str">
            <v>54</v>
          </cell>
          <cell r="E4766">
            <v>25</v>
          </cell>
          <cell r="G4766">
            <v>2085542403</v>
          </cell>
          <cell r="H4766">
            <v>0</v>
          </cell>
          <cell r="I4766">
            <v>1754145004</v>
          </cell>
          <cell r="J4766">
            <v>0</v>
          </cell>
          <cell r="K4766">
            <v>331397399</v>
          </cell>
          <cell r="L4766">
            <v>2085542403</v>
          </cell>
          <cell r="M4766">
            <v>1754145004</v>
          </cell>
          <cell r="N4766">
            <v>331397399</v>
          </cell>
          <cell r="O4766">
            <v>0</v>
          </cell>
          <cell r="P4766">
            <v>0</v>
          </cell>
          <cell r="Q4766">
            <v>0</v>
          </cell>
          <cell r="R4766">
            <v>0</v>
          </cell>
          <cell r="S4766">
            <v>0</v>
          </cell>
          <cell r="T4766">
            <v>0</v>
          </cell>
          <cell r="U4766">
            <v>0</v>
          </cell>
          <cell r="V4766">
            <v>0</v>
          </cell>
          <cell r="W4766">
            <v>0</v>
          </cell>
        </row>
        <row r="4767">
          <cell r="A4767" t="str">
            <v>450340</v>
          </cell>
          <cell r="B4767" t="str">
            <v>1254</v>
          </cell>
          <cell r="C4767" t="str">
            <v>12</v>
          </cell>
          <cell r="D4767" t="str">
            <v>54</v>
          </cell>
          <cell r="E4767">
            <v>26</v>
          </cell>
          <cell r="G4767">
            <v>5335200</v>
          </cell>
          <cell r="H4767">
            <v>0</v>
          </cell>
          <cell r="I4767">
            <v>5335200</v>
          </cell>
          <cell r="J4767">
            <v>0</v>
          </cell>
          <cell r="K4767">
            <v>0</v>
          </cell>
          <cell r="L4767">
            <v>5335200</v>
          </cell>
          <cell r="M4767">
            <v>5335200</v>
          </cell>
          <cell r="N4767">
            <v>0</v>
          </cell>
          <cell r="O4767">
            <v>0</v>
          </cell>
          <cell r="P4767">
            <v>0</v>
          </cell>
          <cell r="Q4767">
            <v>0</v>
          </cell>
          <cell r="R4767">
            <v>0</v>
          </cell>
          <cell r="S4767">
            <v>0</v>
          </cell>
          <cell r="T4767">
            <v>0</v>
          </cell>
          <cell r="U4767">
            <v>0</v>
          </cell>
          <cell r="V4767">
            <v>0</v>
          </cell>
          <cell r="W4767">
            <v>0</v>
          </cell>
        </row>
        <row r="4768">
          <cell r="A4768" t="str">
            <v>450340</v>
          </cell>
          <cell r="B4768" t="str">
            <v>1254</v>
          </cell>
          <cell r="C4768" t="str">
            <v>12</v>
          </cell>
          <cell r="D4768" t="str">
            <v>54</v>
          </cell>
          <cell r="E4768">
            <v>27</v>
          </cell>
          <cell r="G4768">
            <v>0</v>
          </cell>
          <cell r="H4768">
            <v>0</v>
          </cell>
          <cell r="I4768">
            <v>0</v>
          </cell>
          <cell r="J4768">
            <v>0</v>
          </cell>
          <cell r="K4768">
            <v>0</v>
          </cell>
          <cell r="L4768">
            <v>0</v>
          </cell>
          <cell r="M4768">
            <v>0</v>
          </cell>
          <cell r="N4768">
            <v>0</v>
          </cell>
          <cell r="O4768">
            <v>0</v>
          </cell>
          <cell r="P4768">
            <v>0</v>
          </cell>
          <cell r="Q4768">
            <v>0</v>
          </cell>
          <cell r="R4768">
            <v>0</v>
          </cell>
          <cell r="S4768">
            <v>0</v>
          </cell>
          <cell r="T4768">
            <v>0</v>
          </cell>
          <cell r="U4768">
            <v>0</v>
          </cell>
          <cell r="V4768">
            <v>0</v>
          </cell>
          <cell r="W4768">
            <v>0</v>
          </cell>
        </row>
        <row r="4769">
          <cell r="A4769" t="str">
            <v>450340</v>
          </cell>
          <cell r="B4769" t="str">
            <v>1254</v>
          </cell>
          <cell r="C4769" t="str">
            <v>12</v>
          </cell>
          <cell r="D4769" t="str">
            <v>54</v>
          </cell>
          <cell r="E4769">
            <v>28</v>
          </cell>
          <cell r="G4769">
            <v>0</v>
          </cell>
          <cell r="H4769">
            <v>0</v>
          </cell>
          <cell r="I4769">
            <v>0</v>
          </cell>
          <cell r="J4769">
            <v>0</v>
          </cell>
          <cell r="K4769">
            <v>0</v>
          </cell>
          <cell r="L4769">
            <v>0</v>
          </cell>
          <cell r="M4769">
            <v>0</v>
          </cell>
          <cell r="N4769">
            <v>0</v>
          </cell>
          <cell r="O4769">
            <v>0</v>
          </cell>
          <cell r="P4769">
            <v>0</v>
          </cell>
          <cell r="Q4769">
            <v>0</v>
          </cell>
          <cell r="R4769">
            <v>0</v>
          </cell>
          <cell r="S4769">
            <v>0</v>
          </cell>
          <cell r="T4769">
            <v>0</v>
          </cell>
          <cell r="U4769">
            <v>0</v>
          </cell>
          <cell r="V4769">
            <v>0</v>
          </cell>
          <cell r="W4769">
            <v>0</v>
          </cell>
        </row>
        <row r="4770">
          <cell r="A4770" t="str">
            <v>450340</v>
          </cell>
          <cell r="B4770" t="str">
            <v>1254</v>
          </cell>
          <cell r="C4770" t="str">
            <v>12</v>
          </cell>
          <cell r="D4770" t="str">
            <v>54</v>
          </cell>
          <cell r="E4770">
            <v>29</v>
          </cell>
          <cell r="G4770">
            <v>5335200</v>
          </cell>
          <cell r="H4770">
            <v>0</v>
          </cell>
          <cell r="I4770">
            <v>5335200</v>
          </cell>
          <cell r="J4770">
            <v>0</v>
          </cell>
          <cell r="K4770">
            <v>0</v>
          </cell>
          <cell r="L4770">
            <v>5335200</v>
          </cell>
          <cell r="M4770">
            <v>5335200</v>
          </cell>
          <cell r="N4770">
            <v>0</v>
          </cell>
          <cell r="O4770">
            <v>0</v>
          </cell>
          <cell r="P4770">
            <v>0</v>
          </cell>
          <cell r="Q4770">
            <v>0</v>
          </cell>
          <cell r="R4770">
            <v>0</v>
          </cell>
          <cell r="S4770">
            <v>0</v>
          </cell>
          <cell r="T4770">
            <v>0</v>
          </cell>
          <cell r="U4770">
            <v>0</v>
          </cell>
          <cell r="V4770">
            <v>0</v>
          </cell>
          <cell r="W4770">
            <v>0</v>
          </cell>
        </row>
        <row r="4771">
          <cell r="A4771" t="str">
            <v>450340</v>
          </cell>
          <cell r="B4771" t="str">
            <v>1254</v>
          </cell>
          <cell r="C4771" t="str">
            <v>12</v>
          </cell>
          <cell r="D4771" t="str">
            <v>54</v>
          </cell>
          <cell r="E4771">
            <v>30</v>
          </cell>
          <cell r="G4771">
            <v>68049604</v>
          </cell>
          <cell r="H4771">
            <v>0</v>
          </cell>
          <cell r="I4771">
            <v>68049604</v>
          </cell>
          <cell r="J4771">
            <v>0</v>
          </cell>
          <cell r="K4771">
            <v>0</v>
          </cell>
          <cell r="L4771">
            <v>68049604</v>
          </cell>
          <cell r="M4771">
            <v>68049604</v>
          </cell>
          <cell r="N4771">
            <v>0</v>
          </cell>
          <cell r="O4771">
            <v>0</v>
          </cell>
          <cell r="P4771">
            <v>0</v>
          </cell>
          <cell r="Q4771">
            <v>0</v>
          </cell>
          <cell r="R4771">
            <v>0</v>
          </cell>
          <cell r="S4771">
            <v>0</v>
          </cell>
          <cell r="T4771">
            <v>0</v>
          </cell>
          <cell r="U4771">
            <v>0</v>
          </cell>
          <cell r="V4771">
            <v>0</v>
          </cell>
          <cell r="W4771">
            <v>0</v>
          </cell>
        </row>
        <row r="4772">
          <cell r="A4772" t="str">
            <v>450340</v>
          </cell>
          <cell r="B4772" t="str">
            <v>1254</v>
          </cell>
          <cell r="C4772" t="str">
            <v>12</v>
          </cell>
          <cell r="D4772" t="str">
            <v>54</v>
          </cell>
          <cell r="E4772">
            <v>31</v>
          </cell>
          <cell r="G4772">
            <v>26268733</v>
          </cell>
          <cell r="H4772">
            <v>0</v>
          </cell>
          <cell r="I4772">
            <v>26268733</v>
          </cell>
          <cell r="J4772">
            <v>0</v>
          </cell>
          <cell r="K4772">
            <v>0</v>
          </cell>
          <cell r="L4772">
            <v>26268733</v>
          </cell>
          <cell r="M4772">
            <v>26268733</v>
          </cell>
          <cell r="N4772">
            <v>0</v>
          </cell>
          <cell r="O4772">
            <v>0</v>
          </cell>
          <cell r="P4772">
            <v>0</v>
          </cell>
          <cell r="Q4772">
            <v>0</v>
          </cell>
          <cell r="R4772">
            <v>0</v>
          </cell>
          <cell r="S4772">
            <v>0</v>
          </cell>
          <cell r="T4772">
            <v>0</v>
          </cell>
          <cell r="U4772">
            <v>0</v>
          </cell>
          <cell r="V4772">
            <v>0</v>
          </cell>
          <cell r="W4772">
            <v>0</v>
          </cell>
        </row>
        <row r="4773">
          <cell r="A4773" t="str">
            <v>450340</v>
          </cell>
          <cell r="B4773" t="str">
            <v>1254</v>
          </cell>
          <cell r="C4773" t="str">
            <v>12</v>
          </cell>
          <cell r="D4773" t="str">
            <v>54</v>
          </cell>
          <cell r="E4773">
            <v>32</v>
          </cell>
          <cell r="G4773">
            <v>789600</v>
          </cell>
          <cell r="H4773">
            <v>0</v>
          </cell>
          <cell r="I4773">
            <v>789600</v>
          </cell>
          <cell r="J4773">
            <v>0</v>
          </cell>
          <cell r="K4773">
            <v>0</v>
          </cell>
          <cell r="L4773">
            <v>789600</v>
          </cell>
          <cell r="M4773">
            <v>789600</v>
          </cell>
          <cell r="N4773">
            <v>0</v>
          </cell>
          <cell r="O4773">
            <v>0</v>
          </cell>
          <cell r="P4773">
            <v>0</v>
          </cell>
          <cell r="Q4773">
            <v>0</v>
          </cell>
          <cell r="R4773">
            <v>0</v>
          </cell>
          <cell r="S4773">
            <v>0</v>
          </cell>
          <cell r="T4773">
            <v>0</v>
          </cell>
          <cell r="U4773">
            <v>0</v>
          </cell>
          <cell r="V4773">
            <v>0</v>
          </cell>
          <cell r="W4773">
            <v>0</v>
          </cell>
        </row>
        <row r="4774">
          <cell r="A4774" t="str">
            <v>450340</v>
          </cell>
          <cell r="B4774" t="str">
            <v>1254</v>
          </cell>
          <cell r="C4774" t="str">
            <v>12</v>
          </cell>
          <cell r="D4774" t="str">
            <v>54</v>
          </cell>
          <cell r="E4774">
            <v>33</v>
          </cell>
          <cell r="G4774">
            <v>95107937</v>
          </cell>
          <cell r="H4774">
            <v>0</v>
          </cell>
          <cell r="I4774">
            <v>95107937</v>
          </cell>
          <cell r="J4774">
            <v>0</v>
          </cell>
          <cell r="K4774">
            <v>0</v>
          </cell>
          <cell r="L4774">
            <v>95107937</v>
          </cell>
          <cell r="M4774">
            <v>95107937</v>
          </cell>
          <cell r="N4774">
            <v>0</v>
          </cell>
          <cell r="O4774">
            <v>0</v>
          </cell>
          <cell r="P4774">
            <v>0</v>
          </cell>
          <cell r="Q4774">
            <v>0</v>
          </cell>
          <cell r="R4774">
            <v>0</v>
          </cell>
          <cell r="S4774">
            <v>0</v>
          </cell>
          <cell r="T4774">
            <v>0</v>
          </cell>
          <cell r="U4774">
            <v>0</v>
          </cell>
          <cell r="V4774">
            <v>0</v>
          </cell>
          <cell r="W4774">
            <v>0</v>
          </cell>
        </row>
        <row r="4775">
          <cell r="A4775" t="str">
            <v>450340</v>
          </cell>
          <cell r="B4775" t="str">
            <v>1254</v>
          </cell>
          <cell r="C4775" t="str">
            <v>12</v>
          </cell>
          <cell r="D4775" t="str">
            <v>54</v>
          </cell>
          <cell r="E4775">
            <v>34</v>
          </cell>
          <cell r="G4775">
            <v>246436527</v>
          </cell>
          <cell r="H4775">
            <v>0</v>
          </cell>
          <cell r="I4775">
            <v>0</v>
          </cell>
          <cell r="J4775">
            <v>0</v>
          </cell>
          <cell r="K4775">
            <v>246436527</v>
          </cell>
          <cell r="L4775">
            <v>246436527</v>
          </cell>
          <cell r="M4775">
            <v>0</v>
          </cell>
          <cell r="N4775">
            <v>246436527</v>
          </cell>
          <cell r="O4775">
            <v>0</v>
          </cell>
          <cell r="P4775">
            <v>0</v>
          </cell>
          <cell r="Q4775">
            <v>0</v>
          </cell>
          <cell r="R4775">
            <v>0</v>
          </cell>
          <cell r="S4775">
            <v>0</v>
          </cell>
          <cell r="T4775">
            <v>0</v>
          </cell>
          <cell r="U4775">
            <v>0</v>
          </cell>
          <cell r="V4775">
            <v>0</v>
          </cell>
          <cell r="W4775">
            <v>0</v>
          </cell>
        </row>
        <row r="4776">
          <cell r="A4776" t="str">
            <v>450340</v>
          </cell>
          <cell r="B4776" t="str">
            <v>1254</v>
          </cell>
          <cell r="C4776" t="str">
            <v>12</v>
          </cell>
          <cell r="D4776" t="str">
            <v>54</v>
          </cell>
          <cell r="E4776">
            <v>35</v>
          </cell>
          <cell r="G4776">
            <v>1035000</v>
          </cell>
          <cell r="H4776">
            <v>0</v>
          </cell>
          <cell r="I4776">
            <v>0</v>
          </cell>
          <cell r="J4776">
            <v>0</v>
          </cell>
          <cell r="K4776">
            <v>1035000</v>
          </cell>
          <cell r="L4776">
            <v>1035000</v>
          </cell>
          <cell r="M4776">
            <v>0</v>
          </cell>
          <cell r="N4776">
            <v>1035000</v>
          </cell>
          <cell r="O4776">
            <v>0</v>
          </cell>
          <cell r="P4776">
            <v>0</v>
          </cell>
          <cell r="Q4776">
            <v>0</v>
          </cell>
          <cell r="R4776">
            <v>0</v>
          </cell>
          <cell r="S4776">
            <v>0</v>
          </cell>
          <cell r="T4776">
            <v>0</v>
          </cell>
          <cell r="U4776">
            <v>0</v>
          </cell>
          <cell r="V4776">
            <v>0</v>
          </cell>
          <cell r="W4776">
            <v>0</v>
          </cell>
        </row>
        <row r="4777">
          <cell r="A4777" t="str">
            <v>450340</v>
          </cell>
          <cell r="B4777" t="str">
            <v>1254</v>
          </cell>
          <cell r="C4777" t="str">
            <v>12</v>
          </cell>
          <cell r="D4777" t="str">
            <v>54</v>
          </cell>
          <cell r="E4777">
            <v>36</v>
          </cell>
          <cell r="G4777">
            <v>0</v>
          </cell>
          <cell r="H4777">
            <v>0</v>
          </cell>
          <cell r="I4777">
            <v>0</v>
          </cell>
          <cell r="J4777">
            <v>0</v>
          </cell>
          <cell r="K4777">
            <v>0</v>
          </cell>
          <cell r="L4777">
            <v>0</v>
          </cell>
          <cell r="M4777">
            <v>0</v>
          </cell>
          <cell r="N4777">
            <v>0</v>
          </cell>
          <cell r="O4777">
            <v>0</v>
          </cell>
          <cell r="P4777">
            <v>0</v>
          </cell>
          <cell r="Q4777">
            <v>0</v>
          </cell>
          <cell r="R4777">
            <v>0</v>
          </cell>
          <cell r="S4777">
            <v>0</v>
          </cell>
          <cell r="T4777">
            <v>0</v>
          </cell>
          <cell r="U4777">
            <v>0</v>
          </cell>
          <cell r="V4777">
            <v>0</v>
          </cell>
          <cell r="W4777">
            <v>0</v>
          </cell>
        </row>
        <row r="4778">
          <cell r="A4778" t="str">
            <v>450340</v>
          </cell>
          <cell r="B4778" t="str">
            <v>1254</v>
          </cell>
          <cell r="C4778" t="str">
            <v>12</v>
          </cell>
          <cell r="D4778" t="str">
            <v>54</v>
          </cell>
          <cell r="E4778">
            <v>37</v>
          </cell>
          <cell r="G4778">
            <v>2433457067</v>
          </cell>
          <cell r="H4778">
            <v>0</v>
          </cell>
          <cell r="I4778">
            <v>1854588141</v>
          </cell>
          <cell r="J4778">
            <v>0</v>
          </cell>
          <cell r="K4778">
            <v>578868926</v>
          </cell>
          <cell r="L4778">
            <v>2433457067</v>
          </cell>
          <cell r="M4778">
            <v>1854588141</v>
          </cell>
          <cell r="N4778">
            <v>578868926</v>
          </cell>
          <cell r="O4778">
            <v>0</v>
          </cell>
          <cell r="P4778">
            <v>0</v>
          </cell>
          <cell r="Q4778">
            <v>0</v>
          </cell>
          <cell r="R4778">
            <v>0</v>
          </cell>
          <cell r="S4778">
            <v>0</v>
          </cell>
          <cell r="T4778">
            <v>0</v>
          </cell>
          <cell r="U4778">
            <v>0</v>
          </cell>
          <cell r="V4778">
            <v>0</v>
          </cell>
          <cell r="W4778">
            <v>0</v>
          </cell>
        </row>
        <row r="4779">
          <cell r="A4779" t="str">
            <v>450340</v>
          </cell>
          <cell r="B4779" t="str">
            <v>1254</v>
          </cell>
          <cell r="C4779" t="str">
            <v>12</v>
          </cell>
          <cell r="D4779" t="str">
            <v>54</v>
          </cell>
          <cell r="E4779">
            <v>38</v>
          </cell>
          <cell r="G4779">
            <v>0</v>
          </cell>
          <cell r="H4779">
            <v>0</v>
          </cell>
          <cell r="I4779">
            <v>0</v>
          </cell>
          <cell r="J4779">
            <v>0</v>
          </cell>
          <cell r="K4779">
            <v>0</v>
          </cell>
          <cell r="L4779">
            <v>0</v>
          </cell>
          <cell r="M4779">
            <v>0</v>
          </cell>
          <cell r="N4779">
            <v>0</v>
          </cell>
          <cell r="O4779">
            <v>0</v>
          </cell>
          <cell r="P4779">
            <v>0</v>
          </cell>
          <cell r="Q4779">
            <v>0</v>
          </cell>
          <cell r="R4779">
            <v>0</v>
          </cell>
          <cell r="S4779">
            <v>0</v>
          </cell>
          <cell r="T4779">
            <v>0</v>
          </cell>
          <cell r="U4779">
            <v>0</v>
          </cell>
          <cell r="V4779">
            <v>0</v>
          </cell>
          <cell r="W4779">
            <v>0</v>
          </cell>
        </row>
        <row r="4780">
          <cell r="A4780" t="str">
            <v>450340</v>
          </cell>
          <cell r="B4780" t="str">
            <v>1254</v>
          </cell>
          <cell r="C4780" t="str">
            <v>12</v>
          </cell>
          <cell r="D4780" t="str">
            <v>25</v>
          </cell>
          <cell r="E4780">
            <v>1</v>
          </cell>
          <cell r="G4780">
            <v>0</v>
          </cell>
          <cell r="H4780">
            <v>0</v>
          </cell>
          <cell r="I4780">
            <v>0</v>
          </cell>
          <cell r="J4780">
            <v>339000</v>
          </cell>
          <cell r="K4780">
            <v>386500</v>
          </cell>
          <cell r="L4780">
            <v>392031</v>
          </cell>
          <cell r="M4780">
            <v>85000</v>
          </cell>
          <cell r="N4780">
            <v>85000</v>
          </cell>
          <cell r="O4780">
            <v>78233</v>
          </cell>
          <cell r="P4780">
            <v>3500</v>
          </cell>
          <cell r="Q4780">
            <v>3408</v>
          </cell>
          <cell r="R4780">
            <v>2773</v>
          </cell>
          <cell r="S4780">
            <v>0</v>
          </cell>
          <cell r="T4780">
            <v>0</v>
          </cell>
          <cell r="U4780">
            <v>0</v>
          </cell>
          <cell r="V4780">
            <v>0</v>
          </cell>
          <cell r="W4780">
            <v>0</v>
          </cell>
        </row>
        <row r="4781">
          <cell r="A4781" t="str">
            <v>450340</v>
          </cell>
          <cell r="B4781" t="str">
            <v>1254</v>
          </cell>
          <cell r="C4781" t="str">
            <v>12</v>
          </cell>
          <cell r="D4781" t="str">
            <v>25</v>
          </cell>
          <cell r="E4781">
            <v>6</v>
          </cell>
          <cell r="G4781">
            <v>0</v>
          </cell>
          <cell r="H4781">
            <v>0</v>
          </cell>
          <cell r="I4781">
            <v>20</v>
          </cell>
          <cell r="J4781">
            <v>7425</v>
          </cell>
          <cell r="K4781">
            <v>3555</v>
          </cell>
          <cell r="L4781">
            <v>11312</v>
          </cell>
          <cell r="M4781">
            <v>0</v>
          </cell>
          <cell r="N4781">
            <v>0</v>
          </cell>
          <cell r="O4781">
            <v>0</v>
          </cell>
          <cell r="P4781">
            <v>434925</v>
          </cell>
          <cell r="Q4781">
            <v>478463</v>
          </cell>
          <cell r="R4781">
            <v>484369</v>
          </cell>
          <cell r="S4781">
            <v>0</v>
          </cell>
          <cell r="T4781">
            <v>0</v>
          </cell>
          <cell r="U4781">
            <v>30261</v>
          </cell>
          <cell r="V4781">
            <v>0</v>
          </cell>
          <cell r="W4781">
            <v>0</v>
          </cell>
        </row>
        <row r="4782">
          <cell r="A4782" t="str">
            <v>450340</v>
          </cell>
          <cell r="B4782" t="str">
            <v>1254</v>
          </cell>
          <cell r="C4782" t="str">
            <v>12</v>
          </cell>
          <cell r="D4782" t="str">
            <v>25</v>
          </cell>
          <cell r="E4782">
            <v>11</v>
          </cell>
          <cell r="G4782">
            <v>54876</v>
          </cell>
          <cell r="H4782">
            <v>114776</v>
          </cell>
          <cell r="I4782">
            <v>115060</v>
          </cell>
          <cell r="J4782">
            <v>0</v>
          </cell>
          <cell r="K4782">
            <v>0</v>
          </cell>
          <cell r="L4782">
            <v>0</v>
          </cell>
          <cell r="M4782">
            <v>53880</v>
          </cell>
          <cell r="N4782">
            <v>113780</v>
          </cell>
          <cell r="O4782">
            <v>114074</v>
          </cell>
          <cell r="P4782">
            <v>0</v>
          </cell>
          <cell r="Q4782">
            <v>0</v>
          </cell>
          <cell r="R4782">
            <v>0</v>
          </cell>
          <cell r="S4782">
            <v>0</v>
          </cell>
          <cell r="T4782">
            <v>0</v>
          </cell>
          <cell r="U4782">
            <v>0</v>
          </cell>
          <cell r="V4782">
            <v>0</v>
          </cell>
          <cell r="W4782">
            <v>0</v>
          </cell>
        </row>
        <row r="4783">
          <cell r="A4783" t="str">
            <v>450340</v>
          </cell>
          <cell r="B4783" t="str">
            <v>1254</v>
          </cell>
          <cell r="C4783" t="str">
            <v>12</v>
          </cell>
          <cell r="D4783" t="str">
            <v>25</v>
          </cell>
          <cell r="E4783">
            <v>16</v>
          </cell>
          <cell r="G4783">
            <v>0</v>
          </cell>
          <cell r="H4783">
            <v>0</v>
          </cell>
          <cell r="I4783">
            <v>0</v>
          </cell>
          <cell r="J4783">
            <v>996</v>
          </cell>
          <cell r="K4783">
            <v>996</v>
          </cell>
          <cell r="L4783">
            <v>986</v>
          </cell>
          <cell r="M4783">
            <v>0</v>
          </cell>
          <cell r="N4783">
            <v>0</v>
          </cell>
          <cell r="O4783">
            <v>0</v>
          </cell>
          <cell r="P4783">
            <v>0</v>
          </cell>
          <cell r="Q4783">
            <v>0</v>
          </cell>
          <cell r="R4783">
            <v>0</v>
          </cell>
          <cell r="S4783">
            <v>0</v>
          </cell>
          <cell r="T4783">
            <v>0</v>
          </cell>
          <cell r="U4783">
            <v>0</v>
          </cell>
          <cell r="V4783">
            <v>0</v>
          </cell>
          <cell r="W4783">
            <v>0</v>
          </cell>
        </row>
        <row r="4784">
          <cell r="A4784" t="str">
            <v>450340</v>
          </cell>
          <cell r="B4784" t="str">
            <v>1254</v>
          </cell>
          <cell r="C4784" t="str">
            <v>12</v>
          </cell>
          <cell r="D4784" t="str">
            <v>25</v>
          </cell>
          <cell r="E4784">
            <v>21</v>
          </cell>
          <cell r="G4784">
            <v>24232</v>
          </cell>
          <cell r="H4784">
            <v>24232</v>
          </cell>
          <cell r="I4784">
            <v>11592</v>
          </cell>
          <cell r="J4784">
            <v>0</v>
          </cell>
          <cell r="K4784">
            <v>0</v>
          </cell>
          <cell r="L4784">
            <v>0</v>
          </cell>
          <cell r="M4784">
            <v>79108</v>
          </cell>
          <cell r="N4784">
            <v>139008</v>
          </cell>
          <cell r="O4784">
            <v>126652</v>
          </cell>
          <cell r="P4784">
            <v>249072</v>
          </cell>
          <cell r="Q4784">
            <v>237618</v>
          </cell>
          <cell r="R4784">
            <v>280663</v>
          </cell>
          <cell r="S4784">
            <v>0</v>
          </cell>
          <cell r="T4784">
            <v>0</v>
          </cell>
          <cell r="U4784">
            <v>234332</v>
          </cell>
          <cell r="V4784">
            <v>0</v>
          </cell>
          <cell r="W4784">
            <v>0</v>
          </cell>
        </row>
        <row r="4785">
          <cell r="A4785" t="str">
            <v>450340</v>
          </cell>
          <cell r="B4785" t="str">
            <v>1254</v>
          </cell>
          <cell r="C4785" t="str">
            <v>12</v>
          </cell>
          <cell r="D4785" t="str">
            <v>25</v>
          </cell>
          <cell r="E4785">
            <v>26</v>
          </cell>
          <cell r="G4785">
            <v>0</v>
          </cell>
          <cell r="H4785">
            <v>0</v>
          </cell>
          <cell r="I4785">
            <v>0</v>
          </cell>
          <cell r="J4785">
            <v>0</v>
          </cell>
          <cell r="K4785">
            <v>0</v>
          </cell>
          <cell r="L4785">
            <v>0</v>
          </cell>
          <cell r="M4785">
            <v>0</v>
          </cell>
          <cell r="N4785">
            <v>0</v>
          </cell>
          <cell r="O4785">
            <v>0</v>
          </cell>
          <cell r="P4785">
            <v>0</v>
          </cell>
          <cell r="Q4785">
            <v>0</v>
          </cell>
          <cell r="R4785">
            <v>0</v>
          </cell>
          <cell r="S4785">
            <v>0</v>
          </cell>
          <cell r="T4785">
            <v>0</v>
          </cell>
          <cell r="U4785">
            <v>0</v>
          </cell>
          <cell r="V4785">
            <v>0</v>
          </cell>
          <cell r="W4785">
            <v>0</v>
          </cell>
        </row>
        <row r="4786">
          <cell r="A4786" t="str">
            <v>450340</v>
          </cell>
          <cell r="B4786" t="str">
            <v>1254</v>
          </cell>
          <cell r="C4786" t="str">
            <v>12</v>
          </cell>
          <cell r="D4786" t="str">
            <v>25</v>
          </cell>
          <cell r="E4786">
            <v>31</v>
          </cell>
          <cell r="G4786">
            <v>0</v>
          </cell>
          <cell r="H4786">
            <v>0</v>
          </cell>
          <cell r="I4786">
            <v>0</v>
          </cell>
          <cell r="J4786">
            <v>0</v>
          </cell>
          <cell r="K4786">
            <v>0</v>
          </cell>
          <cell r="L4786">
            <v>0</v>
          </cell>
          <cell r="M4786">
            <v>0</v>
          </cell>
          <cell r="N4786">
            <v>0</v>
          </cell>
          <cell r="O4786">
            <v>0</v>
          </cell>
          <cell r="P4786">
            <v>0</v>
          </cell>
          <cell r="Q4786">
            <v>0</v>
          </cell>
          <cell r="R4786">
            <v>234332</v>
          </cell>
          <cell r="S4786">
            <v>0</v>
          </cell>
          <cell r="T4786">
            <v>0</v>
          </cell>
          <cell r="U4786">
            <v>0</v>
          </cell>
          <cell r="V4786">
            <v>0</v>
          </cell>
          <cell r="W4786">
            <v>0</v>
          </cell>
        </row>
        <row r="4787">
          <cell r="A4787" t="str">
            <v>450340</v>
          </cell>
          <cell r="B4787" t="str">
            <v>1254</v>
          </cell>
          <cell r="C4787" t="str">
            <v>12</v>
          </cell>
          <cell r="D4787" t="str">
            <v>25</v>
          </cell>
          <cell r="E4787">
            <v>36</v>
          </cell>
          <cell r="G4787">
            <v>0</v>
          </cell>
          <cell r="H4787">
            <v>0</v>
          </cell>
          <cell r="I4787">
            <v>0</v>
          </cell>
          <cell r="J4787">
            <v>0</v>
          </cell>
          <cell r="K4787">
            <v>0</v>
          </cell>
          <cell r="L4787">
            <v>234332</v>
          </cell>
          <cell r="M4787">
            <v>0</v>
          </cell>
          <cell r="N4787">
            <v>0</v>
          </cell>
          <cell r="O4787">
            <v>83</v>
          </cell>
          <cell r="P4787">
            <v>0</v>
          </cell>
          <cell r="Q4787">
            <v>0</v>
          </cell>
          <cell r="R4787">
            <v>0</v>
          </cell>
          <cell r="S4787">
            <v>0</v>
          </cell>
          <cell r="T4787">
            <v>0</v>
          </cell>
          <cell r="U4787">
            <v>0</v>
          </cell>
          <cell r="V4787">
            <v>0</v>
          </cell>
          <cell r="W4787">
            <v>0</v>
          </cell>
        </row>
        <row r="4788">
          <cell r="A4788" t="str">
            <v>450340</v>
          </cell>
          <cell r="B4788" t="str">
            <v>1254</v>
          </cell>
          <cell r="C4788" t="str">
            <v>12</v>
          </cell>
          <cell r="D4788" t="str">
            <v>35</v>
          </cell>
          <cell r="E4788">
            <v>1</v>
          </cell>
          <cell r="G4788">
            <v>350459</v>
          </cell>
          <cell r="H4788">
            <v>52780</v>
          </cell>
          <cell r="I4788">
            <v>0</v>
          </cell>
          <cell r="J4788">
            <v>0</v>
          </cell>
          <cell r="K4788">
            <v>403239</v>
          </cell>
          <cell r="L4788">
            <v>28717</v>
          </cell>
          <cell r="M4788">
            <v>79</v>
          </cell>
          <cell r="N4788">
            <v>0</v>
          </cell>
          <cell r="O4788">
            <v>0</v>
          </cell>
          <cell r="P4788">
            <v>28796</v>
          </cell>
          <cell r="Q4788">
            <v>0</v>
          </cell>
          <cell r="R4788">
            <v>0</v>
          </cell>
          <cell r="S4788">
            <v>0</v>
          </cell>
          <cell r="T4788">
            <v>0</v>
          </cell>
          <cell r="U4788">
            <v>0</v>
          </cell>
          <cell r="V4788">
            <v>0</v>
          </cell>
          <cell r="W4788">
            <v>0</v>
          </cell>
        </row>
        <row r="4789">
          <cell r="A4789" t="str">
            <v>450340</v>
          </cell>
          <cell r="B4789" t="str">
            <v>1254</v>
          </cell>
          <cell r="C4789" t="str">
            <v>12</v>
          </cell>
          <cell r="D4789" t="str">
            <v>35</v>
          </cell>
          <cell r="E4789">
            <v>4</v>
          </cell>
          <cell r="G4789">
            <v>16513</v>
          </cell>
          <cell r="H4789">
            <v>1149</v>
          </cell>
          <cell r="I4789">
            <v>0</v>
          </cell>
          <cell r="J4789">
            <v>0</v>
          </cell>
          <cell r="K4789">
            <v>17662</v>
          </cell>
          <cell r="L4789">
            <v>26095</v>
          </cell>
          <cell r="M4789">
            <v>24</v>
          </cell>
          <cell r="N4789">
            <v>0</v>
          </cell>
          <cell r="O4789">
            <v>0</v>
          </cell>
          <cell r="P4789">
            <v>26119</v>
          </cell>
          <cell r="Q4789">
            <v>1743</v>
          </cell>
          <cell r="R4789">
            <v>0</v>
          </cell>
          <cell r="S4789">
            <v>0</v>
          </cell>
          <cell r="T4789">
            <v>0</v>
          </cell>
          <cell r="U4789">
            <v>1743</v>
          </cell>
          <cell r="V4789">
            <v>0</v>
          </cell>
          <cell r="W4789">
            <v>0</v>
          </cell>
        </row>
        <row r="4790">
          <cell r="A4790" t="str">
            <v>450340</v>
          </cell>
          <cell r="B4790" t="str">
            <v>1254</v>
          </cell>
          <cell r="C4790" t="str">
            <v>12</v>
          </cell>
          <cell r="D4790" t="str">
            <v>35</v>
          </cell>
          <cell r="E4790">
            <v>7</v>
          </cell>
          <cell r="G4790">
            <v>0</v>
          </cell>
          <cell r="H4790">
            <v>0</v>
          </cell>
          <cell r="I4790">
            <v>0</v>
          </cell>
          <cell r="J4790">
            <v>0</v>
          </cell>
          <cell r="K4790">
            <v>0</v>
          </cell>
          <cell r="L4790">
            <v>73068</v>
          </cell>
          <cell r="M4790">
            <v>1252</v>
          </cell>
          <cell r="N4790">
            <v>0</v>
          </cell>
          <cell r="O4790">
            <v>0</v>
          </cell>
          <cell r="P4790">
            <v>74320</v>
          </cell>
          <cell r="Q4790">
            <v>0</v>
          </cell>
          <cell r="R4790">
            <v>0</v>
          </cell>
          <cell r="S4790">
            <v>37595</v>
          </cell>
          <cell r="T4790">
            <v>0</v>
          </cell>
          <cell r="U4790">
            <v>37595</v>
          </cell>
          <cell r="V4790">
            <v>0</v>
          </cell>
          <cell r="W4790">
            <v>0</v>
          </cell>
        </row>
        <row r="4791">
          <cell r="A4791" t="str">
            <v>450340</v>
          </cell>
          <cell r="B4791" t="str">
            <v>1254</v>
          </cell>
          <cell r="C4791" t="str">
            <v>12</v>
          </cell>
          <cell r="D4791" t="str">
            <v>35</v>
          </cell>
          <cell r="E4791">
            <v>10</v>
          </cell>
          <cell r="G4791">
            <v>423527</v>
          </cell>
          <cell r="H4791">
            <v>54032</v>
          </cell>
          <cell r="I4791">
            <v>37595</v>
          </cell>
          <cell r="J4791">
            <v>0</v>
          </cell>
          <cell r="K4791">
            <v>515154</v>
          </cell>
          <cell r="L4791">
            <v>161</v>
          </cell>
          <cell r="M4791">
            <v>112</v>
          </cell>
          <cell r="N4791">
            <v>17</v>
          </cell>
          <cell r="O4791">
            <v>0</v>
          </cell>
          <cell r="P4791">
            <v>290</v>
          </cell>
          <cell r="Q4791">
            <v>161</v>
          </cell>
          <cell r="R4791">
            <v>112</v>
          </cell>
          <cell r="S4791">
            <v>0</v>
          </cell>
          <cell r="T4791">
            <v>0</v>
          </cell>
          <cell r="U4791">
            <v>273</v>
          </cell>
          <cell r="V4791">
            <v>0</v>
          </cell>
          <cell r="W4791">
            <v>0</v>
          </cell>
        </row>
        <row r="4792">
          <cell r="A4792" t="str">
            <v>450340</v>
          </cell>
          <cell r="B4792" t="str">
            <v>1254</v>
          </cell>
          <cell r="C4792" t="str">
            <v>12</v>
          </cell>
          <cell r="D4792" t="str">
            <v>35</v>
          </cell>
          <cell r="E4792">
            <v>13</v>
          </cell>
          <cell r="G4792">
            <v>158</v>
          </cell>
          <cell r="H4792">
            <v>112</v>
          </cell>
          <cell r="I4792">
            <v>17</v>
          </cell>
          <cell r="J4792">
            <v>0</v>
          </cell>
          <cell r="K4792">
            <v>287</v>
          </cell>
          <cell r="L4792">
            <v>158</v>
          </cell>
          <cell r="M4792">
            <v>112</v>
          </cell>
          <cell r="N4792">
            <v>17</v>
          </cell>
          <cell r="O4792">
            <v>0</v>
          </cell>
          <cell r="P4792">
            <v>287</v>
          </cell>
          <cell r="Q4792">
            <v>158</v>
          </cell>
          <cell r="R4792">
            <v>2</v>
          </cell>
          <cell r="S4792">
            <v>17</v>
          </cell>
          <cell r="T4792">
            <v>0</v>
          </cell>
          <cell r="U4792">
            <v>177</v>
          </cell>
          <cell r="V4792">
            <v>0</v>
          </cell>
          <cell r="W4792">
            <v>0</v>
          </cell>
        </row>
        <row r="4793">
          <cell r="A4793" t="str">
            <v>450340</v>
          </cell>
          <cell r="B4793" t="str">
            <v>1254</v>
          </cell>
          <cell r="C4793" t="str">
            <v>12</v>
          </cell>
          <cell r="D4793" t="str">
            <v>35</v>
          </cell>
          <cell r="E4793">
            <v>16</v>
          </cell>
          <cell r="G4793">
            <v>0</v>
          </cell>
          <cell r="H4793">
            <v>0</v>
          </cell>
          <cell r="I4793">
            <v>0</v>
          </cell>
          <cell r="J4793">
            <v>0</v>
          </cell>
          <cell r="K4793">
            <v>0</v>
          </cell>
          <cell r="L4793">
            <v>0</v>
          </cell>
          <cell r="M4793">
            <v>0</v>
          </cell>
          <cell r="N4793">
            <v>0</v>
          </cell>
          <cell r="O4793">
            <v>0</v>
          </cell>
          <cell r="P4793">
            <v>0</v>
          </cell>
          <cell r="Q4793">
            <v>161</v>
          </cell>
          <cell r="R4793">
            <v>110</v>
          </cell>
          <cell r="S4793">
            <v>17</v>
          </cell>
          <cell r="T4793">
            <v>0</v>
          </cell>
          <cell r="U4793">
            <v>288</v>
          </cell>
          <cell r="V4793">
            <v>0</v>
          </cell>
          <cell r="W4793">
            <v>0</v>
          </cell>
        </row>
        <row r="4794">
          <cell r="A4794" t="str">
            <v>450340</v>
          </cell>
          <cell r="B4794" t="str">
            <v>1254</v>
          </cell>
          <cell r="C4794" t="str">
            <v>12</v>
          </cell>
          <cell r="D4794" t="str">
            <v>35</v>
          </cell>
          <cell r="E4794">
            <v>19</v>
          </cell>
          <cell r="G4794">
            <v>0</v>
          </cell>
          <cell r="H4794">
            <v>0</v>
          </cell>
          <cell r="I4794">
            <v>0</v>
          </cell>
          <cell r="J4794">
            <v>0</v>
          </cell>
          <cell r="K4794">
            <v>0</v>
          </cell>
          <cell r="L4794">
            <v>0</v>
          </cell>
          <cell r="M4794">
            <v>0</v>
          </cell>
          <cell r="N4794">
            <v>0</v>
          </cell>
          <cell r="O4794">
            <v>0</v>
          </cell>
          <cell r="P4794">
            <v>0</v>
          </cell>
          <cell r="Q4794">
            <v>0</v>
          </cell>
          <cell r="R4794">
            <v>0</v>
          </cell>
          <cell r="S4794">
            <v>0</v>
          </cell>
          <cell r="T4794">
            <v>0</v>
          </cell>
          <cell r="U4794">
            <v>0</v>
          </cell>
          <cell r="V4794">
            <v>0</v>
          </cell>
          <cell r="W4794">
            <v>0</v>
          </cell>
        </row>
        <row r="4795">
          <cell r="A4795" t="str">
            <v>450340</v>
          </cell>
          <cell r="B4795" t="str">
            <v>1254</v>
          </cell>
          <cell r="C4795" t="str">
            <v>12</v>
          </cell>
          <cell r="D4795" t="str">
            <v>29</v>
          </cell>
          <cell r="E4795">
            <v>1</v>
          </cell>
          <cell r="G4795">
            <v>253283</v>
          </cell>
          <cell r="H4795">
            <v>155713</v>
          </cell>
          <cell r="I4795">
            <v>60</v>
          </cell>
          <cell r="J4795">
            <v>303</v>
          </cell>
          <cell r="K4795">
            <v>253343</v>
          </cell>
          <cell r="L4795">
            <v>156016</v>
          </cell>
          <cell r="M4795">
            <v>0</v>
          </cell>
          <cell r="N4795">
            <v>0</v>
          </cell>
          <cell r="O4795">
            <v>27018</v>
          </cell>
          <cell r="P4795">
            <v>0</v>
          </cell>
          <cell r="Q4795">
            <v>15475</v>
          </cell>
          <cell r="R4795">
            <v>18253</v>
          </cell>
          <cell r="S4795">
            <v>43</v>
          </cell>
          <cell r="T4795">
            <v>1132</v>
          </cell>
          <cell r="U4795">
            <v>0</v>
          </cell>
          <cell r="V4795">
            <v>0</v>
          </cell>
          <cell r="W4795">
            <v>0</v>
          </cell>
        </row>
        <row r="4796">
          <cell r="A4796" t="str">
            <v>450340</v>
          </cell>
          <cell r="B4796" t="str">
            <v>1254</v>
          </cell>
          <cell r="C4796" t="str">
            <v>12</v>
          </cell>
          <cell r="D4796" t="str">
            <v>29</v>
          </cell>
          <cell r="E4796">
            <v>9</v>
          </cell>
          <cell r="G4796">
            <v>168760</v>
          </cell>
          <cell r="H4796">
            <v>163431</v>
          </cell>
          <cell r="I4796">
            <v>-180346</v>
          </cell>
          <cell r="J4796">
            <v>-146310</v>
          </cell>
          <cell r="K4796">
            <v>0</v>
          </cell>
          <cell r="L4796">
            <v>0</v>
          </cell>
          <cell r="M4796">
            <v>0</v>
          </cell>
          <cell r="N4796">
            <v>0</v>
          </cell>
          <cell r="O4796">
            <v>72997</v>
          </cell>
          <cell r="P4796">
            <v>9706</v>
          </cell>
          <cell r="Q4796">
            <v>0</v>
          </cell>
          <cell r="R4796">
            <v>3</v>
          </cell>
          <cell r="S4796">
            <v>-19766</v>
          </cell>
          <cell r="T4796">
            <v>-8015</v>
          </cell>
          <cell r="U4796">
            <v>-126079</v>
          </cell>
          <cell r="V4796">
            <v>-88794</v>
          </cell>
          <cell r="W4796">
            <v>0</v>
          </cell>
        </row>
        <row r="4797">
          <cell r="A4797" t="str">
            <v>450340</v>
          </cell>
          <cell r="B4797" t="str">
            <v>1254</v>
          </cell>
          <cell r="C4797" t="str">
            <v>12</v>
          </cell>
          <cell r="D4797" t="str">
            <v>29</v>
          </cell>
          <cell r="E4797">
            <v>17</v>
          </cell>
          <cell r="G4797">
            <v>0</v>
          </cell>
          <cell r="H4797">
            <v>43</v>
          </cell>
          <cell r="I4797">
            <v>0</v>
          </cell>
          <cell r="J4797">
            <v>0</v>
          </cell>
          <cell r="K4797">
            <v>-72848</v>
          </cell>
          <cell r="L4797">
            <v>-87057</v>
          </cell>
          <cell r="M4797">
            <v>0</v>
          </cell>
          <cell r="N4797">
            <v>0</v>
          </cell>
          <cell r="O4797">
            <v>0</v>
          </cell>
          <cell r="P4797">
            <v>0</v>
          </cell>
          <cell r="Q4797">
            <v>-72848</v>
          </cell>
          <cell r="R4797">
            <v>-87057</v>
          </cell>
          <cell r="S4797">
            <v>0</v>
          </cell>
          <cell r="T4797">
            <v>0</v>
          </cell>
          <cell r="U4797">
            <v>0</v>
          </cell>
          <cell r="V4797">
            <v>0</v>
          </cell>
          <cell r="W4797">
            <v>0</v>
          </cell>
        </row>
        <row r="4798">
          <cell r="A4798" t="str">
            <v>450340</v>
          </cell>
          <cell r="B4798" t="str">
            <v>1254</v>
          </cell>
          <cell r="C4798" t="str">
            <v>12</v>
          </cell>
          <cell r="D4798" t="str">
            <v>29</v>
          </cell>
          <cell r="E4798">
            <v>25</v>
          </cell>
          <cell r="G4798">
            <v>0</v>
          </cell>
          <cell r="H4798">
            <v>0</v>
          </cell>
          <cell r="I4798">
            <v>-72848</v>
          </cell>
          <cell r="J4798">
            <v>-87057</v>
          </cell>
          <cell r="K4798">
            <v>0</v>
          </cell>
          <cell r="L4798">
            <v>0</v>
          </cell>
          <cell r="M4798">
            <v>0</v>
          </cell>
          <cell r="N4798">
            <v>0</v>
          </cell>
          <cell r="O4798">
            <v>0</v>
          </cell>
          <cell r="P4798">
            <v>0</v>
          </cell>
          <cell r="Q4798">
            <v>0</v>
          </cell>
          <cell r="R4798">
            <v>0</v>
          </cell>
          <cell r="S4798">
            <v>0</v>
          </cell>
          <cell r="T4798">
            <v>0</v>
          </cell>
          <cell r="U4798">
            <v>0</v>
          </cell>
          <cell r="V4798">
            <v>0</v>
          </cell>
          <cell r="W4798">
            <v>0</v>
          </cell>
        </row>
        <row r="4799">
          <cell r="A4799" t="str">
            <v>450340</v>
          </cell>
          <cell r="B4799" t="str">
            <v>1254</v>
          </cell>
          <cell r="C4799" t="str">
            <v>12</v>
          </cell>
          <cell r="D4799" t="str">
            <v>75</v>
          </cell>
          <cell r="E4799">
            <v>1</v>
          </cell>
          <cell r="G4799">
            <v>1102079</v>
          </cell>
          <cell r="H4799">
            <v>23914</v>
          </cell>
          <cell r="I4799">
            <v>0</v>
          </cell>
          <cell r="J4799">
            <v>0</v>
          </cell>
          <cell r="K4799">
            <v>0</v>
          </cell>
          <cell r="L4799">
            <v>1281974</v>
          </cell>
          <cell r="M4799">
            <v>0</v>
          </cell>
          <cell r="N4799">
            <v>0</v>
          </cell>
          <cell r="O4799">
            <v>0</v>
          </cell>
          <cell r="P4799">
            <v>23914</v>
          </cell>
          <cell r="Q4799">
            <v>360576</v>
          </cell>
          <cell r="R4799">
            <v>384490</v>
          </cell>
          <cell r="S4799">
            <v>0</v>
          </cell>
          <cell r="T4799">
            <v>921398</v>
          </cell>
          <cell r="U4799">
            <v>203809</v>
          </cell>
          <cell r="V4799">
            <v>0</v>
          </cell>
          <cell r="W4799">
            <v>0</v>
          </cell>
        </row>
        <row r="4800">
          <cell r="A4800" t="str">
            <v>450340</v>
          </cell>
          <cell r="B4800" t="str">
            <v>1254</v>
          </cell>
          <cell r="C4800" t="str">
            <v>12</v>
          </cell>
          <cell r="D4800" t="str">
            <v>75</v>
          </cell>
          <cell r="E4800">
            <v>2</v>
          </cell>
          <cell r="G4800">
            <v>46106</v>
          </cell>
          <cell r="H4800">
            <v>95</v>
          </cell>
          <cell r="I4800">
            <v>0</v>
          </cell>
          <cell r="J4800">
            <v>0</v>
          </cell>
          <cell r="K4800">
            <v>0</v>
          </cell>
          <cell r="L4800">
            <v>76302</v>
          </cell>
          <cell r="M4800">
            <v>0</v>
          </cell>
          <cell r="N4800">
            <v>0</v>
          </cell>
          <cell r="O4800">
            <v>0</v>
          </cell>
          <cell r="P4800">
            <v>95</v>
          </cell>
          <cell r="Q4800">
            <v>12548</v>
          </cell>
          <cell r="R4800">
            <v>12643</v>
          </cell>
          <cell r="S4800">
            <v>0</v>
          </cell>
          <cell r="T4800">
            <v>63754</v>
          </cell>
          <cell r="U4800">
            <v>30291</v>
          </cell>
          <cell r="V4800">
            <v>0</v>
          </cell>
          <cell r="W4800">
            <v>0</v>
          </cell>
        </row>
        <row r="4801">
          <cell r="A4801" t="str">
            <v>450340</v>
          </cell>
          <cell r="B4801" t="str">
            <v>1254</v>
          </cell>
          <cell r="C4801" t="str">
            <v>12</v>
          </cell>
          <cell r="D4801" t="str">
            <v>75</v>
          </cell>
          <cell r="E4801">
            <v>3</v>
          </cell>
          <cell r="G4801">
            <v>0</v>
          </cell>
          <cell r="H4801">
            <v>0</v>
          </cell>
          <cell r="I4801">
            <v>0</v>
          </cell>
          <cell r="J4801">
            <v>0</v>
          </cell>
          <cell r="K4801">
            <v>0</v>
          </cell>
          <cell r="L4801">
            <v>0</v>
          </cell>
          <cell r="M4801">
            <v>0</v>
          </cell>
          <cell r="N4801">
            <v>0</v>
          </cell>
          <cell r="O4801">
            <v>0</v>
          </cell>
          <cell r="P4801">
            <v>0</v>
          </cell>
          <cell r="Q4801">
            <v>0</v>
          </cell>
          <cell r="R4801">
            <v>0</v>
          </cell>
          <cell r="S4801">
            <v>0</v>
          </cell>
          <cell r="T4801">
            <v>0</v>
          </cell>
          <cell r="U4801">
            <v>0</v>
          </cell>
          <cell r="V4801">
            <v>0</v>
          </cell>
          <cell r="W4801">
            <v>0</v>
          </cell>
        </row>
        <row r="4802">
          <cell r="A4802" t="str">
            <v>450340</v>
          </cell>
          <cell r="B4802" t="str">
            <v>1254</v>
          </cell>
          <cell r="C4802" t="str">
            <v>12</v>
          </cell>
          <cell r="D4802" t="str">
            <v>75</v>
          </cell>
          <cell r="E4802">
            <v>4</v>
          </cell>
          <cell r="G4802">
            <v>0</v>
          </cell>
          <cell r="H4802">
            <v>0</v>
          </cell>
          <cell r="I4802">
            <v>0</v>
          </cell>
          <cell r="J4802">
            <v>0</v>
          </cell>
          <cell r="K4802">
            <v>0</v>
          </cell>
          <cell r="L4802">
            <v>0</v>
          </cell>
          <cell r="M4802">
            <v>0</v>
          </cell>
          <cell r="N4802">
            <v>0</v>
          </cell>
          <cell r="O4802">
            <v>0</v>
          </cell>
          <cell r="P4802">
            <v>0</v>
          </cell>
          <cell r="Q4802">
            <v>0</v>
          </cell>
          <cell r="R4802">
            <v>0</v>
          </cell>
          <cell r="S4802">
            <v>0</v>
          </cell>
          <cell r="T4802">
            <v>0</v>
          </cell>
          <cell r="U4802">
            <v>0</v>
          </cell>
          <cell r="V4802">
            <v>0</v>
          </cell>
          <cell r="W4802">
            <v>0</v>
          </cell>
        </row>
        <row r="4803">
          <cell r="A4803" t="str">
            <v>450340</v>
          </cell>
          <cell r="B4803" t="str">
            <v>1254</v>
          </cell>
          <cell r="C4803" t="str">
            <v>12</v>
          </cell>
          <cell r="D4803" t="str">
            <v>75</v>
          </cell>
          <cell r="E4803">
            <v>5</v>
          </cell>
          <cell r="G4803">
            <v>0</v>
          </cell>
          <cell r="H4803">
            <v>0</v>
          </cell>
          <cell r="I4803">
            <v>0</v>
          </cell>
          <cell r="J4803">
            <v>0</v>
          </cell>
          <cell r="K4803">
            <v>0</v>
          </cell>
          <cell r="L4803">
            <v>0</v>
          </cell>
          <cell r="M4803">
            <v>0</v>
          </cell>
          <cell r="N4803">
            <v>0</v>
          </cell>
          <cell r="O4803">
            <v>0</v>
          </cell>
          <cell r="P4803">
            <v>0</v>
          </cell>
          <cell r="Q4803">
            <v>0</v>
          </cell>
          <cell r="R4803">
            <v>0</v>
          </cell>
          <cell r="S4803">
            <v>0</v>
          </cell>
          <cell r="T4803">
            <v>0</v>
          </cell>
          <cell r="U4803">
            <v>0</v>
          </cell>
          <cell r="V4803">
            <v>0</v>
          </cell>
          <cell r="W4803">
            <v>0</v>
          </cell>
        </row>
        <row r="4804">
          <cell r="A4804" t="str">
            <v>450340</v>
          </cell>
          <cell r="B4804" t="str">
            <v>1254</v>
          </cell>
          <cell r="C4804" t="str">
            <v>12</v>
          </cell>
          <cell r="D4804" t="str">
            <v>75</v>
          </cell>
          <cell r="E4804">
            <v>6</v>
          </cell>
          <cell r="G4804">
            <v>0</v>
          </cell>
          <cell r="H4804">
            <v>0</v>
          </cell>
          <cell r="I4804">
            <v>0</v>
          </cell>
          <cell r="J4804">
            <v>0</v>
          </cell>
          <cell r="K4804">
            <v>0</v>
          </cell>
          <cell r="L4804">
            <v>0</v>
          </cell>
          <cell r="M4804">
            <v>0</v>
          </cell>
          <cell r="N4804">
            <v>0</v>
          </cell>
          <cell r="O4804">
            <v>0</v>
          </cell>
          <cell r="P4804">
            <v>0</v>
          </cell>
          <cell r="Q4804">
            <v>0</v>
          </cell>
          <cell r="R4804">
            <v>0</v>
          </cell>
          <cell r="S4804">
            <v>0</v>
          </cell>
          <cell r="T4804">
            <v>0</v>
          </cell>
          <cell r="U4804">
            <v>0</v>
          </cell>
          <cell r="V4804">
            <v>0</v>
          </cell>
          <cell r="W4804">
            <v>0</v>
          </cell>
        </row>
        <row r="4805">
          <cell r="A4805" t="str">
            <v>450340</v>
          </cell>
          <cell r="B4805" t="str">
            <v>1254</v>
          </cell>
          <cell r="C4805" t="str">
            <v>12</v>
          </cell>
          <cell r="D4805" t="str">
            <v>75</v>
          </cell>
          <cell r="E4805">
            <v>7</v>
          </cell>
          <cell r="G4805">
            <v>221910</v>
          </cell>
          <cell r="H4805">
            <v>6002</v>
          </cell>
          <cell r="I4805">
            <v>0</v>
          </cell>
          <cell r="J4805">
            <v>0</v>
          </cell>
          <cell r="K4805">
            <v>0</v>
          </cell>
          <cell r="L4805">
            <v>268409</v>
          </cell>
          <cell r="M4805">
            <v>0</v>
          </cell>
          <cell r="N4805">
            <v>0</v>
          </cell>
          <cell r="O4805">
            <v>0</v>
          </cell>
          <cell r="P4805">
            <v>6002</v>
          </cell>
          <cell r="Q4805">
            <v>70783</v>
          </cell>
          <cell r="R4805">
            <v>76785</v>
          </cell>
          <cell r="S4805">
            <v>0</v>
          </cell>
          <cell r="T4805">
            <v>197626</v>
          </cell>
          <cell r="U4805">
            <v>52501</v>
          </cell>
          <cell r="V4805">
            <v>0</v>
          </cell>
          <cell r="W4805">
            <v>0</v>
          </cell>
        </row>
        <row r="4806">
          <cell r="A4806" t="str">
            <v>450340</v>
          </cell>
          <cell r="B4806" t="str">
            <v>1254</v>
          </cell>
          <cell r="C4806" t="str">
            <v>12</v>
          </cell>
          <cell r="D4806" t="str">
            <v>75</v>
          </cell>
          <cell r="E4806">
            <v>8</v>
          </cell>
          <cell r="G4806">
            <v>1370095</v>
          </cell>
          <cell r="H4806">
            <v>30011</v>
          </cell>
          <cell r="I4806">
            <v>0</v>
          </cell>
          <cell r="J4806">
            <v>0</v>
          </cell>
          <cell r="K4806">
            <v>0</v>
          </cell>
          <cell r="L4806">
            <v>1626685</v>
          </cell>
          <cell r="M4806">
            <v>0</v>
          </cell>
          <cell r="N4806">
            <v>0</v>
          </cell>
          <cell r="O4806">
            <v>0</v>
          </cell>
          <cell r="P4806">
            <v>30011</v>
          </cell>
          <cell r="Q4806">
            <v>443907</v>
          </cell>
          <cell r="R4806">
            <v>473918</v>
          </cell>
          <cell r="S4806">
            <v>0</v>
          </cell>
          <cell r="T4806">
            <v>1182778</v>
          </cell>
          <cell r="U4806">
            <v>286601</v>
          </cell>
          <cell r="V4806">
            <v>0</v>
          </cell>
          <cell r="W4806">
            <v>0</v>
          </cell>
        </row>
        <row r="4807">
          <cell r="A4807" t="str">
            <v>450340</v>
          </cell>
          <cell r="B4807" t="str">
            <v>1254</v>
          </cell>
          <cell r="C4807" t="str">
            <v>12</v>
          </cell>
          <cell r="D4807" t="str">
            <v>75</v>
          </cell>
          <cell r="E4807">
            <v>9</v>
          </cell>
          <cell r="G4807">
            <v>0</v>
          </cell>
          <cell r="H4807">
            <v>0</v>
          </cell>
          <cell r="I4807">
            <v>0</v>
          </cell>
          <cell r="J4807">
            <v>0</v>
          </cell>
          <cell r="K4807">
            <v>0</v>
          </cell>
          <cell r="L4807">
            <v>9050</v>
          </cell>
          <cell r="M4807">
            <v>0</v>
          </cell>
          <cell r="N4807">
            <v>0</v>
          </cell>
          <cell r="O4807">
            <v>0</v>
          </cell>
          <cell r="P4807">
            <v>0</v>
          </cell>
          <cell r="Q4807">
            <v>9050</v>
          </cell>
          <cell r="R4807">
            <v>9050</v>
          </cell>
          <cell r="S4807">
            <v>0</v>
          </cell>
          <cell r="T4807">
            <v>0</v>
          </cell>
          <cell r="U4807">
            <v>9050</v>
          </cell>
          <cell r="V4807">
            <v>0</v>
          </cell>
          <cell r="W4807">
            <v>0</v>
          </cell>
        </row>
        <row r="4808">
          <cell r="A4808" t="str">
            <v>450340</v>
          </cell>
          <cell r="B4808" t="str">
            <v>1254</v>
          </cell>
          <cell r="C4808" t="str">
            <v>12</v>
          </cell>
          <cell r="D4808" t="str">
            <v>75</v>
          </cell>
          <cell r="E4808">
            <v>10</v>
          </cell>
          <cell r="G4808">
            <v>0</v>
          </cell>
          <cell r="H4808">
            <v>0</v>
          </cell>
          <cell r="I4808">
            <v>0</v>
          </cell>
          <cell r="J4808">
            <v>0</v>
          </cell>
          <cell r="K4808">
            <v>0</v>
          </cell>
          <cell r="L4808">
            <v>0</v>
          </cell>
          <cell r="M4808">
            <v>0</v>
          </cell>
          <cell r="N4808">
            <v>0</v>
          </cell>
          <cell r="O4808">
            <v>0</v>
          </cell>
          <cell r="P4808">
            <v>0</v>
          </cell>
          <cell r="Q4808">
            <v>0</v>
          </cell>
          <cell r="R4808">
            <v>0</v>
          </cell>
          <cell r="S4808">
            <v>0</v>
          </cell>
          <cell r="T4808">
            <v>0</v>
          </cell>
          <cell r="U4808">
            <v>0</v>
          </cell>
          <cell r="V4808">
            <v>0</v>
          </cell>
          <cell r="W4808">
            <v>0</v>
          </cell>
        </row>
        <row r="4809">
          <cell r="A4809" t="str">
            <v>450340</v>
          </cell>
          <cell r="B4809" t="str">
            <v>1254</v>
          </cell>
          <cell r="C4809" t="str">
            <v>12</v>
          </cell>
          <cell r="D4809" t="str">
            <v>75</v>
          </cell>
          <cell r="E4809">
            <v>11</v>
          </cell>
          <cell r="G4809">
            <v>13868</v>
          </cell>
          <cell r="H4809">
            <v>15120</v>
          </cell>
          <cell r="I4809">
            <v>0</v>
          </cell>
          <cell r="J4809">
            <v>0</v>
          </cell>
          <cell r="K4809">
            <v>0</v>
          </cell>
          <cell r="L4809">
            <v>1054</v>
          </cell>
          <cell r="M4809">
            <v>0</v>
          </cell>
          <cell r="N4809">
            <v>0</v>
          </cell>
          <cell r="O4809">
            <v>0</v>
          </cell>
          <cell r="P4809">
            <v>15120</v>
          </cell>
          <cell r="Q4809">
            <v>1054</v>
          </cell>
          <cell r="R4809">
            <v>16174</v>
          </cell>
          <cell r="S4809">
            <v>0</v>
          </cell>
          <cell r="T4809">
            <v>0</v>
          </cell>
          <cell r="U4809">
            <v>2306</v>
          </cell>
          <cell r="V4809">
            <v>0</v>
          </cell>
          <cell r="W4809">
            <v>0</v>
          </cell>
        </row>
        <row r="4810">
          <cell r="A4810" t="str">
            <v>450340</v>
          </cell>
          <cell r="B4810" t="str">
            <v>1254</v>
          </cell>
          <cell r="C4810" t="str">
            <v>12</v>
          </cell>
          <cell r="D4810" t="str">
            <v>75</v>
          </cell>
          <cell r="E4810">
            <v>12</v>
          </cell>
          <cell r="G4810">
            <v>0</v>
          </cell>
          <cell r="H4810">
            <v>0</v>
          </cell>
          <cell r="I4810">
            <v>0</v>
          </cell>
          <cell r="J4810">
            <v>0</v>
          </cell>
          <cell r="K4810">
            <v>0</v>
          </cell>
          <cell r="L4810">
            <v>0</v>
          </cell>
          <cell r="M4810">
            <v>0</v>
          </cell>
          <cell r="N4810">
            <v>0</v>
          </cell>
          <cell r="O4810">
            <v>0</v>
          </cell>
          <cell r="P4810">
            <v>0</v>
          </cell>
          <cell r="Q4810">
            <v>0</v>
          </cell>
          <cell r="R4810">
            <v>0</v>
          </cell>
          <cell r="S4810">
            <v>0</v>
          </cell>
          <cell r="T4810">
            <v>0</v>
          </cell>
          <cell r="U4810">
            <v>0</v>
          </cell>
          <cell r="V4810">
            <v>0</v>
          </cell>
          <cell r="W4810">
            <v>0</v>
          </cell>
        </row>
        <row r="4811">
          <cell r="A4811" t="str">
            <v>450340</v>
          </cell>
          <cell r="B4811" t="str">
            <v>1254</v>
          </cell>
          <cell r="C4811" t="str">
            <v>12</v>
          </cell>
          <cell r="D4811" t="str">
            <v>75</v>
          </cell>
          <cell r="E4811">
            <v>13</v>
          </cell>
          <cell r="G4811">
            <v>13200</v>
          </cell>
          <cell r="H4811">
            <v>0</v>
          </cell>
          <cell r="I4811">
            <v>0</v>
          </cell>
          <cell r="J4811">
            <v>0</v>
          </cell>
          <cell r="K4811">
            <v>0</v>
          </cell>
          <cell r="L4811">
            <v>13000</v>
          </cell>
          <cell r="M4811">
            <v>0</v>
          </cell>
          <cell r="N4811">
            <v>0</v>
          </cell>
          <cell r="O4811">
            <v>0</v>
          </cell>
          <cell r="P4811">
            <v>0</v>
          </cell>
          <cell r="Q4811">
            <v>13000</v>
          </cell>
          <cell r="R4811">
            <v>13000</v>
          </cell>
          <cell r="S4811">
            <v>0</v>
          </cell>
          <cell r="T4811">
            <v>0</v>
          </cell>
          <cell r="U4811">
            <v>-200</v>
          </cell>
          <cell r="V4811">
            <v>0</v>
          </cell>
          <cell r="W4811">
            <v>0</v>
          </cell>
        </row>
        <row r="4812">
          <cell r="A4812" t="str">
            <v>450340</v>
          </cell>
          <cell r="B4812" t="str">
            <v>1254</v>
          </cell>
          <cell r="C4812" t="str">
            <v>12</v>
          </cell>
          <cell r="D4812" t="str">
            <v>75</v>
          </cell>
          <cell r="E4812">
            <v>14</v>
          </cell>
          <cell r="G4812">
            <v>27068</v>
          </cell>
          <cell r="H4812">
            <v>15120</v>
          </cell>
          <cell r="I4812">
            <v>0</v>
          </cell>
          <cell r="J4812">
            <v>0</v>
          </cell>
          <cell r="K4812">
            <v>0</v>
          </cell>
          <cell r="L4812">
            <v>14054</v>
          </cell>
          <cell r="M4812">
            <v>0</v>
          </cell>
          <cell r="N4812">
            <v>0</v>
          </cell>
          <cell r="O4812">
            <v>0</v>
          </cell>
          <cell r="P4812">
            <v>15120</v>
          </cell>
          <cell r="Q4812">
            <v>14054</v>
          </cell>
          <cell r="R4812">
            <v>29174</v>
          </cell>
          <cell r="S4812">
            <v>0</v>
          </cell>
          <cell r="T4812">
            <v>0</v>
          </cell>
          <cell r="U4812">
            <v>2106</v>
          </cell>
          <cell r="V4812">
            <v>0</v>
          </cell>
          <cell r="W4812">
            <v>0</v>
          </cell>
        </row>
        <row r="4813">
          <cell r="A4813" t="str">
            <v>450340</v>
          </cell>
          <cell r="B4813" t="str">
            <v>1254</v>
          </cell>
          <cell r="C4813" t="str">
            <v>12</v>
          </cell>
          <cell r="D4813" t="str">
            <v>75</v>
          </cell>
          <cell r="E4813">
            <v>15</v>
          </cell>
          <cell r="G4813">
            <v>0</v>
          </cell>
          <cell r="H4813">
            <v>0</v>
          </cell>
          <cell r="I4813">
            <v>0</v>
          </cell>
          <cell r="J4813">
            <v>0</v>
          </cell>
          <cell r="K4813">
            <v>0</v>
          </cell>
          <cell r="L4813">
            <v>0</v>
          </cell>
          <cell r="M4813">
            <v>0</v>
          </cell>
          <cell r="N4813">
            <v>0</v>
          </cell>
          <cell r="O4813">
            <v>0</v>
          </cell>
          <cell r="P4813">
            <v>0</v>
          </cell>
          <cell r="Q4813">
            <v>0</v>
          </cell>
          <cell r="R4813">
            <v>0</v>
          </cell>
          <cell r="S4813">
            <v>0</v>
          </cell>
          <cell r="T4813">
            <v>0</v>
          </cell>
          <cell r="U4813">
            <v>0</v>
          </cell>
          <cell r="V4813">
            <v>0</v>
          </cell>
          <cell r="W4813">
            <v>0</v>
          </cell>
        </row>
        <row r="4814">
          <cell r="A4814" t="str">
            <v>450340</v>
          </cell>
          <cell r="B4814" t="str">
            <v>1254</v>
          </cell>
          <cell r="C4814" t="str">
            <v>12</v>
          </cell>
          <cell r="D4814" t="str">
            <v>75</v>
          </cell>
          <cell r="E4814">
            <v>16</v>
          </cell>
          <cell r="G4814">
            <v>129810</v>
          </cell>
          <cell r="H4814">
            <v>2932</v>
          </cell>
          <cell r="I4814">
            <v>0</v>
          </cell>
          <cell r="J4814">
            <v>0</v>
          </cell>
          <cell r="K4814">
            <v>0</v>
          </cell>
          <cell r="L4814">
            <v>112590</v>
          </cell>
          <cell r="M4814">
            <v>0</v>
          </cell>
          <cell r="N4814">
            <v>0</v>
          </cell>
          <cell r="O4814">
            <v>0</v>
          </cell>
          <cell r="P4814">
            <v>2932</v>
          </cell>
          <cell r="Q4814">
            <v>108672</v>
          </cell>
          <cell r="R4814">
            <v>111604</v>
          </cell>
          <cell r="S4814">
            <v>0</v>
          </cell>
          <cell r="T4814">
            <v>3918</v>
          </cell>
          <cell r="U4814">
            <v>-14288</v>
          </cell>
          <cell r="V4814">
            <v>0</v>
          </cell>
          <cell r="W4814">
            <v>0</v>
          </cell>
        </row>
        <row r="4815">
          <cell r="A4815" t="str">
            <v>450340</v>
          </cell>
          <cell r="B4815" t="str">
            <v>1254</v>
          </cell>
          <cell r="C4815" t="str">
            <v>12</v>
          </cell>
          <cell r="D4815" t="str">
            <v>75</v>
          </cell>
          <cell r="E4815">
            <v>17</v>
          </cell>
          <cell r="G4815">
            <v>0</v>
          </cell>
          <cell r="H4815">
            <v>0</v>
          </cell>
          <cell r="I4815">
            <v>0</v>
          </cell>
          <cell r="J4815">
            <v>0</v>
          </cell>
          <cell r="K4815">
            <v>0</v>
          </cell>
          <cell r="L4815">
            <v>0</v>
          </cell>
          <cell r="M4815">
            <v>0</v>
          </cell>
          <cell r="N4815">
            <v>0</v>
          </cell>
          <cell r="O4815">
            <v>0</v>
          </cell>
          <cell r="P4815">
            <v>0</v>
          </cell>
          <cell r="Q4815">
            <v>0</v>
          </cell>
          <cell r="R4815">
            <v>0</v>
          </cell>
          <cell r="S4815">
            <v>0</v>
          </cell>
          <cell r="T4815">
            <v>0</v>
          </cell>
          <cell r="U4815">
            <v>0</v>
          </cell>
          <cell r="V4815">
            <v>0</v>
          </cell>
          <cell r="W4815">
            <v>0</v>
          </cell>
        </row>
        <row r="4816">
          <cell r="A4816" t="str">
            <v>450340</v>
          </cell>
          <cell r="B4816" t="str">
            <v>1254</v>
          </cell>
          <cell r="C4816" t="str">
            <v>12</v>
          </cell>
          <cell r="D4816" t="str">
            <v>75</v>
          </cell>
          <cell r="E4816">
            <v>18</v>
          </cell>
          <cell r="G4816">
            <v>221076</v>
          </cell>
          <cell r="H4816">
            <v>0</v>
          </cell>
          <cell r="I4816">
            <v>0</v>
          </cell>
          <cell r="J4816">
            <v>0</v>
          </cell>
          <cell r="K4816">
            <v>0</v>
          </cell>
          <cell r="L4816">
            <v>206461</v>
          </cell>
          <cell r="M4816">
            <v>0</v>
          </cell>
          <cell r="N4816">
            <v>0</v>
          </cell>
          <cell r="O4816">
            <v>0</v>
          </cell>
          <cell r="P4816">
            <v>0</v>
          </cell>
          <cell r="Q4816">
            <v>206461</v>
          </cell>
          <cell r="R4816">
            <v>206461</v>
          </cell>
          <cell r="S4816">
            <v>0</v>
          </cell>
          <cell r="T4816">
            <v>0</v>
          </cell>
          <cell r="U4816">
            <v>-14615</v>
          </cell>
          <cell r="V4816">
            <v>0</v>
          </cell>
          <cell r="W4816">
            <v>0</v>
          </cell>
        </row>
        <row r="4817">
          <cell r="A4817" t="str">
            <v>450340</v>
          </cell>
          <cell r="B4817" t="str">
            <v>1254</v>
          </cell>
          <cell r="C4817" t="str">
            <v>12</v>
          </cell>
          <cell r="D4817" t="str">
            <v>75</v>
          </cell>
          <cell r="E4817">
            <v>19</v>
          </cell>
          <cell r="G4817">
            <v>350886</v>
          </cell>
          <cell r="H4817">
            <v>2932</v>
          </cell>
          <cell r="I4817">
            <v>0</v>
          </cell>
          <cell r="J4817">
            <v>0</v>
          </cell>
          <cell r="K4817">
            <v>0</v>
          </cell>
          <cell r="L4817">
            <v>319051</v>
          </cell>
          <cell r="M4817">
            <v>0</v>
          </cell>
          <cell r="N4817">
            <v>0</v>
          </cell>
          <cell r="O4817">
            <v>0</v>
          </cell>
          <cell r="P4817">
            <v>2932</v>
          </cell>
          <cell r="Q4817">
            <v>315133</v>
          </cell>
          <cell r="R4817">
            <v>318065</v>
          </cell>
          <cell r="S4817">
            <v>0</v>
          </cell>
          <cell r="T4817">
            <v>3918</v>
          </cell>
          <cell r="U4817">
            <v>-28903</v>
          </cell>
          <cell r="V4817">
            <v>0</v>
          </cell>
          <cell r="W4817">
            <v>0</v>
          </cell>
        </row>
        <row r="4818">
          <cell r="A4818" t="str">
            <v>450340</v>
          </cell>
          <cell r="B4818" t="str">
            <v>1254</v>
          </cell>
          <cell r="C4818" t="str">
            <v>12</v>
          </cell>
          <cell r="D4818" t="str">
            <v>75</v>
          </cell>
          <cell r="E4818">
            <v>20</v>
          </cell>
          <cell r="G4818">
            <v>143346</v>
          </cell>
          <cell r="H4818">
            <v>0</v>
          </cell>
          <cell r="I4818">
            <v>0</v>
          </cell>
          <cell r="J4818">
            <v>0</v>
          </cell>
          <cell r="K4818">
            <v>0</v>
          </cell>
          <cell r="L4818">
            <v>130174</v>
          </cell>
          <cell r="M4818">
            <v>0</v>
          </cell>
          <cell r="N4818">
            <v>0</v>
          </cell>
          <cell r="O4818">
            <v>0</v>
          </cell>
          <cell r="P4818">
            <v>0</v>
          </cell>
          <cell r="Q4818">
            <v>129771</v>
          </cell>
          <cell r="R4818">
            <v>129771</v>
          </cell>
          <cell r="S4818">
            <v>0</v>
          </cell>
          <cell r="T4818">
            <v>403</v>
          </cell>
          <cell r="U4818">
            <v>-13172</v>
          </cell>
          <cell r="V4818">
            <v>0</v>
          </cell>
          <cell r="W4818">
            <v>0</v>
          </cell>
        </row>
        <row r="4819">
          <cell r="A4819" t="str">
            <v>450340</v>
          </cell>
          <cell r="B4819" t="str">
            <v>1254</v>
          </cell>
          <cell r="C4819" t="str">
            <v>12</v>
          </cell>
          <cell r="D4819" t="str">
            <v>75</v>
          </cell>
          <cell r="E4819">
            <v>21</v>
          </cell>
          <cell r="G4819">
            <v>0</v>
          </cell>
          <cell r="H4819">
            <v>0</v>
          </cell>
          <cell r="I4819">
            <v>0</v>
          </cell>
          <cell r="J4819">
            <v>0</v>
          </cell>
          <cell r="K4819">
            <v>0</v>
          </cell>
          <cell r="L4819">
            <v>255</v>
          </cell>
          <cell r="M4819">
            <v>0</v>
          </cell>
          <cell r="N4819">
            <v>0</v>
          </cell>
          <cell r="O4819">
            <v>0</v>
          </cell>
          <cell r="P4819">
            <v>0</v>
          </cell>
          <cell r="Q4819">
            <v>255</v>
          </cell>
          <cell r="R4819">
            <v>255</v>
          </cell>
          <cell r="S4819">
            <v>0</v>
          </cell>
          <cell r="T4819">
            <v>0</v>
          </cell>
          <cell r="U4819">
            <v>255</v>
          </cell>
          <cell r="V4819">
            <v>0</v>
          </cell>
          <cell r="W4819">
            <v>0</v>
          </cell>
        </row>
        <row r="4820">
          <cell r="A4820" t="str">
            <v>450340</v>
          </cell>
          <cell r="B4820" t="str">
            <v>1254</v>
          </cell>
          <cell r="C4820" t="str">
            <v>12</v>
          </cell>
          <cell r="D4820" t="str">
            <v>75</v>
          </cell>
          <cell r="E4820">
            <v>22</v>
          </cell>
          <cell r="G4820">
            <v>521300</v>
          </cell>
          <cell r="H4820">
            <v>18052</v>
          </cell>
          <cell r="I4820">
            <v>0</v>
          </cell>
          <cell r="J4820">
            <v>0</v>
          </cell>
          <cell r="K4820">
            <v>0</v>
          </cell>
          <cell r="L4820">
            <v>472584</v>
          </cell>
          <cell r="M4820">
            <v>0</v>
          </cell>
          <cell r="N4820">
            <v>0</v>
          </cell>
          <cell r="O4820">
            <v>0</v>
          </cell>
          <cell r="P4820">
            <v>18052</v>
          </cell>
          <cell r="Q4820">
            <v>468263</v>
          </cell>
          <cell r="R4820">
            <v>486315</v>
          </cell>
          <cell r="S4820">
            <v>0</v>
          </cell>
          <cell r="T4820">
            <v>4321</v>
          </cell>
          <cell r="U4820">
            <v>-30664</v>
          </cell>
          <cell r="V4820">
            <v>0</v>
          </cell>
          <cell r="W4820">
            <v>0</v>
          </cell>
        </row>
        <row r="4821">
          <cell r="A4821" t="str">
            <v>450340</v>
          </cell>
          <cell r="B4821" t="str">
            <v>1254</v>
          </cell>
          <cell r="C4821" t="str">
            <v>12</v>
          </cell>
          <cell r="D4821" t="str">
            <v>75</v>
          </cell>
          <cell r="E4821">
            <v>23</v>
          </cell>
          <cell r="G4821">
            <v>549644</v>
          </cell>
          <cell r="H4821">
            <v>46</v>
          </cell>
          <cell r="I4821">
            <v>0</v>
          </cell>
          <cell r="J4821">
            <v>0</v>
          </cell>
          <cell r="K4821">
            <v>0</v>
          </cell>
          <cell r="L4821">
            <v>515116</v>
          </cell>
          <cell r="M4821">
            <v>0</v>
          </cell>
          <cell r="N4821">
            <v>0</v>
          </cell>
          <cell r="O4821">
            <v>0</v>
          </cell>
          <cell r="P4821">
            <v>46</v>
          </cell>
          <cell r="Q4821">
            <v>515108</v>
          </cell>
          <cell r="R4821">
            <v>515154</v>
          </cell>
          <cell r="S4821">
            <v>0</v>
          </cell>
          <cell r="T4821">
            <v>8</v>
          </cell>
          <cell r="U4821">
            <v>-34482</v>
          </cell>
          <cell r="V4821">
            <v>0</v>
          </cell>
          <cell r="W4821">
            <v>0</v>
          </cell>
        </row>
        <row r="4822">
          <cell r="A4822" t="str">
            <v>450340</v>
          </cell>
          <cell r="B4822" t="str">
            <v>1254</v>
          </cell>
          <cell r="C4822" t="str">
            <v>12</v>
          </cell>
          <cell r="D4822" t="str">
            <v>75</v>
          </cell>
          <cell r="E4822">
            <v>24</v>
          </cell>
          <cell r="G4822">
            <v>171595</v>
          </cell>
          <cell r="H4822">
            <v>0</v>
          </cell>
          <cell r="I4822">
            <v>0</v>
          </cell>
          <cell r="J4822">
            <v>0</v>
          </cell>
          <cell r="K4822">
            <v>0</v>
          </cell>
          <cell r="L4822">
            <v>165977</v>
          </cell>
          <cell r="M4822">
            <v>0</v>
          </cell>
          <cell r="N4822">
            <v>0</v>
          </cell>
          <cell r="O4822">
            <v>0</v>
          </cell>
          <cell r="P4822">
            <v>0</v>
          </cell>
          <cell r="Q4822">
            <v>165977</v>
          </cell>
          <cell r="R4822">
            <v>165977</v>
          </cell>
          <cell r="S4822">
            <v>0</v>
          </cell>
          <cell r="T4822">
            <v>0</v>
          </cell>
          <cell r="U4822">
            <v>-5618</v>
          </cell>
          <cell r="V4822">
            <v>0</v>
          </cell>
          <cell r="W4822">
            <v>0</v>
          </cell>
        </row>
        <row r="4823">
          <cell r="A4823" t="str">
            <v>450340</v>
          </cell>
          <cell r="B4823" t="str">
            <v>1254</v>
          </cell>
          <cell r="C4823" t="str">
            <v>12</v>
          </cell>
          <cell r="D4823" t="str">
            <v>75</v>
          </cell>
          <cell r="E4823">
            <v>25</v>
          </cell>
          <cell r="G4823">
            <v>528558</v>
          </cell>
          <cell r="H4823">
            <v>13027</v>
          </cell>
          <cell r="I4823">
            <v>0</v>
          </cell>
          <cell r="J4823">
            <v>0</v>
          </cell>
          <cell r="K4823">
            <v>0</v>
          </cell>
          <cell r="L4823">
            <v>450492</v>
          </cell>
          <cell r="M4823">
            <v>0</v>
          </cell>
          <cell r="N4823">
            <v>0</v>
          </cell>
          <cell r="O4823">
            <v>0</v>
          </cell>
          <cell r="P4823">
            <v>13027</v>
          </cell>
          <cell r="Q4823">
            <v>423617</v>
          </cell>
          <cell r="R4823">
            <v>436644</v>
          </cell>
          <cell r="S4823">
            <v>0</v>
          </cell>
          <cell r="T4823">
            <v>26875</v>
          </cell>
          <cell r="U4823">
            <v>-65039</v>
          </cell>
          <cell r="V4823">
            <v>0</v>
          </cell>
          <cell r="W4823">
            <v>0</v>
          </cell>
        </row>
        <row r="4824">
          <cell r="A4824" t="str">
            <v>450340</v>
          </cell>
          <cell r="B4824" t="str">
            <v>1254</v>
          </cell>
          <cell r="C4824" t="str">
            <v>12</v>
          </cell>
          <cell r="D4824" t="str">
            <v>75</v>
          </cell>
          <cell r="E4824">
            <v>26</v>
          </cell>
          <cell r="G4824">
            <v>1249797</v>
          </cell>
          <cell r="H4824">
            <v>13073</v>
          </cell>
          <cell r="I4824">
            <v>0</v>
          </cell>
          <cell r="J4824">
            <v>0</v>
          </cell>
          <cell r="K4824">
            <v>0</v>
          </cell>
          <cell r="L4824">
            <v>1131585</v>
          </cell>
          <cell r="M4824">
            <v>0</v>
          </cell>
          <cell r="N4824">
            <v>0</v>
          </cell>
          <cell r="O4824">
            <v>0</v>
          </cell>
          <cell r="P4824">
            <v>13073</v>
          </cell>
          <cell r="Q4824">
            <v>1104702</v>
          </cell>
          <cell r="R4824">
            <v>1117775</v>
          </cell>
          <cell r="S4824">
            <v>0</v>
          </cell>
          <cell r="T4824">
            <v>26883</v>
          </cell>
          <cell r="U4824">
            <v>-105139</v>
          </cell>
          <cell r="V4824">
            <v>0</v>
          </cell>
          <cell r="W4824">
            <v>0</v>
          </cell>
        </row>
        <row r="4825">
          <cell r="A4825" t="str">
            <v>450340</v>
          </cell>
          <cell r="B4825" t="str">
            <v>1254</v>
          </cell>
          <cell r="C4825" t="str">
            <v>12</v>
          </cell>
          <cell r="D4825" t="str">
            <v>75</v>
          </cell>
          <cell r="E4825">
            <v>27</v>
          </cell>
          <cell r="G4825">
            <v>113780</v>
          </cell>
          <cell r="H4825">
            <v>11861</v>
          </cell>
          <cell r="I4825">
            <v>0</v>
          </cell>
          <cell r="J4825">
            <v>0</v>
          </cell>
          <cell r="K4825">
            <v>0</v>
          </cell>
          <cell r="L4825">
            <v>102213</v>
          </cell>
          <cell r="M4825">
            <v>0</v>
          </cell>
          <cell r="N4825">
            <v>0</v>
          </cell>
          <cell r="O4825">
            <v>0</v>
          </cell>
          <cell r="P4825">
            <v>11861</v>
          </cell>
          <cell r="Q4825">
            <v>102213</v>
          </cell>
          <cell r="R4825">
            <v>114074</v>
          </cell>
          <cell r="S4825">
            <v>0</v>
          </cell>
          <cell r="T4825">
            <v>0</v>
          </cell>
          <cell r="U4825">
            <v>294</v>
          </cell>
          <cell r="V4825">
            <v>0</v>
          </cell>
          <cell r="W4825">
            <v>0</v>
          </cell>
        </row>
        <row r="4826">
          <cell r="A4826" t="str">
            <v>450340</v>
          </cell>
          <cell r="B4826" t="str">
            <v>1254</v>
          </cell>
          <cell r="C4826" t="str">
            <v>12</v>
          </cell>
          <cell r="D4826" t="str">
            <v>75</v>
          </cell>
          <cell r="E4826">
            <v>28</v>
          </cell>
          <cell r="G4826">
            <v>216136</v>
          </cell>
          <cell r="H4826">
            <v>0</v>
          </cell>
          <cell r="I4826">
            <v>0</v>
          </cell>
          <cell r="J4826">
            <v>0</v>
          </cell>
          <cell r="K4826">
            <v>0</v>
          </cell>
          <cell r="L4826">
            <v>65044</v>
          </cell>
          <cell r="M4826">
            <v>0</v>
          </cell>
          <cell r="N4826">
            <v>0</v>
          </cell>
          <cell r="O4826">
            <v>0</v>
          </cell>
          <cell r="P4826">
            <v>0</v>
          </cell>
          <cell r="Q4826">
            <v>65044</v>
          </cell>
          <cell r="R4826">
            <v>65044</v>
          </cell>
          <cell r="S4826">
            <v>0</v>
          </cell>
          <cell r="T4826">
            <v>0</v>
          </cell>
          <cell r="U4826">
            <v>-151092</v>
          </cell>
          <cell r="V4826">
            <v>0</v>
          </cell>
          <cell r="W4826">
            <v>0</v>
          </cell>
        </row>
        <row r="4827">
          <cell r="A4827" t="str">
            <v>450340</v>
          </cell>
          <cell r="B4827" t="str">
            <v>1254</v>
          </cell>
          <cell r="C4827" t="str">
            <v>12</v>
          </cell>
          <cell r="D4827" t="str">
            <v>75</v>
          </cell>
          <cell r="E4827">
            <v>29</v>
          </cell>
          <cell r="G4827">
            <v>329916</v>
          </cell>
          <cell r="H4827">
            <v>11861</v>
          </cell>
          <cell r="I4827">
            <v>0</v>
          </cell>
          <cell r="J4827">
            <v>0</v>
          </cell>
          <cell r="K4827">
            <v>0</v>
          </cell>
          <cell r="L4827">
            <v>167257</v>
          </cell>
          <cell r="M4827">
            <v>0</v>
          </cell>
          <cell r="N4827">
            <v>0</v>
          </cell>
          <cell r="O4827">
            <v>0</v>
          </cell>
          <cell r="P4827">
            <v>11861</v>
          </cell>
          <cell r="Q4827">
            <v>167257</v>
          </cell>
          <cell r="R4827">
            <v>179118</v>
          </cell>
          <cell r="S4827">
            <v>0</v>
          </cell>
          <cell r="T4827">
            <v>0</v>
          </cell>
          <cell r="U4827">
            <v>-150798</v>
          </cell>
          <cell r="V4827">
            <v>0</v>
          </cell>
          <cell r="W4827">
            <v>0</v>
          </cell>
        </row>
        <row r="4828">
          <cell r="A4828" t="str">
            <v>450340</v>
          </cell>
          <cell r="B4828" t="str">
            <v>1254</v>
          </cell>
          <cell r="C4828" t="str">
            <v>12</v>
          </cell>
          <cell r="D4828" t="str">
            <v>75</v>
          </cell>
          <cell r="E4828">
            <v>30</v>
          </cell>
          <cell r="G4828">
            <v>0</v>
          </cell>
          <cell r="H4828">
            <v>0</v>
          </cell>
          <cell r="I4828">
            <v>0</v>
          </cell>
          <cell r="J4828">
            <v>0</v>
          </cell>
          <cell r="K4828">
            <v>0</v>
          </cell>
          <cell r="L4828">
            <v>0</v>
          </cell>
          <cell r="M4828">
            <v>0</v>
          </cell>
          <cell r="N4828">
            <v>0</v>
          </cell>
          <cell r="O4828">
            <v>0</v>
          </cell>
          <cell r="P4828">
            <v>0</v>
          </cell>
          <cell r="Q4828">
            <v>0</v>
          </cell>
          <cell r="R4828">
            <v>0</v>
          </cell>
          <cell r="S4828">
            <v>0</v>
          </cell>
          <cell r="T4828">
            <v>0</v>
          </cell>
          <cell r="U4828">
            <v>0</v>
          </cell>
          <cell r="V4828">
            <v>0</v>
          </cell>
          <cell r="W4828">
            <v>0</v>
          </cell>
        </row>
        <row r="4829">
          <cell r="A4829" t="str">
            <v>450340</v>
          </cell>
          <cell r="B4829" t="str">
            <v>1254</v>
          </cell>
          <cell r="C4829" t="str">
            <v>12</v>
          </cell>
          <cell r="D4829" t="str">
            <v>75</v>
          </cell>
          <cell r="E4829">
            <v>31</v>
          </cell>
          <cell r="G4829">
            <v>0</v>
          </cell>
          <cell r="H4829">
            <v>0</v>
          </cell>
          <cell r="I4829">
            <v>0</v>
          </cell>
          <cell r="J4829">
            <v>0</v>
          </cell>
          <cell r="K4829">
            <v>0</v>
          </cell>
          <cell r="L4829">
            <v>0</v>
          </cell>
          <cell r="M4829">
            <v>0</v>
          </cell>
          <cell r="N4829">
            <v>0</v>
          </cell>
          <cell r="O4829">
            <v>0</v>
          </cell>
          <cell r="P4829">
            <v>0</v>
          </cell>
          <cell r="Q4829">
            <v>0</v>
          </cell>
          <cell r="R4829">
            <v>0</v>
          </cell>
          <cell r="S4829">
            <v>0</v>
          </cell>
          <cell r="T4829">
            <v>0</v>
          </cell>
          <cell r="U4829">
            <v>0</v>
          </cell>
          <cell r="V4829">
            <v>0</v>
          </cell>
          <cell r="W4829">
            <v>0</v>
          </cell>
        </row>
        <row r="4830">
          <cell r="A4830" t="str">
            <v>450340</v>
          </cell>
          <cell r="B4830" t="str">
            <v>1254</v>
          </cell>
          <cell r="C4830" t="str">
            <v>12</v>
          </cell>
          <cell r="D4830" t="str">
            <v>75</v>
          </cell>
          <cell r="E4830">
            <v>32</v>
          </cell>
          <cell r="G4830">
            <v>0</v>
          </cell>
          <cell r="H4830">
            <v>0</v>
          </cell>
          <cell r="I4830">
            <v>0</v>
          </cell>
          <cell r="J4830">
            <v>0</v>
          </cell>
          <cell r="K4830">
            <v>0</v>
          </cell>
          <cell r="L4830">
            <v>0</v>
          </cell>
          <cell r="M4830">
            <v>0</v>
          </cell>
          <cell r="N4830">
            <v>0</v>
          </cell>
          <cell r="O4830">
            <v>0</v>
          </cell>
          <cell r="P4830">
            <v>0</v>
          </cell>
          <cell r="Q4830">
            <v>0</v>
          </cell>
          <cell r="R4830">
            <v>0</v>
          </cell>
          <cell r="S4830">
            <v>0</v>
          </cell>
          <cell r="T4830">
            <v>0</v>
          </cell>
          <cell r="U4830">
            <v>0</v>
          </cell>
          <cell r="V4830">
            <v>0</v>
          </cell>
          <cell r="W4830">
            <v>0</v>
          </cell>
        </row>
        <row r="4831">
          <cell r="A4831" t="str">
            <v>450340</v>
          </cell>
          <cell r="B4831" t="str">
            <v>1254</v>
          </cell>
          <cell r="C4831" t="str">
            <v>12</v>
          </cell>
          <cell r="D4831" t="str">
            <v>75</v>
          </cell>
          <cell r="E4831">
            <v>33</v>
          </cell>
          <cell r="G4831">
            <v>0</v>
          </cell>
          <cell r="H4831">
            <v>0</v>
          </cell>
          <cell r="I4831">
            <v>0</v>
          </cell>
          <cell r="J4831">
            <v>0</v>
          </cell>
          <cell r="K4831">
            <v>0</v>
          </cell>
          <cell r="L4831">
            <v>0</v>
          </cell>
          <cell r="M4831">
            <v>0</v>
          </cell>
          <cell r="N4831">
            <v>0</v>
          </cell>
          <cell r="O4831">
            <v>0</v>
          </cell>
          <cell r="P4831">
            <v>0</v>
          </cell>
          <cell r="Q4831">
            <v>0</v>
          </cell>
          <cell r="R4831">
            <v>0</v>
          </cell>
          <cell r="S4831">
            <v>0</v>
          </cell>
          <cell r="T4831">
            <v>0</v>
          </cell>
          <cell r="U4831">
            <v>0</v>
          </cell>
          <cell r="V4831">
            <v>0</v>
          </cell>
          <cell r="W4831">
            <v>0</v>
          </cell>
        </row>
        <row r="4832">
          <cell r="A4832" t="str">
            <v>450340</v>
          </cell>
          <cell r="B4832" t="str">
            <v>1254</v>
          </cell>
          <cell r="C4832" t="str">
            <v>12</v>
          </cell>
          <cell r="D4832" t="str">
            <v>75</v>
          </cell>
          <cell r="E4832">
            <v>34</v>
          </cell>
          <cell r="G4832">
            <v>3471108</v>
          </cell>
          <cell r="H4832">
            <v>72997</v>
          </cell>
          <cell r="I4832">
            <v>0</v>
          </cell>
          <cell r="J4832">
            <v>0</v>
          </cell>
          <cell r="K4832">
            <v>0</v>
          </cell>
          <cell r="L4832">
            <v>3398111</v>
          </cell>
          <cell r="M4832">
            <v>0</v>
          </cell>
          <cell r="N4832">
            <v>0</v>
          </cell>
          <cell r="O4832">
            <v>0</v>
          </cell>
          <cell r="P4832">
            <v>72997</v>
          </cell>
          <cell r="Q4832">
            <v>2184129</v>
          </cell>
          <cell r="R4832">
            <v>2257126</v>
          </cell>
          <cell r="S4832">
            <v>0</v>
          </cell>
          <cell r="T4832">
            <v>1213982</v>
          </cell>
          <cell r="U4832">
            <v>0</v>
          </cell>
          <cell r="V4832">
            <v>0</v>
          </cell>
          <cell r="W4832">
            <v>0</v>
          </cell>
        </row>
        <row r="4833">
          <cell r="A4833" t="str">
            <v>450340</v>
          </cell>
          <cell r="B4833" t="str">
            <v>1254</v>
          </cell>
          <cell r="C4833" t="str">
            <v>12</v>
          </cell>
          <cell r="D4833" t="str">
            <v>58</v>
          </cell>
          <cell r="E4833">
            <v>1</v>
          </cell>
          <cell r="G4833">
            <v>108354</v>
          </cell>
          <cell r="H4833">
            <v>0</v>
          </cell>
          <cell r="I4833">
            <v>9050</v>
          </cell>
          <cell r="J4833">
            <v>0</v>
          </cell>
          <cell r="K4833">
            <v>117404</v>
          </cell>
          <cell r="L4833">
            <v>0</v>
          </cell>
          <cell r="M4833">
            <v>35936</v>
          </cell>
          <cell r="N4833">
            <v>0</v>
          </cell>
          <cell r="O4833">
            <v>72418</v>
          </cell>
          <cell r="P4833">
            <v>9050</v>
          </cell>
          <cell r="Q4833">
            <v>81468</v>
          </cell>
          <cell r="R4833">
            <v>0</v>
          </cell>
          <cell r="S4833">
            <v>0</v>
          </cell>
          <cell r="T4833">
            <v>0</v>
          </cell>
          <cell r="U4833">
            <v>0</v>
          </cell>
          <cell r="V4833">
            <v>0</v>
          </cell>
          <cell r="W4833">
            <v>0</v>
          </cell>
        </row>
        <row r="4834">
          <cell r="A4834" t="str">
            <v>450340</v>
          </cell>
          <cell r="B4834" t="str">
            <v>1254</v>
          </cell>
          <cell r="C4834" t="str">
            <v>12</v>
          </cell>
          <cell r="D4834" t="str">
            <v>58</v>
          </cell>
          <cell r="E4834">
            <v>2</v>
          </cell>
          <cell r="G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</row>
        <row r="4835">
          <cell r="A4835" t="str">
            <v>450340</v>
          </cell>
          <cell r="B4835" t="str">
            <v>1254</v>
          </cell>
          <cell r="C4835" t="str">
            <v>12</v>
          </cell>
          <cell r="D4835" t="str">
            <v>58</v>
          </cell>
          <cell r="E4835">
            <v>3</v>
          </cell>
          <cell r="G4835">
            <v>41379</v>
          </cell>
          <cell r="H4835">
            <v>0</v>
          </cell>
          <cell r="I4835">
            <v>142552</v>
          </cell>
          <cell r="J4835">
            <v>0</v>
          </cell>
          <cell r="K4835">
            <v>183931</v>
          </cell>
          <cell r="L4835">
            <v>0</v>
          </cell>
          <cell r="M4835">
            <v>32356</v>
          </cell>
          <cell r="N4835">
            <v>131845</v>
          </cell>
          <cell r="O4835">
            <v>9023</v>
          </cell>
          <cell r="P4835">
            <v>10707</v>
          </cell>
          <cell r="Q4835">
            <v>19730</v>
          </cell>
          <cell r="R4835">
            <v>0</v>
          </cell>
          <cell r="S4835">
            <v>0</v>
          </cell>
          <cell r="T4835">
            <v>0</v>
          </cell>
          <cell r="U4835">
            <v>0</v>
          </cell>
          <cell r="V4835">
            <v>0</v>
          </cell>
          <cell r="W4835">
            <v>0</v>
          </cell>
        </row>
        <row r="4836">
          <cell r="A4836" t="str">
            <v>450340</v>
          </cell>
          <cell r="B4836" t="str">
            <v>1254</v>
          </cell>
          <cell r="C4836" t="str">
            <v>12</v>
          </cell>
          <cell r="D4836" t="str">
            <v>58</v>
          </cell>
          <cell r="E4836">
            <v>4</v>
          </cell>
          <cell r="G4836">
            <v>28889</v>
          </cell>
          <cell r="H4836">
            <v>5159</v>
          </cell>
          <cell r="I4836">
            <v>476794</v>
          </cell>
          <cell r="J4836">
            <v>0</v>
          </cell>
          <cell r="K4836">
            <v>510842</v>
          </cell>
          <cell r="L4836">
            <v>38196</v>
          </cell>
          <cell r="M4836">
            <v>12629</v>
          </cell>
          <cell r="N4836">
            <v>401395</v>
          </cell>
          <cell r="O4836">
            <v>11101</v>
          </cell>
          <cell r="P4836">
            <v>47521</v>
          </cell>
          <cell r="Q4836">
            <v>58622</v>
          </cell>
          <cell r="R4836">
            <v>0</v>
          </cell>
          <cell r="S4836">
            <v>0</v>
          </cell>
          <cell r="T4836">
            <v>0</v>
          </cell>
          <cell r="U4836">
            <v>0</v>
          </cell>
          <cell r="V4836">
            <v>0</v>
          </cell>
          <cell r="W4836">
            <v>0</v>
          </cell>
        </row>
        <row r="4837">
          <cell r="A4837" t="str">
            <v>450340</v>
          </cell>
          <cell r="B4837" t="str">
            <v>1254</v>
          </cell>
          <cell r="C4837" t="str">
            <v>12</v>
          </cell>
          <cell r="D4837" t="str">
            <v>58</v>
          </cell>
          <cell r="E4837">
            <v>5</v>
          </cell>
          <cell r="G4837">
            <v>19</v>
          </cell>
          <cell r="H4837">
            <v>0</v>
          </cell>
          <cell r="I4837">
            <v>0</v>
          </cell>
          <cell r="J4837">
            <v>0</v>
          </cell>
          <cell r="K4837">
            <v>19</v>
          </cell>
          <cell r="L4837">
            <v>0</v>
          </cell>
          <cell r="M4837">
            <v>19</v>
          </cell>
          <cell r="N4837">
            <v>0</v>
          </cell>
          <cell r="O4837">
            <v>0</v>
          </cell>
          <cell r="P4837">
            <v>0</v>
          </cell>
          <cell r="Q4837">
            <v>0</v>
          </cell>
          <cell r="R4837">
            <v>0</v>
          </cell>
          <cell r="S4837">
            <v>0</v>
          </cell>
          <cell r="T4837">
            <v>0</v>
          </cell>
          <cell r="U4837">
            <v>0</v>
          </cell>
          <cell r="V4837">
            <v>0</v>
          </cell>
          <cell r="W4837">
            <v>0</v>
          </cell>
        </row>
        <row r="4838">
          <cell r="A4838" t="str">
            <v>450340</v>
          </cell>
          <cell r="B4838" t="str">
            <v>1254</v>
          </cell>
          <cell r="C4838" t="str">
            <v>12</v>
          </cell>
          <cell r="D4838" t="str">
            <v>58</v>
          </cell>
          <cell r="E4838">
            <v>6</v>
          </cell>
          <cell r="G4838">
            <v>15260</v>
          </cell>
          <cell r="H4838">
            <v>1203</v>
          </cell>
          <cell r="I4838">
            <v>81456</v>
          </cell>
          <cell r="J4838">
            <v>0</v>
          </cell>
          <cell r="K4838">
            <v>97919</v>
          </cell>
          <cell r="L4838">
            <v>2513</v>
          </cell>
          <cell r="M4838">
            <v>4679</v>
          </cell>
          <cell r="N4838">
            <v>74165</v>
          </cell>
          <cell r="O4838">
            <v>9378</v>
          </cell>
          <cell r="P4838">
            <v>7184</v>
          </cell>
          <cell r="Q4838">
            <v>16562</v>
          </cell>
          <cell r="R4838">
            <v>0</v>
          </cell>
          <cell r="S4838">
            <v>0</v>
          </cell>
          <cell r="T4838">
            <v>0</v>
          </cell>
          <cell r="U4838">
            <v>0</v>
          </cell>
          <cell r="V4838">
            <v>0</v>
          </cell>
          <cell r="W4838">
            <v>0</v>
          </cell>
        </row>
        <row r="4839">
          <cell r="A4839" t="str">
            <v>450340</v>
          </cell>
          <cell r="B4839" t="str">
            <v>1254</v>
          </cell>
          <cell r="C4839" t="str">
            <v>12</v>
          </cell>
          <cell r="D4839" t="str">
            <v>58</v>
          </cell>
          <cell r="E4839">
            <v>7</v>
          </cell>
          <cell r="G4839">
            <v>16549</v>
          </cell>
          <cell r="H4839">
            <v>1830</v>
          </cell>
          <cell r="I4839">
            <v>379820</v>
          </cell>
          <cell r="J4839">
            <v>0</v>
          </cell>
          <cell r="K4839">
            <v>398199</v>
          </cell>
          <cell r="L4839">
            <v>51296</v>
          </cell>
          <cell r="M4839">
            <v>4575</v>
          </cell>
          <cell r="N4839">
            <v>320031</v>
          </cell>
          <cell r="O4839">
            <v>10144</v>
          </cell>
          <cell r="P4839">
            <v>12153</v>
          </cell>
          <cell r="Q4839">
            <v>22297</v>
          </cell>
          <cell r="R4839">
            <v>0</v>
          </cell>
          <cell r="S4839">
            <v>0</v>
          </cell>
          <cell r="T4839">
            <v>0</v>
          </cell>
          <cell r="U4839">
            <v>0</v>
          </cell>
          <cell r="V4839">
            <v>0</v>
          </cell>
          <cell r="W4839">
            <v>0</v>
          </cell>
        </row>
        <row r="4840">
          <cell r="A4840" t="str">
            <v>450340</v>
          </cell>
          <cell r="B4840" t="str">
            <v>1254</v>
          </cell>
          <cell r="C4840" t="str">
            <v>12</v>
          </cell>
          <cell r="D4840" t="str">
            <v>58</v>
          </cell>
          <cell r="E4840">
            <v>8</v>
          </cell>
          <cell r="G4840">
            <v>1308</v>
          </cell>
          <cell r="H4840">
            <v>0</v>
          </cell>
          <cell r="I4840">
            <v>0</v>
          </cell>
          <cell r="J4840">
            <v>0</v>
          </cell>
          <cell r="K4840">
            <v>1308</v>
          </cell>
          <cell r="L4840">
            <v>0</v>
          </cell>
          <cell r="M4840">
            <v>1308</v>
          </cell>
          <cell r="N4840">
            <v>0</v>
          </cell>
          <cell r="O4840">
            <v>0</v>
          </cell>
          <cell r="P4840">
            <v>0</v>
          </cell>
          <cell r="Q4840">
            <v>0</v>
          </cell>
          <cell r="R4840">
            <v>0</v>
          </cell>
          <cell r="S4840">
            <v>0</v>
          </cell>
          <cell r="T4840">
            <v>0</v>
          </cell>
          <cell r="U4840">
            <v>0</v>
          </cell>
          <cell r="V4840">
            <v>0</v>
          </cell>
          <cell r="W4840">
            <v>0</v>
          </cell>
        </row>
        <row r="4841">
          <cell r="A4841" t="str">
            <v>450340</v>
          </cell>
          <cell r="B4841" t="str">
            <v>1254</v>
          </cell>
          <cell r="C4841" t="str">
            <v>12</v>
          </cell>
          <cell r="D4841" t="str">
            <v>58</v>
          </cell>
          <cell r="E4841">
            <v>9</v>
          </cell>
          <cell r="G4841">
            <v>303</v>
          </cell>
          <cell r="H4841">
            <v>0</v>
          </cell>
          <cell r="I4841">
            <v>3000</v>
          </cell>
          <cell r="J4841">
            <v>0</v>
          </cell>
          <cell r="K4841">
            <v>3303</v>
          </cell>
          <cell r="L4841">
            <v>0</v>
          </cell>
          <cell r="M4841">
            <v>140</v>
          </cell>
          <cell r="N4841">
            <v>0</v>
          </cell>
          <cell r="O4841">
            <v>163</v>
          </cell>
          <cell r="P4841">
            <v>3000</v>
          </cell>
          <cell r="Q4841">
            <v>3163</v>
          </cell>
          <cell r="R4841">
            <v>0</v>
          </cell>
          <cell r="S4841">
            <v>0</v>
          </cell>
          <cell r="T4841">
            <v>0</v>
          </cell>
          <cell r="U4841">
            <v>0</v>
          </cell>
          <cell r="V4841">
            <v>0</v>
          </cell>
          <cell r="W4841">
            <v>0</v>
          </cell>
        </row>
        <row r="4842">
          <cell r="A4842" t="str">
            <v>450340</v>
          </cell>
          <cell r="B4842" t="str">
            <v>1254</v>
          </cell>
          <cell r="C4842" t="str">
            <v>12</v>
          </cell>
          <cell r="D4842" t="str">
            <v>58</v>
          </cell>
          <cell r="E4842">
            <v>10</v>
          </cell>
          <cell r="G4842">
            <v>17997</v>
          </cell>
          <cell r="H4842">
            <v>0</v>
          </cell>
          <cell r="I4842">
            <v>32400</v>
          </cell>
          <cell r="J4842">
            <v>0</v>
          </cell>
          <cell r="K4842">
            <v>50397</v>
          </cell>
          <cell r="L4842">
            <v>0</v>
          </cell>
          <cell r="M4842">
            <v>17997</v>
          </cell>
          <cell r="N4842">
            <v>0</v>
          </cell>
          <cell r="O4842">
            <v>0</v>
          </cell>
          <cell r="P4842">
            <v>32400</v>
          </cell>
          <cell r="Q4842">
            <v>32400</v>
          </cell>
          <cell r="R4842">
            <v>0</v>
          </cell>
          <cell r="S4842">
            <v>0</v>
          </cell>
          <cell r="T4842">
            <v>0</v>
          </cell>
          <cell r="U4842">
            <v>0</v>
          </cell>
          <cell r="V4842">
            <v>0</v>
          </cell>
          <cell r="W4842">
            <v>0</v>
          </cell>
        </row>
        <row r="4843">
          <cell r="A4843" t="str">
            <v>450340</v>
          </cell>
          <cell r="B4843" t="str">
            <v>1254</v>
          </cell>
          <cell r="C4843" t="str">
            <v>12</v>
          </cell>
          <cell r="D4843" t="str">
            <v>58</v>
          </cell>
          <cell r="E4843">
            <v>11</v>
          </cell>
          <cell r="G4843">
            <v>198230</v>
          </cell>
          <cell r="H4843">
            <v>5159</v>
          </cell>
          <cell r="I4843">
            <v>663796</v>
          </cell>
          <cell r="J4843">
            <v>0</v>
          </cell>
          <cell r="K4843">
            <v>867185</v>
          </cell>
          <cell r="L4843">
            <v>38196</v>
          </cell>
          <cell r="M4843">
            <v>100366</v>
          </cell>
          <cell r="N4843">
            <v>533240</v>
          </cell>
          <cell r="O4843">
            <v>92705</v>
          </cell>
          <cell r="P4843">
            <v>102678</v>
          </cell>
          <cell r="Q4843">
            <v>195383</v>
          </cell>
          <cell r="R4843">
            <v>0</v>
          </cell>
          <cell r="S4843">
            <v>0</v>
          </cell>
          <cell r="T4843">
            <v>0</v>
          </cell>
          <cell r="U4843">
            <v>0</v>
          </cell>
          <cell r="V4843">
            <v>0</v>
          </cell>
          <cell r="W4843">
            <v>0</v>
          </cell>
        </row>
        <row r="4844">
          <cell r="A4844" t="str">
            <v>450340</v>
          </cell>
          <cell r="B4844" t="str">
            <v>1254</v>
          </cell>
          <cell r="C4844" t="str">
            <v>12</v>
          </cell>
          <cell r="D4844" t="str">
            <v>59</v>
          </cell>
          <cell r="E4844">
            <v>1</v>
          </cell>
          <cell r="G4844">
            <v>1087634</v>
          </cell>
          <cell r="H4844">
            <v>0</v>
          </cell>
          <cell r="I4844">
            <v>10875</v>
          </cell>
          <cell r="J4844">
            <v>0</v>
          </cell>
          <cell r="K4844">
            <v>1098509</v>
          </cell>
          <cell r="L4844">
            <v>0</v>
          </cell>
          <cell r="M4844">
            <v>88177</v>
          </cell>
          <cell r="N4844">
            <v>0</v>
          </cell>
          <cell r="O4844">
            <v>999457</v>
          </cell>
          <cell r="P4844">
            <v>10875</v>
          </cell>
          <cell r="Q4844">
            <v>1010332</v>
          </cell>
          <cell r="R4844">
            <v>0</v>
          </cell>
          <cell r="S4844">
            <v>0</v>
          </cell>
          <cell r="T4844">
            <v>0</v>
          </cell>
          <cell r="U4844">
            <v>0</v>
          </cell>
          <cell r="V4844">
            <v>0</v>
          </cell>
          <cell r="W4844">
            <v>0</v>
          </cell>
        </row>
        <row r="4845">
          <cell r="A4845" t="str">
            <v>450340</v>
          </cell>
          <cell r="B4845" t="str">
            <v>1254</v>
          </cell>
          <cell r="C4845" t="str">
            <v>12</v>
          </cell>
          <cell r="D4845" t="str">
            <v>59</v>
          </cell>
          <cell r="E4845">
            <v>2</v>
          </cell>
          <cell r="G4845">
            <v>0</v>
          </cell>
          <cell r="H4845">
            <v>0</v>
          </cell>
          <cell r="I4845">
            <v>0</v>
          </cell>
          <cell r="J4845">
            <v>0</v>
          </cell>
          <cell r="K4845">
            <v>0</v>
          </cell>
          <cell r="L4845">
            <v>0</v>
          </cell>
          <cell r="M4845">
            <v>0</v>
          </cell>
          <cell r="N4845">
            <v>0</v>
          </cell>
          <cell r="O4845">
            <v>0</v>
          </cell>
          <cell r="P4845">
            <v>0</v>
          </cell>
          <cell r="Q4845">
            <v>0</v>
          </cell>
          <cell r="R4845">
            <v>0</v>
          </cell>
          <cell r="S4845">
            <v>0</v>
          </cell>
          <cell r="T4845">
            <v>0</v>
          </cell>
          <cell r="U4845">
            <v>0</v>
          </cell>
          <cell r="V4845">
            <v>0</v>
          </cell>
          <cell r="W4845">
            <v>0</v>
          </cell>
        </row>
        <row r="4846">
          <cell r="A4846" t="str">
            <v>450340</v>
          </cell>
          <cell r="B4846" t="str">
            <v>1254</v>
          </cell>
          <cell r="C4846" t="str">
            <v>12</v>
          </cell>
          <cell r="D4846" t="str">
            <v>59</v>
          </cell>
          <cell r="E4846">
            <v>3</v>
          </cell>
          <cell r="G4846">
            <v>0</v>
          </cell>
          <cell r="H4846">
            <v>0</v>
          </cell>
          <cell r="I4846">
            <v>0</v>
          </cell>
          <cell r="J4846">
            <v>0</v>
          </cell>
          <cell r="K4846">
            <v>0</v>
          </cell>
          <cell r="L4846">
            <v>0</v>
          </cell>
          <cell r="M4846">
            <v>0</v>
          </cell>
          <cell r="N4846">
            <v>0</v>
          </cell>
          <cell r="O4846">
            <v>0</v>
          </cell>
          <cell r="P4846">
            <v>0</v>
          </cell>
          <cell r="Q4846">
            <v>0</v>
          </cell>
          <cell r="R4846">
            <v>0</v>
          </cell>
          <cell r="S4846">
            <v>0</v>
          </cell>
          <cell r="T4846">
            <v>0</v>
          </cell>
          <cell r="U4846">
            <v>0</v>
          </cell>
          <cell r="V4846">
            <v>0</v>
          </cell>
          <cell r="W4846">
            <v>0</v>
          </cell>
        </row>
        <row r="4847">
          <cell r="A4847" t="str">
            <v>450340</v>
          </cell>
          <cell r="B4847" t="str">
            <v>1254</v>
          </cell>
          <cell r="C4847" t="str">
            <v>12</v>
          </cell>
          <cell r="D4847" t="str">
            <v>59</v>
          </cell>
          <cell r="E4847">
            <v>4</v>
          </cell>
          <cell r="G4847">
            <v>0</v>
          </cell>
          <cell r="H4847">
            <v>0</v>
          </cell>
          <cell r="I4847">
            <v>0</v>
          </cell>
          <cell r="J4847">
            <v>0</v>
          </cell>
          <cell r="K4847">
            <v>0</v>
          </cell>
          <cell r="L4847">
            <v>0</v>
          </cell>
          <cell r="M4847">
            <v>0</v>
          </cell>
          <cell r="N4847">
            <v>0</v>
          </cell>
          <cell r="O4847">
            <v>0</v>
          </cell>
          <cell r="P4847">
            <v>0</v>
          </cell>
          <cell r="Q4847">
            <v>0</v>
          </cell>
          <cell r="R4847">
            <v>0</v>
          </cell>
          <cell r="S4847">
            <v>0</v>
          </cell>
          <cell r="T4847">
            <v>0</v>
          </cell>
          <cell r="U4847">
            <v>0</v>
          </cell>
          <cell r="V4847">
            <v>0</v>
          </cell>
          <cell r="W4847">
            <v>0</v>
          </cell>
        </row>
        <row r="4848">
          <cell r="A4848" t="str">
            <v>450340</v>
          </cell>
          <cell r="B4848" t="str">
            <v>1254</v>
          </cell>
          <cell r="C4848" t="str">
            <v>12</v>
          </cell>
          <cell r="D4848" t="str">
            <v>59</v>
          </cell>
          <cell r="E4848">
            <v>5</v>
          </cell>
          <cell r="G4848">
            <v>145840</v>
          </cell>
          <cell r="H4848">
            <v>0</v>
          </cell>
          <cell r="I4848">
            <v>10875</v>
          </cell>
          <cell r="J4848">
            <v>0</v>
          </cell>
          <cell r="K4848">
            <v>156715</v>
          </cell>
          <cell r="L4848">
            <v>0</v>
          </cell>
          <cell r="M4848">
            <v>56963</v>
          </cell>
          <cell r="N4848">
            <v>0</v>
          </cell>
          <cell r="O4848">
            <v>88877</v>
          </cell>
          <cell r="P4848">
            <v>10875</v>
          </cell>
          <cell r="Q4848">
            <v>99752</v>
          </cell>
          <cell r="R4848">
            <v>0</v>
          </cell>
          <cell r="S4848">
            <v>0</v>
          </cell>
          <cell r="T4848">
            <v>0</v>
          </cell>
          <cell r="U4848">
            <v>0</v>
          </cell>
          <cell r="V4848">
            <v>0</v>
          </cell>
          <cell r="W4848">
            <v>0</v>
          </cell>
        </row>
        <row r="4849">
          <cell r="A4849" t="str">
            <v>450340</v>
          </cell>
          <cell r="B4849" t="str">
            <v>1254</v>
          </cell>
          <cell r="C4849" t="str">
            <v>12</v>
          </cell>
          <cell r="D4849" t="str">
            <v>59</v>
          </cell>
          <cell r="E4849">
            <v>6</v>
          </cell>
          <cell r="G4849">
            <v>0</v>
          </cell>
          <cell r="H4849">
            <v>0</v>
          </cell>
          <cell r="I4849">
            <v>0</v>
          </cell>
          <cell r="J4849">
            <v>0</v>
          </cell>
          <cell r="K4849">
            <v>0</v>
          </cell>
          <cell r="L4849">
            <v>0</v>
          </cell>
          <cell r="M4849">
            <v>0</v>
          </cell>
          <cell r="N4849">
            <v>0</v>
          </cell>
          <cell r="O4849">
            <v>0</v>
          </cell>
          <cell r="P4849">
            <v>0</v>
          </cell>
          <cell r="Q4849">
            <v>0</v>
          </cell>
          <cell r="R4849">
            <v>0</v>
          </cell>
          <cell r="S4849">
            <v>0</v>
          </cell>
          <cell r="T4849">
            <v>0</v>
          </cell>
          <cell r="U4849">
            <v>0</v>
          </cell>
          <cell r="V4849">
            <v>0</v>
          </cell>
          <cell r="W4849">
            <v>0</v>
          </cell>
        </row>
        <row r="4850">
          <cell r="A4850" t="str">
            <v>450340</v>
          </cell>
          <cell r="B4850" t="str">
            <v>1254</v>
          </cell>
          <cell r="C4850" t="str">
            <v>12</v>
          </cell>
          <cell r="D4850" t="str">
            <v>59</v>
          </cell>
          <cell r="E4850">
            <v>7</v>
          </cell>
          <cell r="G4850">
            <v>941794</v>
          </cell>
          <cell r="H4850">
            <v>0</v>
          </cell>
          <cell r="I4850">
            <v>0</v>
          </cell>
          <cell r="J4850">
            <v>0</v>
          </cell>
          <cell r="K4850">
            <v>941794</v>
          </cell>
          <cell r="L4850">
            <v>0</v>
          </cell>
          <cell r="M4850">
            <v>31214</v>
          </cell>
          <cell r="N4850">
            <v>0</v>
          </cell>
          <cell r="O4850">
            <v>910580</v>
          </cell>
          <cell r="P4850">
            <v>0</v>
          </cell>
          <cell r="Q4850">
            <v>910580</v>
          </cell>
          <cell r="R4850">
            <v>0</v>
          </cell>
          <cell r="S4850">
            <v>0</v>
          </cell>
          <cell r="T4850">
            <v>0</v>
          </cell>
          <cell r="U4850">
            <v>0</v>
          </cell>
          <cell r="V4850">
            <v>0</v>
          </cell>
          <cell r="W4850">
            <v>0</v>
          </cell>
        </row>
        <row r="4851">
          <cell r="A4851" t="str">
            <v>450340</v>
          </cell>
          <cell r="B4851" t="str">
            <v>1254</v>
          </cell>
          <cell r="C4851" t="str">
            <v>12</v>
          </cell>
          <cell r="D4851" t="str">
            <v>59</v>
          </cell>
          <cell r="E4851">
            <v>8</v>
          </cell>
          <cell r="G4851">
            <v>381827</v>
          </cell>
          <cell r="H4851">
            <v>2203</v>
          </cell>
          <cell r="I4851">
            <v>2126472</v>
          </cell>
          <cell r="J4851">
            <v>0</v>
          </cell>
          <cell r="K4851">
            <v>2510502</v>
          </cell>
          <cell r="L4851">
            <v>32329</v>
          </cell>
          <cell r="M4851">
            <v>322577</v>
          </cell>
          <cell r="N4851">
            <v>1587853</v>
          </cell>
          <cell r="O4851">
            <v>9373</v>
          </cell>
          <cell r="P4851">
            <v>558370</v>
          </cell>
          <cell r="Q4851">
            <v>567743</v>
          </cell>
          <cell r="R4851">
            <v>0</v>
          </cell>
          <cell r="S4851">
            <v>0</v>
          </cell>
          <cell r="T4851">
            <v>0</v>
          </cell>
          <cell r="U4851">
            <v>0</v>
          </cell>
          <cell r="V4851">
            <v>0</v>
          </cell>
          <cell r="W4851">
            <v>0</v>
          </cell>
        </row>
        <row r="4852">
          <cell r="A4852" t="str">
            <v>450340</v>
          </cell>
          <cell r="B4852" t="str">
            <v>1254</v>
          </cell>
          <cell r="C4852" t="str">
            <v>12</v>
          </cell>
          <cell r="D4852" t="str">
            <v>59</v>
          </cell>
          <cell r="E4852">
            <v>9</v>
          </cell>
          <cell r="G4852">
            <v>0</v>
          </cell>
          <cell r="H4852">
            <v>0</v>
          </cell>
          <cell r="I4852">
            <v>0</v>
          </cell>
          <cell r="J4852">
            <v>0</v>
          </cell>
          <cell r="K4852">
            <v>0</v>
          </cell>
          <cell r="L4852">
            <v>0</v>
          </cell>
          <cell r="M4852">
            <v>0</v>
          </cell>
          <cell r="N4852">
            <v>0</v>
          </cell>
          <cell r="O4852">
            <v>0</v>
          </cell>
          <cell r="P4852">
            <v>0</v>
          </cell>
          <cell r="Q4852">
            <v>0</v>
          </cell>
          <cell r="R4852">
            <v>0</v>
          </cell>
          <cell r="S4852">
            <v>0</v>
          </cell>
          <cell r="T4852">
            <v>0</v>
          </cell>
          <cell r="U4852">
            <v>0</v>
          </cell>
          <cell r="V4852">
            <v>0</v>
          </cell>
          <cell r="W4852">
            <v>0</v>
          </cell>
        </row>
        <row r="4853">
          <cell r="A4853" t="str">
            <v>450340</v>
          </cell>
          <cell r="B4853" t="str">
            <v>1254</v>
          </cell>
          <cell r="C4853" t="str">
            <v>12</v>
          </cell>
          <cell r="D4853" t="str">
            <v>59</v>
          </cell>
          <cell r="E4853">
            <v>10</v>
          </cell>
          <cell r="G4853">
            <v>216136</v>
          </cell>
          <cell r="H4853">
            <v>0</v>
          </cell>
          <cell r="I4853">
            <v>151092</v>
          </cell>
          <cell r="J4853">
            <v>0</v>
          </cell>
          <cell r="K4853">
            <v>367228</v>
          </cell>
          <cell r="L4853">
            <v>0</v>
          </cell>
          <cell r="M4853">
            <v>216136</v>
          </cell>
          <cell r="N4853">
            <v>0</v>
          </cell>
          <cell r="O4853">
            <v>0</v>
          </cell>
          <cell r="P4853">
            <v>151092</v>
          </cell>
          <cell r="Q4853">
            <v>151092</v>
          </cell>
          <cell r="R4853">
            <v>0</v>
          </cell>
          <cell r="S4853">
            <v>0</v>
          </cell>
          <cell r="T4853">
            <v>0</v>
          </cell>
          <cell r="U4853">
            <v>0</v>
          </cell>
          <cell r="V4853">
            <v>0</v>
          </cell>
          <cell r="W4853">
            <v>0</v>
          </cell>
        </row>
        <row r="4854">
          <cell r="A4854" t="str">
            <v>450340</v>
          </cell>
          <cell r="B4854" t="str">
            <v>1254</v>
          </cell>
          <cell r="C4854" t="str">
            <v>12</v>
          </cell>
          <cell r="D4854" t="str">
            <v>59</v>
          </cell>
          <cell r="E4854">
            <v>11</v>
          </cell>
          <cell r="G4854">
            <v>8236</v>
          </cell>
          <cell r="H4854">
            <v>0</v>
          </cell>
          <cell r="I4854">
            <v>1018967</v>
          </cell>
          <cell r="J4854">
            <v>0</v>
          </cell>
          <cell r="K4854">
            <v>1027203</v>
          </cell>
          <cell r="L4854">
            <v>0</v>
          </cell>
          <cell r="M4854">
            <v>8236</v>
          </cell>
          <cell r="N4854">
            <v>726599</v>
          </cell>
          <cell r="O4854">
            <v>0</v>
          </cell>
          <cell r="P4854">
            <v>292368</v>
          </cell>
          <cell r="Q4854">
            <v>292368</v>
          </cell>
          <cell r="R4854">
            <v>0</v>
          </cell>
          <cell r="S4854">
            <v>0</v>
          </cell>
          <cell r="T4854">
            <v>0</v>
          </cell>
          <cell r="U4854">
            <v>0</v>
          </cell>
          <cell r="V4854">
            <v>0</v>
          </cell>
          <cell r="W4854">
            <v>0</v>
          </cell>
        </row>
        <row r="4855">
          <cell r="A4855" t="str">
            <v>450340</v>
          </cell>
          <cell r="B4855" t="str">
            <v>1254</v>
          </cell>
          <cell r="C4855" t="str">
            <v>12</v>
          </cell>
          <cell r="D4855" t="str">
            <v>59</v>
          </cell>
          <cell r="E4855">
            <v>12</v>
          </cell>
          <cell r="G4855">
            <v>0</v>
          </cell>
          <cell r="H4855">
            <v>0</v>
          </cell>
          <cell r="I4855">
            <v>720323</v>
          </cell>
          <cell r="J4855">
            <v>0</v>
          </cell>
          <cell r="K4855">
            <v>720323</v>
          </cell>
          <cell r="L4855">
            <v>0</v>
          </cell>
          <cell r="M4855">
            <v>0</v>
          </cell>
          <cell r="N4855">
            <v>459025</v>
          </cell>
          <cell r="O4855">
            <v>0</v>
          </cell>
          <cell r="P4855">
            <v>261298</v>
          </cell>
          <cell r="Q4855">
            <v>261298</v>
          </cell>
          <cell r="R4855">
            <v>0</v>
          </cell>
          <cell r="S4855">
            <v>0</v>
          </cell>
          <cell r="T4855">
            <v>0</v>
          </cell>
          <cell r="U4855">
            <v>0</v>
          </cell>
          <cell r="V4855">
            <v>0</v>
          </cell>
          <cell r="W4855">
            <v>0</v>
          </cell>
        </row>
        <row r="4856">
          <cell r="A4856" t="str">
            <v>450340</v>
          </cell>
          <cell r="B4856" t="str">
            <v>1254</v>
          </cell>
          <cell r="C4856" t="str">
            <v>12</v>
          </cell>
          <cell r="D4856" t="str">
            <v>59</v>
          </cell>
          <cell r="E4856">
            <v>13</v>
          </cell>
          <cell r="G4856">
            <v>0</v>
          </cell>
          <cell r="H4856">
            <v>0</v>
          </cell>
          <cell r="I4856">
            <v>14892</v>
          </cell>
          <cell r="J4856">
            <v>0</v>
          </cell>
          <cell r="K4856">
            <v>14892</v>
          </cell>
          <cell r="L4856">
            <v>0</v>
          </cell>
          <cell r="M4856">
            <v>0</v>
          </cell>
          <cell r="N4856">
            <v>14892</v>
          </cell>
          <cell r="O4856">
            <v>0</v>
          </cell>
          <cell r="P4856">
            <v>0</v>
          </cell>
          <cell r="Q4856">
            <v>0</v>
          </cell>
          <cell r="R4856">
            <v>0</v>
          </cell>
          <cell r="S4856">
            <v>0</v>
          </cell>
          <cell r="T4856">
            <v>0</v>
          </cell>
          <cell r="U4856">
            <v>0</v>
          </cell>
          <cell r="V4856">
            <v>0</v>
          </cell>
          <cell r="W4856">
            <v>0</v>
          </cell>
        </row>
        <row r="4857">
          <cell r="A4857" t="str">
            <v>450340</v>
          </cell>
          <cell r="B4857" t="str">
            <v>1254</v>
          </cell>
          <cell r="C4857" t="str">
            <v>12</v>
          </cell>
          <cell r="D4857" t="str">
            <v>59</v>
          </cell>
          <cell r="E4857">
            <v>14</v>
          </cell>
          <cell r="G4857">
            <v>0</v>
          </cell>
          <cell r="H4857">
            <v>0</v>
          </cell>
          <cell r="I4857">
            <v>28382</v>
          </cell>
          <cell r="J4857">
            <v>0</v>
          </cell>
          <cell r="K4857">
            <v>28382</v>
          </cell>
          <cell r="L4857">
            <v>0</v>
          </cell>
          <cell r="M4857">
            <v>0</v>
          </cell>
          <cell r="N4857">
            <v>28382</v>
          </cell>
          <cell r="O4857">
            <v>0</v>
          </cell>
          <cell r="P4857">
            <v>0</v>
          </cell>
          <cell r="Q4857">
            <v>0</v>
          </cell>
          <cell r="R4857">
            <v>0</v>
          </cell>
          <cell r="S4857">
            <v>0</v>
          </cell>
          <cell r="T4857">
            <v>0</v>
          </cell>
          <cell r="U4857">
            <v>0</v>
          </cell>
          <cell r="V4857">
            <v>0</v>
          </cell>
          <cell r="W4857">
            <v>0</v>
          </cell>
        </row>
        <row r="4858">
          <cell r="A4858" t="str">
            <v>450340</v>
          </cell>
          <cell r="B4858" t="str">
            <v>1254</v>
          </cell>
          <cell r="C4858" t="str">
            <v>12</v>
          </cell>
          <cell r="D4858" t="str">
            <v>59</v>
          </cell>
          <cell r="E4858">
            <v>15</v>
          </cell>
          <cell r="G4858">
            <v>8236</v>
          </cell>
          <cell r="H4858">
            <v>0</v>
          </cell>
          <cell r="I4858">
            <v>255370</v>
          </cell>
          <cell r="J4858">
            <v>0</v>
          </cell>
          <cell r="K4858">
            <v>263606</v>
          </cell>
          <cell r="L4858">
            <v>0</v>
          </cell>
          <cell r="M4858">
            <v>8236</v>
          </cell>
          <cell r="N4858">
            <v>224300</v>
          </cell>
          <cell r="O4858">
            <v>0</v>
          </cell>
          <cell r="P4858">
            <v>31070</v>
          </cell>
          <cell r="Q4858">
            <v>31070</v>
          </cell>
          <cell r="R4858">
            <v>0</v>
          </cell>
          <cell r="S4858">
            <v>0</v>
          </cell>
          <cell r="T4858">
            <v>0</v>
          </cell>
          <cell r="U4858">
            <v>0</v>
          </cell>
          <cell r="V4858">
            <v>0</v>
          </cell>
          <cell r="W4858">
            <v>0</v>
          </cell>
        </row>
        <row r="4859">
          <cell r="A4859" t="str">
            <v>450340</v>
          </cell>
          <cell r="B4859" t="str">
            <v>1254</v>
          </cell>
          <cell r="C4859" t="str">
            <v>12</v>
          </cell>
          <cell r="D4859" t="str">
            <v>59</v>
          </cell>
          <cell r="E4859">
            <v>16</v>
          </cell>
          <cell r="G4859">
            <v>157455</v>
          </cell>
          <cell r="H4859">
            <v>2203</v>
          </cell>
          <cell r="I4859">
            <v>956413</v>
          </cell>
          <cell r="J4859">
            <v>0</v>
          </cell>
          <cell r="K4859">
            <v>1116071</v>
          </cell>
          <cell r="L4859">
            <v>32329</v>
          </cell>
          <cell r="M4859">
            <v>98205</v>
          </cell>
          <cell r="N4859">
            <v>861254</v>
          </cell>
          <cell r="O4859">
            <v>9373</v>
          </cell>
          <cell r="P4859">
            <v>114910</v>
          </cell>
          <cell r="Q4859">
            <v>124283</v>
          </cell>
          <cell r="R4859">
            <v>0</v>
          </cell>
          <cell r="S4859">
            <v>0</v>
          </cell>
          <cell r="T4859">
            <v>0</v>
          </cell>
          <cell r="U4859">
            <v>0</v>
          </cell>
          <cell r="V4859">
            <v>0</v>
          </cell>
          <cell r="W4859">
            <v>0</v>
          </cell>
        </row>
        <row r="4860">
          <cell r="A4860" t="str">
            <v>450340</v>
          </cell>
          <cell r="B4860" t="str">
            <v>1254</v>
          </cell>
          <cell r="C4860" t="str">
            <v>12</v>
          </cell>
          <cell r="D4860" t="str">
            <v>59</v>
          </cell>
          <cell r="E4860">
            <v>17</v>
          </cell>
          <cell r="G4860">
            <v>0</v>
          </cell>
          <cell r="H4860">
            <v>0</v>
          </cell>
          <cell r="I4860">
            <v>0</v>
          </cell>
          <cell r="J4860">
            <v>0</v>
          </cell>
          <cell r="K4860">
            <v>0</v>
          </cell>
          <cell r="L4860">
            <v>0</v>
          </cell>
          <cell r="M4860">
            <v>0</v>
          </cell>
          <cell r="N4860">
            <v>0</v>
          </cell>
          <cell r="O4860">
            <v>0</v>
          </cell>
          <cell r="P4860">
            <v>0</v>
          </cell>
          <cell r="Q4860">
            <v>0</v>
          </cell>
          <cell r="R4860">
            <v>0</v>
          </cell>
          <cell r="S4860">
            <v>0</v>
          </cell>
          <cell r="T4860">
            <v>0</v>
          </cell>
          <cell r="U4860">
            <v>0</v>
          </cell>
          <cell r="V4860">
            <v>0</v>
          </cell>
          <cell r="W4860">
            <v>0</v>
          </cell>
        </row>
        <row r="4861">
          <cell r="A4861" t="str">
            <v>450340</v>
          </cell>
          <cell r="B4861" t="str">
            <v>1254</v>
          </cell>
          <cell r="C4861" t="str">
            <v>12</v>
          </cell>
          <cell r="D4861" t="str">
            <v>59</v>
          </cell>
          <cell r="E4861">
            <v>18</v>
          </cell>
          <cell r="G4861">
            <v>0</v>
          </cell>
          <cell r="H4861">
            <v>0</v>
          </cell>
          <cell r="I4861">
            <v>681128</v>
          </cell>
          <cell r="J4861">
            <v>0</v>
          </cell>
          <cell r="K4861">
            <v>681128</v>
          </cell>
          <cell r="L4861">
            <v>0</v>
          </cell>
          <cell r="M4861">
            <v>0</v>
          </cell>
          <cell r="N4861">
            <v>681128</v>
          </cell>
          <cell r="O4861">
            <v>0</v>
          </cell>
          <cell r="P4861">
            <v>0</v>
          </cell>
          <cell r="Q4861">
            <v>0</v>
          </cell>
          <cell r="R4861">
            <v>0</v>
          </cell>
          <cell r="S4861">
            <v>0</v>
          </cell>
          <cell r="T4861">
            <v>0</v>
          </cell>
          <cell r="U4861">
            <v>0</v>
          </cell>
          <cell r="V4861">
            <v>0</v>
          </cell>
          <cell r="W4861">
            <v>0</v>
          </cell>
        </row>
        <row r="4862">
          <cell r="A4862" t="str">
            <v>450340</v>
          </cell>
          <cell r="B4862" t="str">
            <v>1254</v>
          </cell>
          <cell r="C4862" t="str">
            <v>12</v>
          </cell>
          <cell r="D4862" t="str">
            <v>59</v>
          </cell>
          <cell r="E4862">
            <v>19</v>
          </cell>
          <cell r="G4862">
            <v>0</v>
          </cell>
          <cell r="H4862">
            <v>0</v>
          </cell>
          <cell r="I4862">
            <v>25</v>
          </cell>
          <cell r="J4862">
            <v>0</v>
          </cell>
          <cell r="K4862">
            <v>25</v>
          </cell>
          <cell r="L4862">
            <v>0</v>
          </cell>
          <cell r="M4862">
            <v>0</v>
          </cell>
          <cell r="N4862">
            <v>25</v>
          </cell>
          <cell r="O4862">
            <v>0</v>
          </cell>
          <cell r="P4862">
            <v>0</v>
          </cell>
          <cell r="Q4862">
            <v>0</v>
          </cell>
          <cell r="R4862">
            <v>0</v>
          </cell>
          <cell r="S4862">
            <v>0</v>
          </cell>
          <cell r="T4862">
            <v>0</v>
          </cell>
          <cell r="U4862">
            <v>0</v>
          </cell>
          <cell r="V4862">
            <v>0</v>
          </cell>
          <cell r="W4862">
            <v>0</v>
          </cell>
        </row>
        <row r="4863">
          <cell r="A4863" t="str">
            <v>450340</v>
          </cell>
          <cell r="B4863" t="str">
            <v>1254</v>
          </cell>
          <cell r="C4863" t="str">
            <v>12</v>
          </cell>
          <cell r="D4863" t="str">
            <v>59</v>
          </cell>
          <cell r="E4863">
            <v>20</v>
          </cell>
          <cell r="G4863">
            <v>52275</v>
          </cell>
          <cell r="H4863">
            <v>0</v>
          </cell>
          <cell r="I4863">
            <v>0</v>
          </cell>
          <cell r="J4863">
            <v>0</v>
          </cell>
          <cell r="K4863">
            <v>52275</v>
          </cell>
          <cell r="L4863">
            <v>-27571</v>
          </cell>
          <cell r="M4863">
            <v>0</v>
          </cell>
          <cell r="N4863">
            <v>0</v>
          </cell>
          <cell r="O4863">
            <v>0</v>
          </cell>
          <cell r="P4863">
            <v>79846</v>
          </cell>
          <cell r="Q4863">
            <v>79846</v>
          </cell>
          <cell r="R4863">
            <v>0</v>
          </cell>
          <cell r="S4863">
            <v>0</v>
          </cell>
          <cell r="T4863">
            <v>0</v>
          </cell>
          <cell r="U4863">
            <v>0</v>
          </cell>
          <cell r="V4863">
            <v>0</v>
          </cell>
          <cell r="W4863">
            <v>0</v>
          </cell>
        </row>
        <row r="4864">
          <cell r="A4864" t="str">
            <v>450340</v>
          </cell>
          <cell r="B4864" t="str">
            <v>1254</v>
          </cell>
          <cell r="C4864" t="str">
            <v>12</v>
          </cell>
          <cell r="D4864" t="str">
            <v>59</v>
          </cell>
          <cell r="E4864">
            <v>21</v>
          </cell>
          <cell r="G4864">
            <v>18242</v>
          </cell>
          <cell r="H4864">
            <v>0</v>
          </cell>
          <cell r="I4864">
            <v>105510</v>
          </cell>
          <cell r="J4864">
            <v>0</v>
          </cell>
          <cell r="K4864">
            <v>123752</v>
          </cell>
          <cell r="L4864">
            <v>59900</v>
          </cell>
          <cell r="M4864">
            <v>12378</v>
          </cell>
          <cell r="N4864">
            <v>36393</v>
          </cell>
          <cell r="O4864">
            <v>8262</v>
          </cell>
          <cell r="P4864">
            <v>6819</v>
          </cell>
          <cell r="Q4864">
            <v>15081</v>
          </cell>
          <cell r="R4864">
            <v>0</v>
          </cell>
          <cell r="S4864">
            <v>0</v>
          </cell>
          <cell r="T4864">
            <v>0</v>
          </cell>
          <cell r="U4864">
            <v>0</v>
          </cell>
          <cell r="V4864">
            <v>0</v>
          </cell>
          <cell r="W4864">
            <v>0</v>
          </cell>
        </row>
        <row r="4865">
          <cell r="A4865" t="str">
            <v>450340</v>
          </cell>
          <cell r="B4865" t="str">
            <v>1254</v>
          </cell>
          <cell r="C4865" t="str">
            <v>12</v>
          </cell>
          <cell r="D4865" t="str">
            <v>59</v>
          </cell>
          <cell r="E4865">
            <v>22</v>
          </cell>
          <cell r="G4865">
            <v>0</v>
          </cell>
          <cell r="H4865">
            <v>0</v>
          </cell>
          <cell r="I4865">
            <v>0</v>
          </cell>
          <cell r="J4865">
            <v>0</v>
          </cell>
          <cell r="K4865">
            <v>0</v>
          </cell>
          <cell r="L4865">
            <v>0</v>
          </cell>
          <cell r="M4865">
            <v>0</v>
          </cell>
          <cell r="N4865">
            <v>0</v>
          </cell>
          <cell r="O4865">
            <v>0</v>
          </cell>
          <cell r="P4865">
            <v>0</v>
          </cell>
          <cell r="Q4865">
            <v>0</v>
          </cell>
          <cell r="R4865">
            <v>0</v>
          </cell>
          <cell r="S4865">
            <v>0</v>
          </cell>
          <cell r="T4865">
            <v>0</v>
          </cell>
          <cell r="U4865">
            <v>0</v>
          </cell>
          <cell r="V4865">
            <v>0</v>
          </cell>
          <cell r="W4865">
            <v>0</v>
          </cell>
        </row>
        <row r="4866">
          <cell r="A4866" t="str">
            <v>450340</v>
          </cell>
          <cell r="B4866" t="str">
            <v>1254</v>
          </cell>
          <cell r="C4866" t="str">
            <v>12</v>
          </cell>
          <cell r="D4866" t="str">
            <v>59</v>
          </cell>
          <cell r="E4866">
            <v>23</v>
          </cell>
          <cell r="G4866">
            <v>0</v>
          </cell>
          <cell r="H4866">
            <v>0</v>
          </cell>
          <cell r="I4866">
            <v>0</v>
          </cell>
          <cell r="J4866">
            <v>0</v>
          </cell>
          <cell r="K4866">
            <v>0</v>
          </cell>
          <cell r="L4866">
            <v>0</v>
          </cell>
          <cell r="M4866">
            <v>0</v>
          </cell>
          <cell r="N4866">
            <v>0</v>
          </cell>
          <cell r="O4866">
            <v>0</v>
          </cell>
          <cell r="P4866">
            <v>0</v>
          </cell>
          <cell r="Q4866">
            <v>0</v>
          </cell>
          <cell r="R4866">
            <v>0</v>
          </cell>
          <cell r="S4866">
            <v>0</v>
          </cell>
          <cell r="T4866">
            <v>0</v>
          </cell>
          <cell r="U4866">
            <v>0</v>
          </cell>
          <cell r="V4866">
            <v>0</v>
          </cell>
          <cell r="W4866">
            <v>0</v>
          </cell>
        </row>
        <row r="4867">
          <cell r="A4867" t="str">
            <v>450340</v>
          </cell>
          <cell r="B4867" t="str">
            <v>1254</v>
          </cell>
          <cell r="C4867" t="str">
            <v>12</v>
          </cell>
          <cell r="D4867" t="str">
            <v>59</v>
          </cell>
          <cell r="E4867">
            <v>24</v>
          </cell>
          <cell r="G4867">
            <v>0</v>
          </cell>
          <cell r="H4867">
            <v>0</v>
          </cell>
          <cell r="I4867">
            <v>140000</v>
          </cell>
          <cell r="J4867">
            <v>0</v>
          </cell>
          <cell r="K4867">
            <v>140000</v>
          </cell>
          <cell r="L4867">
            <v>0</v>
          </cell>
          <cell r="M4867">
            <v>0</v>
          </cell>
          <cell r="N4867">
            <v>140000</v>
          </cell>
          <cell r="O4867">
            <v>0</v>
          </cell>
          <cell r="P4867">
            <v>0</v>
          </cell>
          <cell r="Q4867">
            <v>0</v>
          </cell>
          <cell r="R4867">
            <v>0</v>
          </cell>
          <cell r="S4867">
            <v>0</v>
          </cell>
          <cell r="T4867">
            <v>0</v>
          </cell>
          <cell r="U4867">
            <v>0</v>
          </cell>
          <cell r="V4867">
            <v>0</v>
          </cell>
          <cell r="W4867">
            <v>0</v>
          </cell>
        </row>
        <row r="4868">
          <cell r="A4868" t="str">
            <v>450340</v>
          </cell>
          <cell r="B4868" t="str">
            <v>1254</v>
          </cell>
          <cell r="C4868" t="str">
            <v>12</v>
          </cell>
          <cell r="D4868" t="str">
            <v>59</v>
          </cell>
          <cell r="E4868">
            <v>25</v>
          </cell>
          <cell r="G4868">
            <v>0</v>
          </cell>
          <cell r="H4868">
            <v>0</v>
          </cell>
          <cell r="I4868">
            <v>0</v>
          </cell>
          <cell r="J4868">
            <v>0</v>
          </cell>
          <cell r="K4868">
            <v>0</v>
          </cell>
          <cell r="L4868">
            <v>0</v>
          </cell>
          <cell r="M4868">
            <v>0</v>
          </cell>
          <cell r="N4868">
            <v>0</v>
          </cell>
          <cell r="O4868">
            <v>0</v>
          </cell>
          <cell r="P4868">
            <v>0</v>
          </cell>
          <cell r="Q4868">
            <v>0</v>
          </cell>
          <cell r="R4868">
            <v>0</v>
          </cell>
          <cell r="S4868">
            <v>0</v>
          </cell>
          <cell r="T4868">
            <v>0</v>
          </cell>
          <cell r="U4868">
            <v>0</v>
          </cell>
          <cell r="V4868">
            <v>0</v>
          </cell>
          <cell r="W4868">
            <v>0</v>
          </cell>
        </row>
        <row r="4869">
          <cell r="A4869" t="str">
            <v>450340</v>
          </cell>
          <cell r="B4869" t="str">
            <v>1254</v>
          </cell>
          <cell r="C4869" t="str">
            <v>12</v>
          </cell>
          <cell r="D4869" t="str">
            <v>59</v>
          </cell>
          <cell r="E4869">
            <v>26</v>
          </cell>
          <cell r="G4869">
            <v>0</v>
          </cell>
          <cell r="H4869">
            <v>0</v>
          </cell>
          <cell r="I4869">
            <v>0</v>
          </cell>
          <cell r="J4869">
            <v>0</v>
          </cell>
          <cell r="K4869">
            <v>0</v>
          </cell>
          <cell r="L4869">
            <v>0</v>
          </cell>
          <cell r="M4869">
            <v>0</v>
          </cell>
          <cell r="N4869">
            <v>0</v>
          </cell>
          <cell r="O4869">
            <v>0</v>
          </cell>
          <cell r="P4869">
            <v>0</v>
          </cell>
          <cell r="Q4869">
            <v>0</v>
          </cell>
          <cell r="R4869">
            <v>0</v>
          </cell>
          <cell r="S4869">
            <v>0</v>
          </cell>
          <cell r="T4869">
            <v>0</v>
          </cell>
          <cell r="U4869">
            <v>0</v>
          </cell>
          <cell r="V4869">
            <v>0</v>
          </cell>
          <cell r="W4869">
            <v>0</v>
          </cell>
        </row>
        <row r="4870">
          <cell r="A4870" t="str">
            <v>450340</v>
          </cell>
          <cell r="B4870" t="str">
            <v>1254</v>
          </cell>
          <cell r="C4870" t="str">
            <v>12</v>
          </cell>
          <cell r="D4870" t="str">
            <v>59</v>
          </cell>
          <cell r="E4870">
            <v>27</v>
          </cell>
          <cell r="G4870">
            <v>0</v>
          </cell>
          <cell r="H4870">
            <v>0</v>
          </cell>
          <cell r="I4870">
            <v>0</v>
          </cell>
          <cell r="J4870">
            <v>0</v>
          </cell>
          <cell r="K4870">
            <v>0</v>
          </cell>
          <cell r="L4870">
            <v>0</v>
          </cell>
          <cell r="M4870">
            <v>0</v>
          </cell>
          <cell r="N4870">
            <v>0</v>
          </cell>
          <cell r="O4870">
            <v>0</v>
          </cell>
          <cell r="P4870">
            <v>0</v>
          </cell>
          <cell r="Q4870">
            <v>0</v>
          </cell>
          <cell r="R4870">
            <v>0</v>
          </cell>
          <cell r="S4870">
            <v>0</v>
          </cell>
          <cell r="T4870">
            <v>0</v>
          </cell>
          <cell r="U4870">
            <v>0</v>
          </cell>
          <cell r="V4870">
            <v>0</v>
          </cell>
          <cell r="W4870">
            <v>0</v>
          </cell>
        </row>
        <row r="4871">
          <cell r="A4871" t="str">
            <v>450340</v>
          </cell>
          <cell r="B4871" t="str">
            <v>1254</v>
          </cell>
          <cell r="C4871" t="str">
            <v>12</v>
          </cell>
          <cell r="D4871" t="str">
            <v>59</v>
          </cell>
          <cell r="E4871">
            <v>28</v>
          </cell>
          <cell r="G4871">
            <v>81860</v>
          </cell>
          <cell r="H4871">
            <v>0</v>
          </cell>
          <cell r="I4871">
            <v>25123</v>
          </cell>
          <cell r="J4871">
            <v>0</v>
          </cell>
          <cell r="K4871">
            <v>106983</v>
          </cell>
          <cell r="L4871">
            <v>0</v>
          </cell>
          <cell r="M4871">
            <v>81860</v>
          </cell>
          <cell r="N4871">
            <v>0</v>
          </cell>
          <cell r="O4871">
            <v>0</v>
          </cell>
          <cell r="P4871">
            <v>25123</v>
          </cell>
          <cell r="Q4871">
            <v>25123</v>
          </cell>
          <cell r="R4871">
            <v>0</v>
          </cell>
          <cell r="S4871">
            <v>0</v>
          </cell>
          <cell r="T4871">
            <v>0</v>
          </cell>
          <cell r="U4871">
            <v>0</v>
          </cell>
          <cell r="V4871">
            <v>0</v>
          </cell>
          <cell r="W4871">
            <v>0</v>
          </cell>
        </row>
        <row r="4872">
          <cell r="A4872" t="str">
            <v>450340</v>
          </cell>
          <cell r="B4872" t="str">
            <v>1254</v>
          </cell>
          <cell r="C4872" t="str">
            <v>12</v>
          </cell>
          <cell r="D4872" t="str">
            <v>59</v>
          </cell>
          <cell r="E4872">
            <v>29</v>
          </cell>
          <cell r="G4872">
            <v>0</v>
          </cell>
          <cell r="H4872">
            <v>0</v>
          </cell>
          <cell r="I4872">
            <v>0</v>
          </cell>
          <cell r="J4872">
            <v>0</v>
          </cell>
          <cell r="K4872">
            <v>0</v>
          </cell>
          <cell r="L4872">
            <v>0</v>
          </cell>
          <cell r="M4872">
            <v>0</v>
          </cell>
          <cell r="N4872">
            <v>0</v>
          </cell>
          <cell r="O4872">
            <v>0</v>
          </cell>
          <cell r="P4872">
            <v>0</v>
          </cell>
          <cell r="Q4872">
            <v>0</v>
          </cell>
          <cell r="R4872">
            <v>0</v>
          </cell>
          <cell r="S4872">
            <v>0</v>
          </cell>
          <cell r="T4872">
            <v>0</v>
          </cell>
          <cell r="U4872">
            <v>0</v>
          </cell>
          <cell r="V4872">
            <v>0</v>
          </cell>
          <cell r="W4872">
            <v>0</v>
          </cell>
        </row>
        <row r="4873">
          <cell r="A4873" t="str">
            <v>450340</v>
          </cell>
          <cell r="B4873" t="str">
            <v>1254</v>
          </cell>
          <cell r="C4873" t="str">
            <v>12</v>
          </cell>
          <cell r="D4873" t="str">
            <v>59</v>
          </cell>
          <cell r="E4873">
            <v>30</v>
          </cell>
          <cell r="G4873">
            <v>4330</v>
          </cell>
          <cell r="H4873">
            <v>0</v>
          </cell>
          <cell r="I4873">
            <v>0</v>
          </cell>
          <cell r="J4873">
            <v>0</v>
          </cell>
          <cell r="K4873">
            <v>4330</v>
          </cell>
          <cell r="L4873">
            <v>0</v>
          </cell>
          <cell r="M4873">
            <v>3219</v>
          </cell>
          <cell r="N4873">
            <v>0</v>
          </cell>
          <cell r="O4873">
            <v>1111</v>
          </cell>
          <cell r="P4873">
            <v>0</v>
          </cell>
          <cell r="Q4873">
            <v>1111</v>
          </cell>
          <cell r="R4873">
            <v>0</v>
          </cell>
          <cell r="S4873">
            <v>0</v>
          </cell>
          <cell r="T4873">
            <v>0</v>
          </cell>
          <cell r="U4873">
            <v>0</v>
          </cell>
          <cell r="V4873">
            <v>0</v>
          </cell>
          <cell r="W4873">
            <v>0</v>
          </cell>
        </row>
        <row r="4874">
          <cell r="A4874" t="str">
            <v>450340</v>
          </cell>
          <cell r="B4874" t="str">
            <v>1254</v>
          </cell>
          <cell r="C4874" t="str">
            <v>12</v>
          </cell>
          <cell r="D4874" t="str">
            <v>59</v>
          </cell>
          <cell r="E4874">
            <v>31</v>
          </cell>
          <cell r="G4874">
            <v>695</v>
          </cell>
          <cell r="H4874">
            <v>0</v>
          </cell>
          <cell r="I4874">
            <v>3122</v>
          </cell>
          <cell r="J4874">
            <v>0</v>
          </cell>
          <cell r="K4874">
            <v>3817</v>
          </cell>
          <cell r="L4874">
            <v>0</v>
          </cell>
          <cell r="M4874">
            <v>695</v>
          </cell>
          <cell r="N4874">
            <v>0</v>
          </cell>
          <cell r="O4874">
            <v>0</v>
          </cell>
          <cell r="P4874">
            <v>3122</v>
          </cell>
          <cell r="Q4874">
            <v>3122</v>
          </cell>
          <cell r="R4874">
            <v>0</v>
          </cell>
          <cell r="S4874">
            <v>0</v>
          </cell>
          <cell r="T4874">
            <v>0</v>
          </cell>
          <cell r="U4874">
            <v>0</v>
          </cell>
          <cell r="V4874">
            <v>0</v>
          </cell>
          <cell r="W4874">
            <v>0</v>
          </cell>
        </row>
        <row r="4875">
          <cell r="A4875" t="str">
            <v>450340</v>
          </cell>
          <cell r="B4875" t="str">
            <v>1254</v>
          </cell>
          <cell r="C4875" t="str">
            <v>12</v>
          </cell>
          <cell r="D4875" t="str">
            <v>59</v>
          </cell>
          <cell r="E4875">
            <v>32</v>
          </cell>
          <cell r="G4875">
            <v>53</v>
          </cell>
          <cell r="H4875">
            <v>0</v>
          </cell>
          <cell r="I4875">
            <v>0</v>
          </cell>
          <cell r="J4875">
            <v>0</v>
          </cell>
          <cell r="K4875">
            <v>53</v>
          </cell>
          <cell r="L4875">
            <v>0</v>
          </cell>
          <cell r="M4875">
            <v>53</v>
          </cell>
          <cell r="N4875">
            <v>0</v>
          </cell>
          <cell r="O4875">
            <v>0</v>
          </cell>
          <cell r="P4875">
            <v>0</v>
          </cell>
          <cell r="Q4875">
            <v>0</v>
          </cell>
          <cell r="R4875">
            <v>0</v>
          </cell>
          <cell r="S4875">
            <v>0</v>
          </cell>
          <cell r="T4875">
            <v>0</v>
          </cell>
          <cell r="U4875">
            <v>0</v>
          </cell>
          <cell r="V4875">
            <v>0</v>
          </cell>
          <cell r="W4875">
            <v>0</v>
          </cell>
        </row>
        <row r="4876">
          <cell r="A4876" t="str">
            <v>450340</v>
          </cell>
          <cell r="B4876" t="str">
            <v>1254</v>
          </cell>
          <cell r="C4876" t="str">
            <v>12</v>
          </cell>
          <cell r="D4876" t="str">
            <v>59</v>
          </cell>
          <cell r="E4876">
            <v>33</v>
          </cell>
          <cell r="G4876">
            <v>0</v>
          </cell>
          <cell r="H4876">
            <v>2203</v>
          </cell>
          <cell r="I4876">
            <v>1505</v>
          </cell>
          <cell r="J4876">
            <v>0</v>
          </cell>
          <cell r="K4876">
            <v>3708</v>
          </cell>
          <cell r="L4876">
            <v>0</v>
          </cell>
          <cell r="M4876">
            <v>0</v>
          </cell>
          <cell r="N4876">
            <v>3708</v>
          </cell>
          <cell r="O4876">
            <v>0</v>
          </cell>
          <cell r="P4876">
            <v>0</v>
          </cell>
          <cell r="Q4876">
            <v>0</v>
          </cell>
          <cell r="R4876">
            <v>0</v>
          </cell>
          <cell r="S4876">
            <v>0</v>
          </cell>
          <cell r="T4876">
            <v>0</v>
          </cell>
          <cell r="U4876">
            <v>0</v>
          </cell>
          <cell r="V4876">
            <v>0</v>
          </cell>
          <cell r="W4876">
            <v>0</v>
          </cell>
        </row>
        <row r="4877">
          <cell r="A4877" t="str">
            <v>450340</v>
          </cell>
          <cell r="B4877" t="str">
            <v>1254</v>
          </cell>
          <cell r="C4877" t="str">
            <v>12</v>
          </cell>
          <cell r="D4877" t="str">
            <v>59</v>
          </cell>
          <cell r="E4877">
            <v>34</v>
          </cell>
          <cell r="G4877">
            <v>1469461</v>
          </cell>
          <cell r="H4877">
            <v>2203</v>
          </cell>
          <cell r="I4877">
            <v>2137347</v>
          </cell>
          <cell r="J4877">
            <v>0</v>
          </cell>
          <cell r="K4877">
            <v>3609011</v>
          </cell>
          <cell r="L4877">
            <v>32329</v>
          </cell>
          <cell r="M4877">
            <v>410754</v>
          </cell>
          <cell r="N4877">
            <v>1587853</v>
          </cell>
          <cell r="O4877">
            <v>1008830</v>
          </cell>
          <cell r="P4877">
            <v>569245</v>
          </cell>
          <cell r="Q4877">
            <v>1578075</v>
          </cell>
          <cell r="R4877">
            <v>0</v>
          </cell>
          <cell r="S4877">
            <v>0</v>
          </cell>
          <cell r="T4877">
            <v>0</v>
          </cell>
          <cell r="U4877">
            <v>0</v>
          </cell>
          <cell r="V4877">
            <v>0</v>
          </cell>
          <cell r="W4877">
            <v>0</v>
          </cell>
        </row>
        <row r="4878">
          <cell r="A4878" t="str">
            <v>450340</v>
          </cell>
          <cell r="B4878" t="str">
            <v>1254</v>
          </cell>
          <cell r="C4878" t="str">
            <v>12</v>
          </cell>
          <cell r="D4878" t="str">
            <v>26</v>
          </cell>
          <cell r="E4878">
            <v>1</v>
          </cell>
          <cell r="G4878">
            <v>751164</v>
          </cell>
          <cell r="H4878">
            <v>0</v>
          </cell>
          <cell r="I4878">
            <v>0</v>
          </cell>
          <cell r="J4878">
            <v>588</v>
          </cell>
          <cell r="K4878">
            <v>133</v>
          </cell>
          <cell r="L4878">
            <v>0</v>
          </cell>
          <cell r="M4878">
            <v>292</v>
          </cell>
          <cell r="N4878">
            <v>0</v>
          </cell>
          <cell r="O4878">
            <v>0</v>
          </cell>
          <cell r="P4878">
            <v>0</v>
          </cell>
          <cell r="Q4878">
            <v>0</v>
          </cell>
          <cell r="R4878">
            <v>0</v>
          </cell>
          <cell r="S4878">
            <v>0</v>
          </cell>
          <cell r="T4878">
            <v>0</v>
          </cell>
          <cell r="U4878">
            <v>1013</v>
          </cell>
          <cell r="V4878">
            <v>1</v>
          </cell>
          <cell r="W4878">
            <v>0</v>
          </cell>
        </row>
        <row r="4879">
          <cell r="A4879" t="str">
            <v>450340</v>
          </cell>
          <cell r="B4879" t="str">
            <v>1254</v>
          </cell>
          <cell r="C4879" t="str">
            <v>12</v>
          </cell>
          <cell r="D4879" t="str">
            <v>26</v>
          </cell>
          <cell r="E4879">
            <v>17</v>
          </cell>
          <cell r="G4879">
            <v>751164</v>
          </cell>
          <cell r="H4879">
            <v>150</v>
          </cell>
          <cell r="I4879">
            <v>0</v>
          </cell>
          <cell r="J4879">
            <v>0</v>
          </cell>
          <cell r="K4879">
            <v>0</v>
          </cell>
          <cell r="L4879">
            <v>0</v>
          </cell>
          <cell r="M4879">
            <v>800</v>
          </cell>
          <cell r="N4879">
            <v>0</v>
          </cell>
          <cell r="O4879">
            <v>0</v>
          </cell>
          <cell r="P4879">
            <v>446</v>
          </cell>
          <cell r="Q4879">
            <v>0</v>
          </cell>
          <cell r="R4879">
            <v>1397</v>
          </cell>
          <cell r="S4879">
            <v>0</v>
          </cell>
          <cell r="T4879">
            <v>0</v>
          </cell>
          <cell r="U4879">
            <v>0</v>
          </cell>
          <cell r="V4879">
            <v>0</v>
          </cell>
          <cell r="W4879">
            <v>0</v>
          </cell>
        </row>
        <row r="4880">
          <cell r="A4880" t="str">
            <v>450340</v>
          </cell>
          <cell r="B4880" t="str">
            <v>1254</v>
          </cell>
          <cell r="C4880" t="str">
            <v>12</v>
          </cell>
          <cell r="D4880" t="str">
            <v>26</v>
          </cell>
          <cell r="E4880">
            <v>1</v>
          </cell>
          <cell r="G4880">
            <v>999999</v>
          </cell>
          <cell r="H4880">
            <v>0</v>
          </cell>
          <cell r="I4880">
            <v>0</v>
          </cell>
          <cell r="J4880">
            <v>588</v>
          </cell>
          <cell r="K4880">
            <v>133</v>
          </cell>
          <cell r="L4880">
            <v>0</v>
          </cell>
          <cell r="M4880">
            <v>292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1013</v>
          </cell>
          <cell r="V4880">
            <v>1</v>
          </cell>
          <cell r="W4880">
            <v>0</v>
          </cell>
        </row>
        <row r="4881">
          <cell r="A4881" t="str">
            <v>450340</v>
          </cell>
          <cell r="B4881" t="str">
            <v>1254</v>
          </cell>
          <cell r="C4881" t="str">
            <v>12</v>
          </cell>
          <cell r="D4881" t="str">
            <v>26</v>
          </cell>
          <cell r="E4881">
            <v>17</v>
          </cell>
          <cell r="G4881">
            <v>999999</v>
          </cell>
          <cell r="H4881">
            <v>150</v>
          </cell>
          <cell r="I4881">
            <v>0</v>
          </cell>
          <cell r="J4881">
            <v>0</v>
          </cell>
          <cell r="K4881">
            <v>0</v>
          </cell>
          <cell r="L4881">
            <v>0</v>
          </cell>
          <cell r="M4881">
            <v>800</v>
          </cell>
          <cell r="N4881">
            <v>0</v>
          </cell>
          <cell r="O4881">
            <v>0</v>
          </cell>
          <cell r="P4881">
            <v>446</v>
          </cell>
          <cell r="Q4881">
            <v>0</v>
          </cell>
          <cell r="R4881">
            <v>1397</v>
          </cell>
          <cell r="S4881">
            <v>0</v>
          </cell>
          <cell r="T4881">
            <v>0</v>
          </cell>
          <cell r="U4881">
            <v>0</v>
          </cell>
          <cell r="V4881">
            <v>0</v>
          </cell>
          <cell r="W4881">
            <v>0</v>
          </cell>
        </row>
        <row r="4882">
          <cell r="A4882" t="str">
            <v>450340</v>
          </cell>
          <cell r="B4882" t="str">
            <v>1254</v>
          </cell>
          <cell r="C4882" t="str">
            <v>12</v>
          </cell>
          <cell r="D4882" t="str">
            <v>57</v>
          </cell>
          <cell r="E4882">
            <v>1</v>
          </cell>
          <cell r="G4882">
            <v>0</v>
          </cell>
          <cell r="H4882">
            <v>0</v>
          </cell>
          <cell r="I4882">
            <v>0</v>
          </cell>
          <cell r="J4882">
            <v>0</v>
          </cell>
          <cell r="K4882">
            <v>0</v>
          </cell>
          <cell r="L4882">
            <v>0</v>
          </cell>
          <cell r="M4882">
            <v>0</v>
          </cell>
          <cell r="N4882">
            <v>0</v>
          </cell>
          <cell r="O4882">
            <v>0</v>
          </cell>
          <cell r="P4882">
            <v>0</v>
          </cell>
          <cell r="Q4882">
            <v>0</v>
          </cell>
          <cell r="R4882">
            <v>0</v>
          </cell>
          <cell r="S4882">
            <v>0</v>
          </cell>
          <cell r="T4882">
            <v>0</v>
          </cell>
          <cell r="U4882">
            <v>0</v>
          </cell>
          <cell r="V4882">
            <v>0</v>
          </cell>
          <cell r="W4882">
            <v>0</v>
          </cell>
        </row>
        <row r="4883">
          <cell r="A4883" t="str">
            <v>450340</v>
          </cell>
          <cell r="B4883" t="str">
            <v>1254</v>
          </cell>
          <cell r="C4883" t="str">
            <v>12</v>
          </cell>
          <cell r="D4883" t="str">
            <v>57</v>
          </cell>
          <cell r="E4883">
            <v>3</v>
          </cell>
          <cell r="G4883">
            <v>144115</v>
          </cell>
          <cell r="H4883">
            <v>17267</v>
          </cell>
          <cell r="I4883">
            <v>15082</v>
          </cell>
          <cell r="J4883">
            <v>0</v>
          </cell>
          <cell r="K4883">
            <v>140295</v>
          </cell>
          <cell r="L4883">
            <v>32349</v>
          </cell>
          <cell r="M4883">
            <v>0</v>
          </cell>
          <cell r="N4883">
            <v>0</v>
          </cell>
          <cell r="O4883">
            <v>0</v>
          </cell>
          <cell r="P4883">
            <v>0</v>
          </cell>
          <cell r="Q4883">
            <v>0</v>
          </cell>
          <cell r="R4883">
            <v>0</v>
          </cell>
          <cell r="S4883">
            <v>0</v>
          </cell>
          <cell r="T4883">
            <v>0</v>
          </cell>
          <cell r="U4883">
            <v>0</v>
          </cell>
          <cell r="V4883">
            <v>0</v>
          </cell>
          <cell r="W4883">
            <v>0</v>
          </cell>
        </row>
        <row r="4884">
          <cell r="A4884" t="str">
            <v>450340</v>
          </cell>
          <cell r="B4884" t="str">
            <v>1254</v>
          </cell>
          <cell r="C4884" t="str">
            <v>12</v>
          </cell>
          <cell r="D4884" t="str">
            <v>57</v>
          </cell>
          <cell r="E4884">
            <v>5</v>
          </cell>
          <cell r="G4884">
            <v>108354</v>
          </cell>
          <cell r="H4884">
            <v>0</v>
          </cell>
          <cell r="I4884">
            <v>0</v>
          </cell>
          <cell r="J4884">
            <v>0</v>
          </cell>
          <cell r="K4884">
            <v>81468</v>
          </cell>
          <cell r="L4884">
            <v>0</v>
          </cell>
          <cell r="M4884">
            <v>0</v>
          </cell>
          <cell r="N4884">
            <v>0</v>
          </cell>
          <cell r="O4884">
            <v>0</v>
          </cell>
          <cell r="P4884">
            <v>0</v>
          </cell>
          <cell r="Q4884">
            <v>0</v>
          </cell>
          <cell r="R4884">
            <v>0</v>
          </cell>
          <cell r="S4884">
            <v>0</v>
          </cell>
          <cell r="T4884">
            <v>0</v>
          </cell>
          <cell r="U4884">
            <v>0</v>
          </cell>
          <cell r="V4884">
            <v>0</v>
          </cell>
          <cell r="W4884">
            <v>0</v>
          </cell>
        </row>
        <row r="4885">
          <cell r="A4885" t="str">
            <v>450340</v>
          </cell>
          <cell r="B4885" t="str">
            <v>1254</v>
          </cell>
          <cell r="C4885" t="str">
            <v>12</v>
          </cell>
          <cell r="D4885" t="str">
            <v>57</v>
          </cell>
          <cell r="E4885">
            <v>7</v>
          </cell>
          <cell r="G4885">
            <v>252469</v>
          </cell>
          <cell r="H4885">
            <v>17267</v>
          </cell>
          <cell r="I4885">
            <v>15082</v>
          </cell>
          <cell r="J4885">
            <v>0</v>
          </cell>
          <cell r="K4885">
            <v>221763</v>
          </cell>
          <cell r="L4885">
            <v>32349</v>
          </cell>
          <cell r="M4885">
            <v>0</v>
          </cell>
          <cell r="N4885">
            <v>0</v>
          </cell>
          <cell r="O4885">
            <v>0</v>
          </cell>
          <cell r="P4885">
            <v>0</v>
          </cell>
          <cell r="Q4885">
            <v>0</v>
          </cell>
          <cell r="R4885">
            <v>0</v>
          </cell>
          <cell r="S4885">
            <v>0</v>
          </cell>
          <cell r="T4885">
            <v>0</v>
          </cell>
          <cell r="U4885">
            <v>0</v>
          </cell>
          <cell r="V4885">
            <v>0</v>
          </cell>
          <cell r="W4885">
            <v>0</v>
          </cell>
        </row>
        <row r="4886">
          <cell r="A4886" t="str">
            <v>450340</v>
          </cell>
          <cell r="B4886" t="str">
            <v>1254</v>
          </cell>
          <cell r="C4886" t="str">
            <v>12</v>
          </cell>
          <cell r="D4886" t="str">
            <v>57</v>
          </cell>
          <cell r="E4886">
            <v>9</v>
          </cell>
          <cell r="G4886">
            <v>42687</v>
          </cell>
          <cell r="H4886">
            <v>0</v>
          </cell>
          <cell r="I4886">
            <v>0</v>
          </cell>
          <cell r="J4886">
            <v>0</v>
          </cell>
          <cell r="K4886">
            <v>46283</v>
          </cell>
          <cell r="L4886">
            <v>0</v>
          </cell>
          <cell r="M4886">
            <v>54840</v>
          </cell>
          <cell r="N4886">
            <v>25951</v>
          </cell>
          <cell r="O4886">
            <v>5143</v>
          </cell>
          <cell r="P4886">
            <v>0</v>
          </cell>
          <cell r="Q4886">
            <v>63163</v>
          </cell>
          <cell r="R4886">
            <v>31094</v>
          </cell>
          <cell r="S4886">
            <v>0</v>
          </cell>
          <cell r="T4886">
            <v>0</v>
          </cell>
          <cell r="U4886">
            <v>0</v>
          </cell>
          <cell r="V4886">
            <v>0</v>
          </cell>
          <cell r="W4886">
            <v>0</v>
          </cell>
        </row>
        <row r="4887">
          <cell r="A4887" t="str">
            <v>450340</v>
          </cell>
          <cell r="B4887" t="str">
            <v>1254</v>
          </cell>
          <cell r="C4887" t="str">
            <v>12</v>
          </cell>
          <cell r="D4887" t="str">
            <v>57</v>
          </cell>
          <cell r="E4887">
            <v>11</v>
          </cell>
          <cell r="G4887">
            <v>0</v>
          </cell>
          <cell r="H4887">
            <v>0</v>
          </cell>
          <cell r="I4887">
            <v>0</v>
          </cell>
          <cell r="J4887">
            <v>0</v>
          </cell>
          <cell r="K4887">
            <v>0</v>
          </cell>
          <cell r="L4887">
            <v>0</v>
          </cell>
          <cell r="M4887">
            <v>303</v>
          </cell>
          <cell r="N4887">
            <v>0</v>
          </cell>
          <cell r="O4887">
            <v>0</v>
          </cell>
          <cell r="P4887">
            <v>0</v>
          </cell>
          <cell r="Q4887">
            <v>3163</v>
          </cell>
          <cell r="R4887">
            <v>0</v>
          </cell>
          <cell r="S4887">
            <v>0</v>
          </cell>
          <cell r="T4887">
            <v>0</v>
          </cell>
          <cell r="U4887">
            <v>0</v>
          </cell>
          <cell r="V4887">
            <v>0</v>
          </cell>
          <cell r="W4887">
            <v>0</v>
          </cell>
        </row>
        <row r="4888">
          <cell r="A4888" t="str">
            <v>450340</v>
          </cell>
          <cell r="B4888" t="str">
            <v>1254</v>
          </cell>
          <cell r="C4888" t="str">
            <v>12</v>
          </cell>
          <cell r="D4888" t="str">
            <v>57</v>
          </cell>
          <cell r="E4888">
            <v>13</v>
          </cell>
          <cell r="G4888">
            <v>17997</v>
          </cell>
          <cell r="H4888">
            <v>0</v>
          </cell>
          <cell r="I4888">
            <v>0</v>
          </cell>
          <cell r="J4888">
            <v>0</v>
          </cell>
          <cell r="K4888">
            <v>32400</v>
          </cell>
          <cell r="L4888">
            <v>0</v>
          </cell>
          <cell r="M4888">
            <v>0</v>
          </cell>
          <cell r="N4888">
            <v>0</v>
          </cell>
          <cell r="O4888">
            <v>0</v>
          </cell>
          <cell r="P4888">
            <v>0</v>
          </cell>
          <cell r="Q4888">
            <v>0</v>
          </cell>
          <cell r="R4888">
            <v>0</v>
          </cell>
          <cell r="S4888">
            <v>0</v>
          </cell>
          <cell r="T4888">
            <v>0</v>
          </cell>
          <cell r="U4888">
            <v>0</v>
          </cell>
          <cell r="V4888">
            <v>0</v>
          </cell>
          <cell r="W4888">
            <v>0</v>
          </cell>
        </row>
        <row r="4889">
          <cell r="A4889" t="str">
            <v>450340</v>
          </cell>
          <cell r="B4889" t="str">
            <v>1254</v>
          </cell>
          <cell r="C4889" t="str">
            <v>12</v>
          </cell>
          <cell r="D4889" t="str">
            <v>57</v>
          </cell>
          <cell r="E4889">
            <v>15</v>
          </cell>
          <cell r="G4889">
            <v>0</v>
          </cell>
          <cell r="H4889">
            <v>0</v>
          </cell>
          <cell r="I4889">
            <v>0</v>
          </cell>
          <cell r="J4889">
            <v>0</v>
          </cell>
          <cell r="K4889">
            <v>0</v>
          </cell>
          <cell r="L4889">
            <v>0</v>
          </cell>
          <cell r="M4889">
            <v>115827</v>
          </cell>
          <cell r="N4889">
            <v>25951</v>
          </cell>
          <cell r="O4889">
            <v>5143</v>
          </cell>
          <cell r="P4889">
            <v>0</v>
          </cell>
          <cell r="Q4889">
            <v>145009</v>
          </cell>
          <cell r="R4889">
            <v>31094</v>
          </cell>
          <cell r="S4889">
            <v>0</v>
          </cell>
          <cell r="T4889">
            <v>0</v>
          </cell>
          <cell r="U4889">
            <v>0</v>
          </cell>
          <cell r="V4889">
            <v>0</v>
          </cell>
          <cell r="W4889">
            <v>0</v>
          </cell>
        </row>
        <row r="4890">
          <cell r="A4890" t="str">
            <v>450340</v>
          </cell>
          <cell r="B4890" t="str">
            <v>1254</v>
          </cell>
          <cell r="C4890" t="str">
            <v>12</v>
          </cell>
          <cell r="D4890" t="str">
            <v>57</v>
          </cell>
          <cell r="E4890">
            <v>17</v>
          </cell>
          <cell r="G4890">
            <v>368296</v>
          </cell>
          <cell r="H4890">
            <v>43218</v>
          </cell>
          <cell r="I4890">
            <v>20225</v>
          </cell>
          <cell r="J4890">
            <v>0</v>
          </cell>
          <cell r="K4890">
            <v>366772</v>
          </cell>
          <cell r="L4890">
            <v>63443</v>
          </cell>
          <cell r="M4890">
            <v>0</v>
          </cell>
          <cell r="N4890">
            <v>0</v>
          </cell>
          <cell r="O4890">
            <v>0</v>
          </cell>
          <cell r="P4890">
            <v>0</v>
          </cell>
          <cell r="Q4890">
            <v>0</v>
          </cell>
          <cell r="R4890">
            <v>0</v>
          </cell>
          <cell r="S4890">
            <v>0</v>
          </cell>
          <cell r="T4890">
            <v>0</v>
          </cell>
          <cell r="U4890">
            <v>0</v>
          </cell>
          <cell r="V4890">
            <v>0</v>
          </cell>
          <cell r="W4890">
            <v>0</v>
          </cell>
        </row>
        <row r="4891">
          <cell r="A4891" t="str">
            <v>450340</v>
          </cell>
          <cell r="B4891" t="str">
            <v>1254</v>
          </cell>
          <cell r="C4891" t="str">
            <v>12</v>
          </cell>
          <cell r="D4891" t="str">
            <v>56</v>
          </cell>
          <cell r="E4891">
            <v>1</v>
          </cell>
          <cell r="G4891">
            <v>0</v>
          </cell>
          <cell r="H4891">
            <v>0</v>
          </cell>
          <cell r="I4891">
            <v>0</v>
          </cell>
          <cell r="J4891">
            <v>0</v>
          </cell>
          <cell r="K4891">
            <v>0</v>
          </cell>
          <cell r="L4891">
            <v>0</v>
          </cell>
          <cell r="M4891">
            <v>0</v>
          </cell>
          <cell r="N4891">
            <v>0</v>
          </cell>
          <cell r="O4891">
            <v>0</v>
          </cell>
          <cell r="P4891">
            <v>0</v>
          </cell>
          <cell r="Q4891">
            <v>0</v>
          </cell>
          <cell r="R4891">
            <v>0</v>
          </cell>
          <cell r="S4891">
            <v>175688</v>
          </cell>
          <cell r="T4891">
            <v>216982</v>
          </cell>
          <cell r="U4891">
            <v>0</v>
          </cell>
          <cell r="V4891">
            <v>0</v>
          </cell>
          <cell r="W4891">
            <v>0</v>
          </cell>
        </row>
        <row r="4892">
          <cell r="A4892" t="str">
            <v>450340</v>
          </cell>
          <cell r="B4892" t="str">
            <v>1254</v>
          </cell>
          <cell r="C4892" t="str">
            <v>12</v>
          </cell>
          <cell r="D4892" t="str">
            <v>56</v>
          </cell>
          <cell r="E4892">
            <v>6</v>
          </cell>
          <cell r="G4892">
            <v>0</v>
          </cell>
          <cell r="H4892">
            <v>0</v>
          </cell>
          <cell r="I4892">
            <v>0</v>
          </cell>
          <cell r="J4892">
            <v>0</v>
          </cell>
          <cell r="K4892">
            <v>0</v>
          </cell>
          <cell r="L4892">
            <v>0</v>
          </cell>
          <cell r="M4892">
            <v>0</v>
          </cell>
          <cell r="N4892">
            <v>0</v>
          </cell>
          <cell r="O4892">
            <v>0</v>
          </cell>
          <cell r="P4892">
            <v>175688</v>
          </cell>
          <cell r="Q4892">
            <v>216982</v>
          </cell>
          <cell r="R4892">
            <v>0</v>
          </cell>
          <cell r="S4892">
            <v>0</v>
          </cell>
          <cell r="T4892">
            <v>0</v>
          </cell>
          <cell r="U4892">
            <v>0</v>
          </cell>
          <cell r="V4892">
            <v>0</v>
          </cell>
          <cell r="W4892">
            <v>0</v>
          </cell>
        </row>
        <row r="4893">
          <cell r="A4893" t="str">
            <v>450340</v>
          </cell>
          <cell r="B4893" t="str">
            <v>1254</v>
          </cell>
          <cell r="C4893" t="str">
            <v>12</v>
          </cell>
          <cell r="D4893" t="str">
            <v>44</v>
          </cell>
          <cell r="E4893">
            <v>1</v>
          </cell>
          <cell r="G4893">
            <v>0</v>
          </cell>
          <cell r="H4893">
            <v>0</v>
          </cell>
          <cell r="I4893">
            <v>0</v>
          </cell>
          <cell r="J4893">
            <v>0</v>
          </cell>
          <cell r="K4893">
            <v>0</v>
          </cell>
          <cell r="L4893">
            <v>0</v>
          </cell>
          <cell r="M4893">
            <v>0</v>
          </cell>
          <cell r="N4893">
            <v>0</v>
          </cell>
          <cell r="O4893">
            <v>0</v>
          </cell>
          <cell r="P4893">
            <v>0</v>
          </cell>
          <cell r="Q4893">
            <v>0</v>
          </cell>
          <cell r="R4893">
            <v>0</v>
          </cell>
          <cell r="S4893">
            <v>0</v>
          </cell>
          <cell r="T4893">
            <v>0</v>
          </cell>
          <cell r="U4893">
            <v>0</v>
          </cell>
          <cell r="V4893">
            <v>0</v>
          </cell>
          <cell r="W4893">
            <v>0</v>
          </cell>
        </row>
        <row r="4894">
          <cell r="A4894" t="str">
            <v>450340</v>
          </cell>
          <cell r="B4894" t="str">
            <v>1254</v>
          </cell>
          <cell r="C4894" t="str">
            <v>12</v>
          </cell>
          <cell r="D4894" t="str">
            <v>44</v>
          </cell>
          <cell r="E4894">
            <v>2</v>
          </cell>
          <cell r="G4894">
            <v>0</v>
          </cell>
          <cell r="H4894">
            <v>0</v>
          </cell>
          <cell r="I4894">
            <v>0</v>
          </cell>
          <cell r="J4894">
            <v>0</v>
          </cell>
          <cell r="K4894">
            <v>0</v>
          </cell>
          <cell r="L4894">
            <v>0</v>
          </cell>
          <cell r="M4894">
            <v>0</v>
          </cell>
          <cell r="N4894">
            <v>0</v>
          </cell>
          <cell r="O4894">
            <v>0</v>
          </cell>
          <cell r="P4894">
            <v>0</v>
          </cell>
          <cell r="Q4894">
            <v>0</v>
          </cell>
          <cell r="R4894">
            <v>0</v>
          </cell>
          <cell r="S4894">
            <v>0</v>
          </cell>
          <cell r="T4894">
            <v>0</v>
          </cell>
          <cell r="U4894">
            <v>0</v>
          </cell>
          <cell r="V4894">
            <v>0</v>
          </cell>
          <cell r="W4894">
            <v>0</v>
          </cell>
        </row>
        <row r="4895">
          <cell r="A4895" t="str">
            <v>450340</v>
          </cell>
          <cell r="B4895" t="str">
            <v>1254</v>
          </cell>
          <cell r="C4895" t="str">
            <v>12</v>
          </cell>
          <cell r="D4895" t="str">
            <v>44</v>
          </cell>
          <cell r="E4895">
            <v>3</v>
          </cell>
          <cell r="G4895">
            <v>0</v>
          </cell>
          <cell r="H4895">
            <v>0</v>
          </cell>
          <cell r="I4895">
            <v>0</v>
          </cell>
          <cell r="J4895">
            <v>0</v>
          </cell>
          <cell r="K4895">
            <v>0</v>
          </cell>
          <cell r="L4895">
            <v>0</v>
          </cell>
          <cell r="M4895">
            <v>0</v>
          </cell>
          <cell r="N4895">
            <v>0</v>
          </cell>
          <cell r="O4895">
            <v>0</v>
          </cell>
          <cell r="P4895">
            <v>0</v>
          </cell>
          <cell r="Q4895">
            <v>0</v>
          </cell>
          <cell r="R4895">
            <v>0</v>
          </cell>
          <cell r="S4895">
            <v>0</v>
          </cell>
          <cell r="T4895">
            <v>0</v>
          </cell>
          <cell r="U4895">
            <v>0</v>
          </cell>
          <cell r="V4895">
            <v>0</v>
          </cell>
          <cell r="W4895">
            <v>0</v>
          </cell>
        </row>
        <row r="4896">
          <cell r="A4896" t="str">
            <v>450340</v>
          </cell>
          <cell r="B4896" t="str">
            <v>1254</v>
          </cell>
          <cell r="C4896" t="str">
            <v>12</v>
          </cell>
          <cell r="D4896" t="str">
            <v>44</v>
          </cell>
          <cell r="E4896">
            <v>4</v>
          </cell>
          <cell r="G4896">
            <v>25123</v>
          </cell>
          <cell r="H4896">
            <v>28123</v>
          </cell>
          <cell r="I4896">
            <v>28123</v>
          </cell>
          <cell r="J4896">
            <v>13123</v>
          </cell>
          <cell r="K4896">
            <v>13123</v>
          </cell>
          <cell r="L4896">
            <v>17260</v>
          </cell>
          <cell r="M4896">
            <v>99752</v>
          </cell>
          <cell r="N4896">
            <v>124875</v>
          </cell>
          <cell r="O4896">
            <v>0</v>
          </cell>
          <cell r="P4896">
            <v>0</v>
          </cell>
          <cell r="Q4896">
            <v>0</v>
          </cell>
          <cell r="R4896">
            <v>0</v>
          </cell>
          <cell r="S4896">
            <v>0</v>
          </cell>
          <cell r="T4896">
            <v>0</v>
          </cell>
          <cell r="U4896">
            <v>0</v>
          </cell>
          <cell r="V4896">
            <v>0</v>
          </cell>
          <cell r="W4896">
            <v>0</v>
          </cell>
        </row>
        <row r="4897">
          <cell r="A4897" t="str">
            <v>450340</v>
          </cell>
          <cell r="B4897" t="str">
            <v>1254</v>
          </cell>
          <cell r="C4897" t="str">
            <v>12</v>
          </cell>
          <cell r="D4897" t="str">
            <v>44</v>
          </cell>
          <cell r="E4897">
            <v>5</v>
          </cell>
          <cell r="G4897">
            <v>0</v>
          </cell>
          <cell r="H4897">
            <v>0</v>
          </cell>
          <cell r="I4897">
            <v>0</v>
          </cell>
          <cell r="J4897">
            <v>0</v>
          </cell>
          <cell r="K4897">
            <v>0</v>
          </cell>
          <cell r="L4897">
            <v>0</v>
          </cell>
          <cell r="M4897">
            <v>0</v>
          </cell>
          <cell r="N4897">
            <v>0</v>
          </cell>
          <cell r="O4897">
            <v>0</v>
          </cell>
          <cell r="P4897">
            <v>0</v>
          </cell>
          <cell r="Q4897">
            <v>0</v>
          </cell>
          <cell r="R4897">
            <v>0</v>
          </cell>
          <cell r="S4897">
            <v>0</v>
          </cell>
          <cell r="T4897">
            <v>0</v>
          </cell>
          <cell r="U4897">
            <v>0</v>
          </cell>
          <cell r="V4897">
            <v>0</v>
          </cell>
          <cell r="W4897">
            <v>0</v>
          </cell>
        </row>
        <row r="4898">
          <cell r="A4898" t="str">
            <v>450340</v>
          </cell>
          <cell r="B4898" t="str">
            <v>1254</v>
          </cell>
          <cell r="C4898" t="str">
            <v>12</v>
          </cell>
          <cell r="D4898" t="str">
            <v>44</v>
          </cell>
          <cell r="E4898">
            <v>6</v>
          </cell>
          <cell r="G4898">
            <v>1111</v>
          </cell>
          <cell r="H4898">
            <v>1238</v>
          </cell>
          <cell r="I4898">
            <v>548</v>
          </cell>
          <cell r="J4898">
            <v>1154</v>
          </cell>
          <cell r="K4898">
            <v>0</v>
          </cell>
          <cell r="L4898">
            <v>907640</v>
          </cell>
          <cell r="M4898">
            <v>910580</v>
          </cell>
          <cell r="N4898">
            <v>911691</v>
          </cell>
          <cell r="O4898">
            <v>0</v>
          </cell>
          <cell r="P4898">
            <v>0</v>
          </cell>
          <cell r="Q4898">
            <v>0</v>
          </cell>
          <cell r="R4898">
            <v>0</v>
          </cell>
          <cell r="S4898">
            <v>0</v>
          </cell>
          <cell r="T4898">
            <v>0</v>
          </cell>
          <cell r="U4898">
            <v>0</v>
          </cell>
          <cell r="V4898">
            <v>0</v>
          </cell>
          <cell r="W4898">
            <v>0</v>
          </cell>
        </row>
        <row r="4899">
          <cell r="A4899" t="str">
            <v>450340</v>
          </cell>
          <cell r="B4899" t="str">
            <v>1254</v>
          </cell>
          <cell r="C4899" t="str">
            <v>12</v>
          </cell>
          <cell r="D4899" t="str">
            <v>44</v>
          </cell>
          <cell r="E4899">
            <v>7</v>
          </cell>
          <cell r="G4899">
            <v>26234</v>
          </cell>
          <cell r="H4899">
            <v>29361</v>
          </cell>
          <cell r="I4899">
            <v>28671</v>
          </cell>
          <cell r="J4899">
            <v>14277</v>
          </cell>
          <cell r="K4899">
            <v>13123</v>
          </cell>
          <cell r="L4899">
            <v>924900</v>
          </cell>
          <cell r="M4899">
            <v>1010332</v>
          </cell>
          <cell r="N4899">
            <v>1036566</v>
          </cell>
          <cell r="O4899">
            <v>0</v>
          </cell>
          <cell r="P4899">
            <v>0</v>
          </cell>
          <cell r="Q4899">
            <v>0</v>
          </cell>
          <cell r="R4899">
            <v>0</v>
          </cell>
          <cell r="S4899">
            <v>0</v>
          </cell>
          <cell r="T4899">
            <v>0</v>
          </cell>
          <cell r="U4899">
            <v>0</v>
          </cell>
          <cell r="V4899">
            <v>0</v>
          </cell>
          <cell r="W4899">
            <v>0</v>
          </cell>
        </row>
        <row r="4900">
          <cell r="A4900" t="str">
            <v>450340</v>
          </cell>
          <cell r="B4900" t="str">
            <v>1254</v>
          </cell>
          <cell r="C4900" t="str">
            <v>12</v>
          </cell>
          <cell r="D4900" t="str">
            <v>53</v>
          </cell>
          <cell r="E4900">
            <v>1</v>
          </cell>
          <cell r="G4900">
            <v>2393</v>
          </cell>
          <cell r="H4900">
            <v>45</v>
          </cell>
          <cell r="I4900">
            <v>0</v>
          </cell>
          <cell r="J4900">
            <v>0</v>
          </cell>
          <cell r="K4900">
            <v>0</v>
          </cell>
          <cell r="L4900">
            <v>0</v>
          </cell>
          <cell r="M4900">
            <v>0</v>
          </cell>
          <cell r="N4900">
            <v>0</v>
          </cell>
          <cell r="O4900">
            <v>0</v>
          </cell>
          <cell r="P4900">
            <v>0</v>
          </cell>
          <cell r="Q4900">
            <v>0</v>
          </cell>
          <cell r="R4900">
            <v>0</v>
          </cell>
          <cell r="S4900">
            <v>1055</v>
          </cell>
          <cell r="T4900">
            <v>3159</v>
          </cell>
          <cell r="U4900">
            <v>0</v>
          </cell>
          <cell r="V4900">
            <v>0</v>
          </cell>
          <cell r="W4900">
            <v>0</v>
          </cell>
        </row>
        <row r="4901">
          <cell r="A4901" t="str">
            <v>450340</v>
          </cell>
          <cell r="B4901" t="str">
            <v>1254</v>
          </cell>
          <cell r="C4901" t="str">
            <v>12</v>
          </cell>
          <cell r="D4901" t="str">
            <v>53</v>
          </cell>
          <cell r="E4901">
            <v>15</v>
          </cell>
          <cell r="G4901">
            <v>0</v>
          </cell>
          <cell r="H4901">
            <v>0</v>
          </cell>
          <cell r="I4901">
            <v>32250</v>
          </cell>
          <cell r="J4901">
            <v>25658</v>
          </cell>
          <cell r="K4901">
            <v>37037</v>
          </cell>
          <cell r="L4901">
            <v>25082</v>
          </cell>
          <cell r="M4901">
            <v>9441</v>
          </cell>
          <cell r="N4901">
            <v>7441</v>
          </cell>
          <cell r="O4901">
            <v>10988</v>
          </cell>
          <cell r="P4901">
            <v>7274</v>
          </cell>
          <cell r="Q4901">
            <v>890</v>
          </cell>
          <cell r="R4901">
            <v>776</v>
          </cell>
          <cell r="S4901">
            <v>1034</v>
          </cell>
          <cell r="T4901">
            <v>760</v>
          </cell>
          <cell r="U4901">
            <v>0</v>
          </cell>
          <cell r="V4901">
            <v>0</v>
          </cell>
          <cell r="W4901">
            <v>0</v>
          </cell>
        </row>
        <row r="4902">
          <cell r="A4902" t="str">
            <v>450340</v>
          </cell>
          <cell r="B4902" t="str">
            <v>1254</v>
          </cell>
          <cell r="C4902" t="str">
            <v>12</v>
          </cell>
          <cell r="D4902" t="str">
            <v>53</v>
          </cell>
          <cell r="E4902">
            <v>29</v>
          </cell>
          <cell r="G4902">
            <v>395</v>
          </cell>
          <cell r="H4902">
            <v>337</v>
          </cell>
          <cell r="I4902">
            <v>0</v>
          </cell>
          <cell r="J4902">
            <v>0</v>
          </cell>
          <cell r="K4902">
            <v>0</v>
          </cell>
          <cell r="L4902">
            <v>0</v>
          </cell>
          <cell r="M4902">
            <v>0</v>
          </cell>
          <cell r="N4902">
            <v>0</v>
          </cell>
          <cell r="O4902">
            <v>0</v>
          </cell>
          <cell r="P4902">
            <v>0</v>
          </cell>
          <cell r="Q4902">
            <v>0</v>
          </cell>
          <cell r="R4902">
            <v>76355</v>
          </cell>
          <cell r="S4902">
            <v>380</v>
          </cell>
          <cell r="T4902">
            <v>0</v>
          </cell>
          <cell r="U4902">
            <v>0</v>
          </cell>
          <cell r="V4902">
            <v>0</v>
          </cell>
          <cell r="W4902">
            <v>0</v>
          </cell>
        </row>
        <row r="4903">
          <cell r="A4903" t="str">
            <v>450340</v>
          </cell>
          <cell r="B4903" t="str">
            <v>1254</v>
          </cell>
          <cell r="C4903" t="str">
            <v>12</v>
          </cell>
          <cell r="D4903" t="str">
            <v>53</v>
          </cell>
          <cell r="E4903">
            <v>43</v>
          </cell>
          <cell r="G4903">
            <v>75975</v>
          </cell>
          <cell r="H4903">
            <v>0</v>
          </cell>
          <cell r="I4903">
            <v>0</v>
          </cell>
          <cell r="J4903">
            <v>0</v>
          </cell>
          <cell r="K4903">
            <v>0</v>
          </cell>
          <cell r="L4903">
            <v>0</v>
          </cell>
          <cell r="M4903">
            <v>0</v>
          </cell>
          <cell r="N4903">
            <v>0</v>
          </cell>
          <cell r="O4903">
            <v>0</v>
          </cell>
          <cell r="P4903">
            <v>0</v>
          </cell>
          <cell r="Q4903">
            <v>0</v>
          </cell>
          <cell r="R4903">
            <v>0</v>
          </cell>
          <cell r="S4903">
            <v>0</v>
          </cell>
          <cell r="T4903">
            <v>0</v>
          </cell>
          <cell r="U4903">
            <v>0</v>
          </cell>
          <cell r="V4903">
            <v>0</v>
          </cell>
          <cell r="W4903">
            <v>0</v>
          </cell>
        </row>
        <row r="4904">
          <cell r="A4904" t="str">
            <v>450340</v>
          </cell>
          <cell r="B4904" t="str">
            <v>1254</v>
          </cell>
          <cell r="C4904" t="str">
            <v>12</v>
          </cell>
          <cell r="D4904" t="str">
            <v>53</v>
          </cell>
          <cell r="E4904">
            <v>57</v>
          </cell>
          <cell r="G4904">
            <v>0</v>
          </cell>
          <cell r="H4904">
            <v>0</v>
          </cell>
          <cell r="I4904">
            <v>0</v>
          </cell>
          <cell r="J4904">
            <v>2322291</v>
          </cell>
          <cell r="K4904">
            <v>2387335</v>
          </cell>
          <cell r="L4904">
            <v>0</v>
          </cell>
          <cell r="M4904">
            <v>0</v>
          </cell>
          <cell r="N4904">
            <v>0</v>
          </cell>
          <cell r="O4904">
            <v>30261</v>
          </cell>
          <cell r="P4904">
            <v>0</v>
          </cell>
          <cell r="Q4904">
            <v>0</v>
          </cell>
          <cell r="R4904">
            <v>0</v>
          </cell>
          <cell r="S4904">
            <v>0</v>
          </cell>
          <cell r="T4904">
            <v>0</v>
          </cell>
          <cell r="U4904">
            <v>0</v>
          </cell>
          <cell r="V4904">
            <v>0</v>
          </cell>
          <cell r="W4904">
            <v>0</v>
          </cell>
        </row>
        <row r="4905">
          <cell r="A4905" t="str">
            <v>450340</v>
          </cell>
          <cell r="B4905" t="str">
            <v>1254</v>
          </cell>
          <cell r="C4905" t="str">
            <v>12</v>
          </cell>
          <cell r="D4905" t="str">
            <v>53</v>
          </cell>
          <cell r="E4905">
            <v>71</v>
          </cell>
          <cell r="G4905">
            <v>0</v>
          </cell>
          <cell r="H4905">
            <v>0</v>
          </cell>
          <cell r="I4905">
            <v>0</v>
          </cell>
          <cell r="J4905">
            <v>0</v>
          </cell>
          <cell r="K4905">
            <v>2257</v>
          </cell>
          <cell r="L4905">
            <v>24307</v>
          </cell>
          <cell r="M4905">
            <v>0</v>
          </cell>
          <cell r="N4905">
            <v>0</v>
          </cell>
          <cell r="O4905">
            <v>0</v>
          </cell>
          <cell r="P4905">
            <v>0</v>
          </cell>
          <cell r="Q4905">
            <v>0</v>
          </cell>
          <cell r="R4905">
            <v>0</v>
          </cell>
          <cell r="S4905">
            <v>0</v>
          </cell>
          <cell r="T4905">
            <v>0</v>
          </cell>
          <cell r="U4905">
            <v>0</v>
          </cell>
          <cell r="V4905">
            <v>0</v>
          </cell>
          <cell r="W4905">
            <v>0</v>
          </cell>
        </row>
        <row r="4906">
          <cell r="A4906" t="str">
            <v>450340</v>
          </cell>
          <cell r="B4906" t="str">
            <v>1254</v>
          </cell>
          <cell r="C4906" t="str">
            <v>12</v>
          </cell>
          <cell r="D4906" t="str">
            <v>55</v>
          </cell>
          <cell r="E4906">
            <v>1</v>
          </cell>
          <cell r="G4906">
            <v>481683</v>
          </cell>
          <cell r="H4906">
            <v>1</v>
          </cell>
          <cell r="I4906">
            <v>0</v>
          </cell>
          <cell r="J4906">
            <v>0</v>
          </cell>
          <cell r="K4906">
            <v>0</v>
          </cell>
          <cell r="L4906">
            <v>0</v>
          </cell>
          <cell r="M4906">
            <v>0</v>
          </cell>
          <cell r="N4906">
            <v>0</v>
          </cell>
          <cell r="O4906">
            <v>0</v>
          </cell>
          <cell r="P4906">
            <v>0</v>
          </cell>
          <cell r="Q4906">
            <v>968640</v>
          </cell>
          <cell r="R4906">
            <v>0</v>
          </cell>
          <cell r="S4906">
            <v>927943</v>
          </cell>
          <cell r="T4906">
            <v>0</v>
          </cell>
          <cell r="U4906">
            <v>0</v>
          </cell>
          <cell r="V4906">
            <v>0</v>
          </cell>
          <cell r="W4906">
            <v>0</v>
          </cell>
        </row>
        <row r="4907">
          <cell r="A4907" t="str">
            <v>450340</v>
          </cell>
          <cell r="B4907" t="str">
            <v>1254</v>
          </cell>
          <cell r="C4907" t="str">
            <v>12</v>
          </cell>
          <cell r="D4907" t="str">
            <v>55</v>
          </cell>
          <cell r="E4907">
            <v>8</v>
          </cell>
          <cell r="G4907">
            <v>0</v>
          </cell>
          <cell r="H4907">
            <v>0</v>
          </cell>
          <cell r="I4907">
            <v>494079</v>
          </cell>
          <cell r="J4907">
            <v>0</v>
          </cell>
          <cell r="K4907">
            <v>418180</v>
          </cell>
          <cell r="L4907">
            <v>0</v>
          </cell>
          <cell r="M4907">
            <v>912259</v>
          </cell>
          <cell r="N4907">
            <v>0</v>
          </cell>
          <cell r="O4907">
            <v>571808</v>
          </cell>
          <cell r="P4907">
            <v>0</v>
          </cell>
          <cell r="Q4907">
            <v>446705</v>
          </cell>
          <cell r="R4907">
            <v>0</v>
          </cell>
          <cell r="S4907">
            <v>1018513</v>
          </cell>
          <cell r="T4907">
            <v>0</v>
          </cell>
          <cell r="U4907">
            <v>0</v>
          </cell>
          <cell r="V4907">
            <v>0</v>
          </cell>
          <cell r="W4907">
            <v>0</v>
          </cell>
        </row>
        <row r="4908">
          <cell r="A4908" t="str">
            <v>450340</v>
          </cell>
          <cell r="B4908" t="str">
            <v>1254</v>
          </cell>
          <cell r="C4908" t="str">
            <v>12</v>
          </cell>
          <cell r="D4908" t="str">
            <v>55</v>
          </cell>
          <cell r="E4908">
            <v>15</v>
          </cell>
          <cell r="G4908">
            <v>0</v>
          </cell>
          <cell r="H4908">
            <v>0</v>
          </cell>
          <cell r="I4908">
            <v>0</v>
          </cell>
          <cell r="J4908">
            <v>0</v>
          </cell>
          <cell r="K4908">
            <v>0</v>
          </cell>
          <cell r="L4908">
            <v>0</v>
          </cell>
          <cell r="M4908">
            <v>2088193</v>
          </cell>
          <cell r="N4908">
            <v>0</v>
          </cell>
          <cell r="O4908">
            <v>2082056</v>
          </cell>
          <cell r="P4908">
            <v>0</v>
          </cell>
          <cell r="Q4908">
            <v>0</v>
          </cell>
          <cell r="R4908">
            <v>0</v>
          </cell>
          <cell r="S4908">
            <v>2082056</v>
          </cell>
          <cell r="T4908">
            <v>0</v>
          </cell>
          <cell r="U4908">
            <v>0</v>
          </cell>
          <cell r="V4908">
            <v>0</v>
          </cell>
          <cell r="W4908">
            <v>0</v>
          </cell>
        </row>
        <row r="4909">
          <cell r="A4909" t="str">
            <v>450340</v>
          </cell>
          <cell r="B4909" t="str">
            <v>1254</v>
          </cell>
          <cell r="C4909" t="str">
            <v>12</v>
          </cell>
          <cell r="D4909" t="str">
            <v>55</v>
          </cell>
          <cell r="E4909">
            <v>22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</row>
        <row r="4910">
          <cell r="A4910" t="str">
            <v>450340</v>
          </cell>
          <cell r="B4910" t="str">
            <v>1254</v>
          </cell>
          <cell r="C4910" t="str">
            <v>12</v>
          </cell>
          <cell r="D4910" t="str">
            <v>31</v>
          </cell>
          <cell r="E4910">
            <v>0</v>
          </cell>
          <cell r="G4910">
            <v>1030006</v>
          </cell>
          <cell r="H4910">
            <v>0</v>
          </cell>
          <cell r="I4910">
            <v>0</v>
          </cell>
          <cell r="J4910">
            <v>0</v>
          </cell>
          <cell r="K4910">
            <v>0</v>
          </cell>
          <cell r="L4910">
            <v>0</v>
          </cell>
          <cell r="M4910">
            <v>0</v>
          </cell>
          <cell r="N4910">
            <v>0</v>
          </cell>
          <cell r="O4910">
            <v>0</v>
          </cell>
          <cell r="P4910">
            <v>2</v>
          </cell>
          <cell r="Q4910">
            <v>311620</v>
          </cell>
          <cell r="R4910">
            <v>2</v>
          </cell>
          <cell r="S4910">
            <v>311620</v>
          </cell>
          <cell r="T4910">
            <v>0</v>
          </cell>
          <cell r="U4910">
            <v>0</v>
          </cell>
          <cell r="V4910">
            <v>0</v>
          </cell>
          <cell r="W4910">
            <v>0</v>
          </cell>
        </row>
        <row r="4911">
          <cell r="A4911" t="str">
            <v>450340</v>
          </cell>
          <cell r="B4911" t="str">
            <v>1254</v>
          </cell>
          <cell r="C4911" t="str">
            <v>12</v>
          </cell>
          <cell r="D4911" t="str">
            <v>31</v>
          </cell>
          <cell r="E4911">
            <v>0</v>
          </cell>
          <cell r="G4911">
            <v>1120003</v>
          </cell>
          <cell r="H4911">
            <v>0</v>
          </cell>
          <cell r="I4911">
            <v>0</v>
          </cell>
          <cell r="J4911">
            <v>0</v>
          </cell>
          <cell r="K4911">
            <v>0</v>
          </cell>
          <cell r="L4911">
            <v>0</v>
          </cell>
          <cell r="M4911">
            <v>0</v>
          </cell>
          <cell r="N4911">
            <v>0</v>
          </cell>
          <cell r="O4911">
            <v>0</v>
          </cell>
          <cell r="P4911">
            <v>13</v>
          </cell>
          <cell r="Q4911">
            <v>10595000</v>
          </cell>
          <cell r="R4911">
            <v>13</v>
          </cell>
          <cell r="S4911">
            <v>10595000</v>
          </cell>
          <cell r="T4911">
            <v>0</v>
          </cell>
          <cell r="U4911">
            <v>0</v>
          </cell>
          <cell r="V4911">
            <v>0</v>
          </cell>
          <cell r="W4911">
            <v>0</v>
          </cell>
        </row>
        <row r="4912">
          <cell r="A4912" t="str">
            <v>450340</v>
          </cell>
          <cell r="B4912" t="str">
            <v>1254</v>
          </cell>
          <cell r="C4912" t="str">
            <v>12</v>
          </cell>
          <cell r="D4912" t="str">
            <v>31</v>
          </cell>
          <cell r="E4912">
            <v>0</v>
          </cell>
          <cell r="G4912">
            <v>1160011</v>
          </cell>
          <cell r="H4912">
            <v>0</v>
          </cell>
          <cell r="I4912">
            <v>0</v>
          </cell>
          <cell r="J4912">
            <v>0</v>
          </cell>
          <cell r="K4912">
            <v>0</v>
          </cell>
          <cell r="L4912">
            <v>0</v>
          </cell>
          <cell r="M4912">
            <v>0</v>
          </cell>
          <cell r="N4912">
            <v>0</v>
          </cell>
          <cell r="O4912">
            <v>0</v>
          </cell>
          <cell r="P4912">
            <v>3</v>
          </cell>
          <cell r="Q4912">
            <v>1572000</v>
          </cell>
          <cell r="R4912">
            <v>3</v>
          </cell>
          <cell r="S4912">
            <v>1572000</v>
          </cell>
          <cell r="T4912">
            <v>0</v>
          </cell>
          <cell r="U4912">
            <v>0</v>
          </cell>
          <cell r="V4912">
            <v>0</v>
          </cell>
          <cell r="W4912">
            <v>0</v>
          </cell>
        </row>
        <row r="4913">
          <cell r="A4913" t="str">
            <v>450340</v>
          </cell>
          <cell r="B4913" t="str">
            <v>1254</v>
          </cell>
          <cell r="C4913" t="str">
            <v>12</v>
          </cell>
          <cell r="D4913" t="str">
            <v>37</v>
          </cell>
          <cell r="E4913">
            <v>0</v>
          </cell>
          <cell r="G4913">
            <v>85124201</v>
          </cell>
          <cell r="H4913">
            <v>12</v>
          </cell>
          <cell r="I4913">
            <v>0</v>
          </cell>
          <cell r="J4913">
            <v>12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0</v>
          </cell>
          <cell r="S4913">
            <v>0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</row>
        <row r="4914">
          <cell r="A4914" t="str">
            <v>450340</v>
          </cell>
          <cell r="B4914" t="str">
            <v>1254</v>
          </cell>
          <cell r="C4914" t="str">
            <v>12</v>
          </cell>
          <cell r="D4914" t="str">
            <v>37</v>
          </cell>
          <cell r="E4914">
            <v>0</v>
          </cell>
          <cell r="G4914">
            <v>85331102</v>
          </cell>
          <cell r="H4914">
            <v>0</v>
          </cell>
          <cell r="I4914">
            <v>0</v>
          </cell>
          <cell r="J4914">
            <v>360</v>
          </cell>
          <cell r="K4914">
            <v>0</v>
          </cell>
          <cell r="L4914">
            <v>0</v>
          </cell>
          <cell r="M4914">
            <v>0</v>
          </cell>
          <cell r="N4914">
            <v>0</v>
          </cell>
          <cell r="O4914">
            <v>0</v>
          </cell>
          <cell r="P4914">
            <v>0</v>
          </cell>
          <cell r="Q4914">
            <v>0</v>
          </cell>
          <cell r="R4914">
            <v>0</v>
          </cell>
          <cell r="S4914">
            <v>0</v>
          </cell>
          <cell r="T4914">
            <v>0</v>
          </cell>
          <cell r="U4914">
            <v>0</v>
          </cell>
          <cell r="V4914">
            <v>0</v>
          </cell>
          <cell r="W4914">
            <v>0</v>
          </cell>
        </row>
        <row r="4915">
          <cell r="A4915" t="str">
            <v>450340</v>
          </cell>
          <cell r="B4915" t="str">
            <v>1254</v>
          </cell>
          <cell r="C4915" t="str">
            <v>12</v>
          </cell>
          <cell r="D4915" t="str">
            <v>37</v>
          </cell>
          <cell r="E4915">
            <v>0</v>
          </cell>
          <cell r="G4915">
            <v>85332202</v>
          </cell>
          <cell r="H4915">
            <v>0</v>
          </cell>
          <cell r="I4915">
            <v>0</v>
          </cell>
          <cell r="J4915">
            <v>40</v>
          </cell>
          <cell r="K4915">
            <v>0</v>
          </cell>
          <cell r="L4915">
            <v>0</v>
          </cell>
          <cell r="M4915">
            <v>0</v>
          </cell>
          <cell r="N4915">
            <v>0</v>
          </cell>
          <cell r="O4915">
            <v>0</v>
          </cell>
          <cell r="P4915">
            <v>0</v>
          </cell>
          <cell r="Q4915">
            <v>0</v>
          </cell>
          <cell r="R4915">
            <v>0</v>
          </cell>
          <cell r="S4915">
            <v>0</v>
          </cell>
          <cell r="T4915">
            <v>0</v>
          </cell>
          <cell r="U4915">
            <v>0</v>
          </cell>
          <cell r="V4915">
            <v>0</v>
          </cell>
          <cell r="W4915">
            <v>0</v>
          </cell>
        </row>
        <row r="4916">
          <cell r="A4916" t="str">
            <v>450340</v>
          </cell>
          <cell r="B4916" t="str">
            <v>1254</v>
          </cell>
          <cell r="C4916" t="str">
            <v>12</v>
          </cell>
          <cell r="D4916" t="str">
            <v>37</v>
          </cell>
          <cell r="E4916">
            <v>0</v>
          </cell>
          <cell r="G4916">
            <v>85333302</v>
          </cell>
          <cell r="H4916">
            <v>0</v>
          </cell>
          <cell r="I4916">
            <v>0</v>
          </cell>
          <cell r="J4916">
            <v>255</v>
          </cell>
          <cell r="K4916">
            <v>0</v>
          </cell>
          <cell r="L4916">
            <v>0</v>
          </cell>
          <cell r="M4916">
            <v>0</v>
          </cell>
          <cell r="N4916">
            <v>0</v>
          </cell>
          <cell r="O4916">
            <v>0</v>
          </cell>
          <cell r="P4916">
            <v>0</v>
          </cell>
          <cell r="Q4916">
            <v>0</v>
          </cell>
          <cell r="R4916">
            <v>0</v>
          </cell>
          <cell r="S4916">
            <v>0</v>
          </cell>
          <cell r="T4916">
            <v>0</v>
          </cell>
          <cell r="U4916">
            <v>0</v>
          </cell>
          <cell r="V4916">
            <v>0</v>
          </cell>
          <cell r="W4916">
            <v>0</v>
          </cell>
        </row>
        <row r="4917">
          <cell r="A4917" t="str">
            <v>450340</v>
          </cell>
          <cell r="B4917" t="str">
            <v>1254</v>
          </cell>
          <cell r="C4917" t="str">
            <v>12</v>
          </cell>
          <cell r="D4917" t="str">
            <v>37</v>
          </cell>
          <cell r="E4917">
            <v>0</v>
          </cell>
          <cell r="G4917">
            <v>85334402</v>
          </cell>
          <cell r="H4917">
            <v>0</v>
          </cell>
          <cell r="I4917">
            <v>0</v>
          </cell>
          <cell r="J4917">
            <v>2940</v>
          </cell>
          <cell r="K4917">
            <v>0</v>
          </cell>
          <cell r="L4917">
            <v>0</v>
          </cell>
          <cell r="M4917">
            <v>0</v>
          </cell>
          <cell r="N4917">
            <v>0</v>
          </cell>
          <cell r="O4917">
            <v>0</v>
          </cell>
          <cell r="P4917">
            <v>0</v>
          </cell>
          <cell r="Q4917">
            <v>0</v>
          </cell>
          <cell r="R4917">
            <v>0</v>
          </cell>
          <cell r="S4917">
            <v>0</v>
          </cell>
          <cell r="T4917">
            <v>0</v>
          </cell>
          <cell r="U4917">
            <v>0</v>
          </cell>
          <cell r="V4917">
            <v>0</v>
          </cell>
          <cell r="W4917">
            <v>0</v>
          </cell>
        </row>
        <row r="4918">
          <cell r="A4918" t="str">
            <v>450340</v>
          </cell>
          <cell r="B4918" t="str">
            <v>1254</v>
          </cell>
          <cell r="C4918" t="str">
            <v>12</v>
          </cell>
          <cell r="D4918" t="str">
            <v>37</v>
          </cell>
          <cell r="E4918">
            <v>0</v>
          </cell>
          <cell r="G4918">
            <v>85335502</v>
          </cell>
          <cell r="H4918">
            <v>0</v>
          </cell>
          <cell r="I4918">
            <v>0</v>
          </cell>
          <cell r="J4918">
            <v>1570</v>
          </cell>
          <cell r="K4918">
            <v>0</v>
          </cell>
          <cell r="L4918">
            <v>0</v>
          </cell>
          <cell r="M4918">
            <v>0</v>
          </cell>
          <cell r="N4918">
            <v>0</v>
          </cell>
          <cell r="O4918">
            <v>0</v>
          </cell>
          <cell r="P4918">
            <v>0</v>
          </cell>
          <cell r="Q4918">
            <v>0</v>
          </cell>
          <cell r="R4918">
            <v>0</v>
          </cell>
          <cell r="S4918">
            <v>0</v>
          </cell>
          <cell r="T4918">
            <v>0</v>
          </cell>
          <cell r="U4918">
            <v>0</v>
          </cell>
          <cell r="V4918">
            <v>0</v>
          </cell>
          <cell r="W4918">
            <v>0</v>
          </cell>
        </row>
        <row r="4919">
          <cell r="A4919" t="str">
            <v>450340</v>
          </cell>
          <cell r="B4919" t="str">
            <v>1254</v>
          </cell>
          <cell r="C4919" t="str">
            <v>12</v>
          </cell>
          <cell r="D4919" t="str">
            <v>37</v>
          </cell>
          <cell r="E4919">
            <v>0</v>
          </cell>
          <cell r="G4919">
            <v>99999901</v>
          </cell>
          <cell r="H4919">
            <v>12</v>
          </cell>
          <cell r="I4919">
            <v>0</v>
          </cell>
          <cell r="J4919">
            <v>12</v>
          </cell>
          <cell r="K4919">
            <v>0</v>
          </cell>
          <cell r="L4919">
            <v>0</v>
          </cell>
          <cell r="M4919">
            <v>0</v>
          </cell>
          <cell r="N4919">
            <v>0</v>
          </cell>
          <cell r="O4919">
            <v>0</v>
          </cell>
          <cell r="P4919">
            <v>0</v>
          </cell>
          <cell r="Q4919">
            <v>0</v>
          </cell>
          <cell r="R4919">
            <v>0</v>
          </cell>
          <cell r="S4919">
            <v>0</v>
          </cell>
          <cell r="T4919">
            <v>0</v>
          </cell>
          <cell r="U4919">
            <v>0</v>
          </cell>
          <cell r="V4919">
            <v>0</v>
          </cell>
          <cell r="W4919">
            <v>0</v>
          </cell>
        </row>
        <row r="4920">
          <cell r="A4920" t="str">
            <v>450340</v>
          </cell>
          <cell r="B4920" t="str">
            <v>1254</v>
          </cell>
          <cell r="C4920" t="str">
            <v>12</v>
          </cell>
          <cell r="D4920" t="str">
            <v>37</v>
          </cell>
          <cell r="E4920">
            <v>0</v>
          </cell>
          <cell r="G4920">
            <v>99999902</v>
          </cell>
          <cell r="H4920">
            <v>0</v>
          </cell>
          <cell r="I4920">
            <v>0</v>
          </cell>
          <cell r="J4920">
            <v>5165</v>
          </cell>
          <cell r="K4920">
            <v>0</v>
          </cell>
          <cell r="L4920">
            <v>0</v>
          </cell>
          <cell r="M4920">
            <v>0</v>
          </cell>
          <cell r="N4920">
            <v>0</v>
          </cell>
          <cell r="O4920">
            <v>0</v>
          </cell>
          <cell r="P4920">
            <v>0</v>
          </cell>
          <cell r="Q4920">
            <v>0</v>
          </cell>
          <cell r="R4920">
            <v>0</v>
          </cell>
          <cell r="S4920">
            <v>0</v>
          </cell>
          <cell r="T4920">
            <v>0</v>
          </cell>
          <cell r="U4920">
            <v>0</v>
          </cell>
          <cell r="V4920">
            <v>0</v>
          </cell>
          <cell r="W4920">
            <v>0</v>
          </cell>
        </row>
        <row r="4921">
          <cell r="A4921" t="str">
            <v>450340</v>
          </cell>
          <cell r="B4921" t="str">
            <v>1254</v>
          </cell>
          <cell r="C4921" t="str">
            <v>12</v>
          </cell>
          <cell r="D4921" t="str">
            <v>39</v>
          </cell>
          <cell r="E4921">
            <v>0</v>
          </cell>
          <cell r="G4921">
            <v>4</v>
          </cell>
          <cell r="H4921">
            <v>2000000</v>
          </cell>
          <cell r="I4921">
            <v>2000000</v>
          </cell>
          <cell r="J4921">
            <v>2000000</v>
          </cell>
          <cell r="K4921">
            <v>13595</v>
          </cell>
          <cell r="L4921">
            <v>13036</v>
          </cell>
          <cell r="M4921">
            <v>13036</v>
          </cell>
          <cell r="N4921">
            <v>0</v>
          </cell>
          <cell r="O4921">
            <v>0</v>
          </cell>
          <cell r="P4921">
            <v>0</v>
          </cell>
          <cell r="Q4921">
            <v>0</v>
          </cell>
          <cell r="R4921">
            <v>0</v>
          </cell>
          <cell r="S4921">
            <v>0</v>
          </cell>
          <cell r="T4921">
            <v>0</v>
          </cell>
          <cell r="U4921">
            <v>0</v>
          </cell>
          <cell r="V4921">
            <v>0</v>
          </cell>
          <cell r="W4921">
            <v>0</v>
          </cell>
        </row>
        <row r="4922">
          <cell r="A4922" t="str">
            <v>450340</v>
          </cell>
          <cell r="B4922" t="str">
            <v>1254</v>
          </cell>
          <cell r="C4922" t="str">
            <v>12</v>
          </cell>
          <cell r="D4922" t="str">
            <v>39</v>
          </cell>
          <cell r="E4922">
            <v>0</v>
          </cell>
          <cell r="G4922">
            <v>173</v>
          </cell>
          <cell r="H4922">
            <v>1402624</v>
          </cell>
          <cell r="I4922">
            <v>1362624</v>
          </cell>
          <cell r="J4922">
            <v>1362624</v>
          </cell>
          <cell r="K4922">
            <v>24233</v>
          </cell>
          <cell r="L4922">
            <v>131324</v>
          </cell>
          <cell r="M4922">
            <v>23639</v>
          </cell>
          <cell r="N4922">
            <v>601344</v>
          </cell>
          <cell r="O4922">
            <v>107685</v>
          </cell>
          <cell r="P4922">
            <v>582994</v>
          </cell>
          <cell r="Q4922">
            <v>690679</v>
          </cell>
          <cell r="R4922">
            <v>210240</v>
          </cell>
          <cell r="S4922">
            <v>107685</v>
          </cell>
          <cell r="T4922">
            <v>96681</v>
          </cell>
          <cell r="U4922">
            <v>204366</v>
          </cell>
          <cell r="V4922">
            <v>0</v>
          </cell>
          <cell r="W4922">
            <v>0</v>
          </cell>
        </row>
        <row r="4923">
          <cell r="A4923" t="str">
            <v>450340</v>
          </cell>
          <cell r="B4923" t="str">
            <v>1254</v>
          </cell>
          <cell r="C4923" t="str">
            <v>12</v>
          </cell>
          <cell r="D4923" t="str">
            <v>39</v>
          </cell>
          <cell r="E4923">
            <v>0</v>
          </cell>
          <cell r="G4923">
            <v>999</v>
          </cell>
          <cell r="H4923">
            <v>3402624</v>
          </cell>
          <cell r="I4923">
            <v>3362624</v>
          </cell>
          <cell r="J4923">
            <v>3362624</v>
          </cell>
          <cell r="K4923">
            <v>37828</v>
          </cell>
          <cell r="L4923">
            <v>144360</v>
          </cell>
          <cell r="M4923">
            <v>36675</v>
          </cell>
          <cell r="N4923">
            <v>601344</v>
          </cell>
          <cell r="O4923">
            <v>107685</v>
          </cell>
          <cell r="P4923">
            <v>582994</v>
          </cell>
          <cell r="Q4923">
            <v>690679</v>
          </cell>
          <cell r="R4923">
            <v>210240</v>
          </cell>
          <cell r="S4923">
            <v>107685</v>
          </cell>
          <cell r="T4923">
            <v>96681</v>
          </cell>
          <cell r="U4923">
            <v>204366</v>
          </cell>
          <cell r="V4923">
            <v>0</v>
          </cell>
          <cell r="W4923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92"/>
  <sheetViews>
    <sheetView workbookViewId="0">
      <selection activeCell="B5" sqref="B5:D7"/>
    </sheetView>
  </sheetViews>
  <sheetFormatPr defaultRowHeight="15"/>
  <cols>
    <col min="1" max="1" width="43.7109375" bestFit="1" customWidth="1"/>
    <col min="2" max="4" width="16.5703125" customWidth="1"/>
  </cols>
  <sheetData>
    <row r="1" spans="1:4">
      <c r="A1" s="116" t="s">
        <v>2053</v>
      </c>
      <c r="B1" s="116"/>
      <c r="C1" s="116"/>
      <c r="D1" s="116"/>
    </row>
    <row r="3" spans="1:4" ht="15.75" thickBot="1">
      <c r="A3" s="1"/>
      <c r="B3" s="1" t="s">
        <v>2271</v>
      </c>
      <c r="C3" s="1"/>
      <c r="D3" s="1" t="s">
        <v>2052</v>
      </c>
    </row>
    <row r="4" spans="1:4">
      <c r="A4" s="2"/>
      <c r="B4" s="3" t="s">
        <v>2054</v>
      </c>
      <c r="C4" s="3" t="s">
        <v>2055</v>
      </c>
      <c r="D4" s="4" t="s">
        <v>2056</v>
      </c>
    </row>
    <row r="5" spans="1:4">
      <c r="A5" s="7" t="s">
        <v>12</v>
      </c>
      <c r="B5" s="46">
        <v>34553412</v>
      </c>
      <c r="C5" s="46">
        <v>25679339</v>
      </c>
      <c r="D5" s="49">
        <f>B5-C5</f>
        <v>8874073</v>
      </c>
    </row>
    <row r="6" spans="1:4">
      <c r="A6" s="7" t="s">
        <v>3</v>
      </c>
      <c r="B6" s="46">
        <v>5520000</v>
      </c>
      <c r="C6" s="46">
        <v>5520000</v>
      </c>
      <c r="D6" s="49">
        <f t="shared" ref="D6:D31" si="0">B6-C6</f>
        <v>0</v>
      </c>
    </row>
    <row r="7" spans="1:4">
      <c r="A7" s="7" t="s">
        <v>5</v>
      </c>
      <c r="B7" s="46">
        <v>1230000</v>
      </c>
      <c r="C7" s="46">
        <v>1230000</v>
      </c>
      <c r="D7" s="49">
        <f t="shared" si="0"/>
        <v>0</v>
      </c>
    </row>
    <row r="8" spans="1:4">
      <c r="A8" s="7" t="s">
        <v>6</v>
      </c>
      <c r="B8" s="46">
        <v>1271000</v>
      </c>
      <c r="C8" s="46">
        <v>1271000</v>
      </c>
      <c r="D8" s="49">
        <f t="shared" si="0"/>
        <v>0</v>
      </c>
    </row>
    <row r="9" spans="1:4">
      <c r="A9" s="7" t="s">
        <v>8</v>
      </c>
      <c r="B9" s="46">
        <v>199600</v>
      </c>
      <c r="C9" s="46">
        <v>199600</v>
      </c>
      <c r="D9" s="49">
        <f t="shared" si="0"/>
        <v>0</v>
      </c>
    </row>
    <row r="10" spans="1:4">
      <c r="A10" s="7" t="s">
        <v>10</v>
      </c>
      <c r="B10" s="46">
        <v>42944</v>
      </c>
      <c r="C10" s="46">
        <v>42944</v>
      </c>
      <c r="D10" s="49">
        <f t="shared" si="0"/>
        <v>0</v>
      </c>
    </row>
    <row r="11" spans="1:4">
      <c r="A11" s="7" t="s">
        <v>11</v>
      </c>
      <c r="B11" s="46">
        <v>48929</v>
      </c>
      <c r="C11" s="46">
        <v>48929</v>
      </c>
      <c r="D11" s="49">
        <f t="shared" si="0"/>
        <v>0</v>
      </c>
    </row>
    <row r="12" spans="1:4">
      <c r="A12" s="7" t="s">
        <v>13</v>
      </c>
      <c r="B12" s="46">
        <v>101102</v>
      </c>
      <c r="C12" s="46">
        <v>101102</v>
      </c>
      <c r="D12" s="49">
        <f t="shared" si="0"/>
        <v>0</v>
      </c>
    </row>
    <row r="13" spans="1:4">
      <c r="A13" s="7" t="s">
        <v>14</v>
      </c>
      <c r="B13" s="46">
        <v>106795</v>
      </c>
      <c r="C13" s="46">
        <v>106795</v>
      </c>
      <c r="D13" s="49">
        <f t="shared" si="0"/>
        <v>0</v>
      </c>
    </row>
    <row r="14" spans="1:4">
      <c r="A14" s="7" t="s">
        <v>15</v>
      </c>
      <c r="B14" s="46">
        <v>160348</v>
      </c>
      <c r="C14" s="46">
        <v>160348</v>
      </c>
      <c r="D14" s="49">
        <f t="shared" si="0"/>
        <v>0</v>
      </c>
    </row>
    <row r="15" spans="1:4">
      <c r="A15" s="7" t="str">
        <f>"Windows 10 pro 35/64 Bit"</f>
        <v>Windows 10 pro 35/64 Bit</v>
      </c>
      <c r="B15" s="46">
        <v>21189</v>
      </c>
      <c r="C15" s="46">
        <v>21189</v>
      </c>
      <c r="D15" s="49">
        <f t="shared" si="0"/>
        <v>0</v>
      </c>
    </row>
    <row r="16" spans="1:4">
      <c r="A16" s="7" t="s">
        <v>16</v>
      </c>
      <c r="B16" s="46">
        <v>264630</v>
      </c>
      <c r="C16" s="46">
        <v>264630</v>
      </c>
      <c r="D16" s="49">
        <f t="shared" si="0"/>
        <v>0</v>
      </c>
    </row>
    <row r="17" spans="1:4">
      <c r="A17" s="7" t="s">
        <v>17</v>
      </c>
      <c r="B17" s="46">
        <v>423370</v>
      </c>
      <c r="C17" s="46">
        <v>423370</v>
      </c>
      <c r="D17" s="49">
        <f t="shared" si="0"/>
        <v>0</v>
      </c>
    </row>
    <row r="18" spans="1:4">
      <c r="A18" s="5" t="s">
        <v>2057</v>
      </c>
      <c r="B18" s="46">
        <v>4631484</v>
      </c>
      <c r="C18" s="46">
        <v>4631484</v>
      </c>
      <c r="D18" s="49">
        <f t="shared" si="0"/>
        <v>0</v>
      </c>
    </row>
    <row r="19" spans="1:4">
      <c r="A19" s="6" t="s">
        <v>2058</v>
      </c>
      <c r="B19" s="47">
        <f>SUM(B5:B18)</f>
        <v>48574803</v>
      </c>
      <c r="C19" s="47">
        <f t="shared" ref="C19:D19" si="1">SUM(C5:C18)</f>
        <v>39700730</v>
      </c>
      <c r="D19" s="47">
        <f t="shared" si="1"/>
        <v>8874073</v>
      </c>
    </row>
    <row r="20" spans="1:4">
      <c r="A20" s="7" t="s">
        <v>7</v>
      </c>
      <c r="B20" s="46">
        <v>1166493</v>
      </c>
      <c r="C20" s="46">
        <v>1155885</v>
      </c>
      <c r="D20" s="49">
        <f t="shared" si="0"/>
        <v>10608</v>
      </c>
    </row>
    <row r="21" spans="1:4">
      <c r="A21" s="7" t="s">
        <v>9</v>
      </c>
      <c r="B21" s="46">
        <v>8530000</v>
      </c>
      <c r="C21" s="46">
        <v>5385241</v>
      </c>
      <c r="D21" s="49">
        <f t="shared" si="0"/>
        <v>3144759</v>
      </c>
    </row>
    <row r="22" spans="1:4">
      <c r="A22" s="7" t="s">
        <v>1</v>
      </c>
      <c r="B22" s="46">
        <v>9165350</v>
      </c>
      <c r="C22" s="46">
        <v>9165350</v>
      </c>
      <c r="D22" s="49">
        <f t="shared" si="0"/>
        <v>0</v>
      </c>
    </row>
    <row r="23" spans="1:4">
      <c r="A23" s="7" t="s">
        <v>2</v>
      </c>
      <c r="B23" s="46">
        <v>580000</v>
      </c>
      <c r="C23" s="46">
        <v>580000</v>
      </c>
      <c r="D23" s="49">
        <f t="shared" si="0"/>
        <v>0</v>
      </c>
    </row>
    <row r="24" spans="1:4">
      <c r="A24" s="7" t="s">
        <v>4</v>
      </c>
      <c r="B24" s="46">
        <v>1204434</v>
      </c>
      <c r="C24" s="46">
        <v>1204434</v>
      </c>
      <c r="D24" s="49">
        <f t="shared" si="0"/>
        <v>0</v>
      </c>
    </row>
    <row r="25" spans="1:4">
      <c r="A25" s="5" t="s">
        <v>2057</v>
      </c>
      <c r="B25" s="46">
        <v>6688764</v>
      </c>
      <c r="C25" s="46">
        <v>6688764</v>
      </c>
      <c r="D25" s="49">
        <f t="shared" si="0"/>
        <v>0</v>
      </c>
    </row>
    <row r="26" spans="1:4">
      <c r="A26" s="7" t="s">
        <v>2059</v>
      </c>
      <c r="B26" s="46">
        <v>826256</v>
      </c>
      <c r="C26" s="46">
        <v>826256</v>
      </c>
      <c r="D26" s="49">
        <f t="shared" si="0"/>
        <v>0</v>
      </c>
    </row>
    <row r="27" spans="1:4">
      <c r="A27" s="7" t="s">
        <v>2060</v>
      </c>
      <c r="B27" s="46">
        <v>2237859</v>
      </c>
      <c r="C27" s="46">
        <v>2237859</v>
      </c>
      <c r="D27" s="49">
        <f t="shared" si="0"/>
        <v>0</v>
      </c>
    </row>
    <row r="28" spans="1:4">
      <c r="A28" s="7" t="s">
        <v>2061</v>
      </c>
      <c r="B28" s="46">
        <v>120000</v>
      </c>
      <c r="C28" s="46">
        <v>120000</v>
      </c>
      <c r="D28" s="49">
        <f t="shared" si="0"/>
        <v>0</v>
      </c>
    </row>
    <row r="29" spans="1:4">
      <c r="A29" s="7" t="s">
        <v>2062</v>
      </c>
      <c r="B29" s="46">
        <v>671886</v>
      </c>
      <c r="C29" s="46">
        <v>671886</v>
      </c>
      <c r="D29" s="49">
        <f t="shared" si="0"/>
        <v>0</v>
      </c>
    </row>
    <row r="30" spans="1:4">
      <c r="A30" s="7" t="s">
        <v>2063</v>
      </c>
      <c r="B30" s="46">
        <v>4002174</v>
      </c>
      <c r="C30" s="46">
        <v>4002174</v>
      </c>
      <c r="D30" s="49">
        <f t="shared" si="0"/>
        <v>0</v>
      </c>
    </row>
    <row r="31" spans="1:4">
      <c r="A31" s="7" t="s">
        <v>2064</v>
      </c>
      <c r="B31" s="46">
        <v>1432398</v>
      </c>
      <c r="C31" s="46">
        <v>1432398</v>
      </c>
      <c r="D31" s="49">
        <f t="shared" si="0"/>
        <v>0</v>
      </c>
    </row>
    <row r="32" spans="1:4">
      <c r="A32" s="8" t="s">
        <v>2065</v>
      </c>
      <c r="B32" s="47">
        <f>SUM(B20:B31)</f>
        <v>36625614</v>
      </c>
      <c r="C32" s="47">
        <f t="shared" ref="C32:D32" si="2">SUM(C20:C31)</f>
        <v>33470247</v>
      </c>
      <c r="D32" s="50">
        <f t="shared" si="2"/>
        <v>3155367</v>
      </c>
    </row>
    <row r="33" spans="1:4">
      <c r="A33" s="9" t="s">
        <v>2066</v>
      </c>
      <c r="B33" s="48">
        <f>B19+B32</f>
        <v>85200417</v>
      </c>
      <c r="C33" s="48">
        <f t="shared" ref="C33:D33" si="3">C19+C32</f>
        <v>73170977</v>
      </c>
      <c r="D33" s="51">
        <f t="shared" si="3"/>
        <v>12029440</v>
      </c>
    </row>
    <row r="34" spans="1:4">
      <c r="A34" s="7" t="s">
        <v>57</v>
      </c>
      <c r="B34" s="46">
        <v>1279000</v>
      </c>
      <c r="C34" s="46"/>
      <c r="D34" s="49">
        <f t="shared" ref="D34:D97" si="4">B34-C34</f>
        <v>1279000</v>
      </c>
    </row>
    <row r="35" spans="1:4">
      <c r="A35" s="7" t="s">
        <v>58</v>
      </c>
      <c r="B35" s="46">
        <v>4088000</v>
      </c>
      <c r="C35" s="46"/>
      <c r="D35" s="49">
        <f t="shared" si="4"/>
        <v>4088000</v>
      </c>
    </row>
    <row r="36" spans="1:4">
      <c r="A36" s="7" t="s">
        <v>59</v>
      </c>
      <c r="B36" s="46">
        <v>7672000</v>
      </c>
      <c r="C36" s="46"/>
      <c r="D36" s="49">
        <f t="shared" si="4"/>
        <v>7672000</v>
      </c>
    </row>
    <row r="37" spans="1:4">
      <c r="A37" s="7" t="s">
        <v>60</v>
      </c>
      <c r="B37" s="46">
        <v>4375000</v>
      </c>
      <c r="C37" s="46"/>
      <c r="D37" s="49">
        <f t="shared" si="4"/>
        <v>4375000</v>
      </c>
    </row>
    <row r="38" spans="1:4">
      <c r="A38" s="7" t="s">
        <v>61</v>
      </c>
      <c r="B38" s="46">
        <v>860000</v>
      </c>
      <c r="C38" s="46"/>
      <c r="D38" s="49">
        <f t="shared" si="4"/>
        <v>860000</v>
      </c>
    </row>
    <row r="39" spans="1:4">
      <c r="A39" s="7" t="s">
        <v>62</v>
      </c>
      <c r="B39" s="46">
        <v>1868000</v>
      </c>
      <c r="C39" s="46"/>
      <c r="D39" s="49">
        <f t="shared" si="4"/>
        <v>1868000</v>
      </c>
    </row>
    <row r="40" spans="1:4">
      <c r="A40" s="7" t="s">
        <v>63</v>
      </c>
      <c r="B40" s="46">
        <v>2230000</v>
      </c>
      <c r="C40" s="46"/>
      <c r="D40" s="49">
        <f t="shared" si="4"/>
        <v>2230000</v>
      </c>
    </row>
    <row r="41" spans="1:4">
      <c r="A41" s="7" t="s">
        <v>64</v>
      </c>
      <c r="B41" s="46">
        <v>2381000</v>
      </c>
      <c r="C41" s="46"/>
      <c r="D41" s="49">
        <f t="shared" si="4"/>
        <v>2381000</v>
      </c>
    </row>
    <row r="42" spans="1:4">
      <c r="A42" s="7" t="s">
        <v>65</v>
      </c>
      <c r="B42" s="46">
        <v>5407000</v>
      </c>
      <c r="C42" s="46"/>
      <c r="D42" s="49">
        <f t="shared" si="4"/>
        <v>5407000</v>
      </c>
    </row>
    <row r="43" spans="1:4">
      <c r="A43" s="7" t="s">
        <v>66</v>
      </c>
      <c r="B43" s="46">
        <v>625000</v>
      </c>
      <c r="C43" s="46"/>
      <c r="D43" s="49">
        <f t="shared" si="4"/>
        <v>625000</v>
      </c>
    </row>
    <row r="44" spans="1:4">
      <c r="A44" s="7" t="s">
        <v>67</v>
      </c>
      <c r="B44" s="46">
        <v>1460000</v>
      </c>
      <c r="C44" s="46"/>
      <c r="D44" s="49">
        <f t="shared" si="4"/>
        <v>1460000</v>
      </c>
    </row>
    <row r="45" spans="1:4">
      <c r="A45" s="7" t="s">
        <v>68</v>
      </c>
      <c r="B45" s="46">
        <v>5378000</v>
      </c>
      <c r="C45" s="46"/>
      <c r="D45" s="49">
        <f t="shared" si="4"/>
        <v>5378000</v>
      </c>
    </row>
    <row r="46" spans="1:4">
      <c r="A46" s="7" t="str">
        <f>"Bargár Ö.u.                 2689/33"</f>
        <v>Bargár Ö.u.                 2689/33</v>
      </c>
      <c r="B46" s="46">
        <v>2542000</v>
      </c>
      <c r="C46" s="46"/>
      <c r="D46" s="49">
        <f t="shared" si="4"/>
        <v>2542000</v>
      </c>
    </row>
    <row r="47" spans="1:4">
      <c r="A47" s="7" t="s">
        <v>69</v>
      </c>
      <c r="B47" s="46">
        <v>10811000</v>
      </c>
      <c r="C47" s="46"/>
      <c r="D47" s="49">
        <f t="shared" si="4"/>
        <v>10811000</v>
      </c>
    </row>
    <row r="48" spans="1:4">
      <c r="A48" s="7" t="str">
        <f>"Baross G.u.                 1817/1"</f>
        <v>Baross G.u.                 1817/1</v>
      </c>
      <c r="B48" s="46">
        <v>1220000</v>
      </c>
      <c r="C48" s="46"/>
      <c r="D48" s="49">
        <f t="shared" si="4"/>
        <v>1220000</v>
      </c>
    </row>
    <row r="49" spans="1:4">
      <c r="A49" s="7" t="str">
        <f>"Baross G.u.                 1817/2"</f>
        <v>Baross G.u.                 1817/2</v>
      </c>
      <c r="B49" s="46">
        <v>237000</v>
      </c>
      <c r="C49" s="46"/>
      <c r="D49" s="49">
        <f t="shared" si="4"/>
        <v>237000</v>
      </c>
    </row>
    <row r="50" spans="1:4">
      <c r="A50" s="7" t="str">
        <f>"Bartók B.u.                 1840/13"</f>
        <v>Bartók B.u.                 1840/13</v>
      </c>
      <c r="B50" s="46">
        <v>119000</v>
      </c>
      <c r="C50" s="46"/>
      <c r="D50" s="49">
        <f t="shared" si="4"/>
        <v>119000</v>
      </c>
    </row>
    <row r="51" spans="1:4">
      <c r="A51" s="7" t="str">
        <f>"Bartók B.u.                 1840/66"</f>
        <v>Bartók B.u.                 1840/66</v>
      </c>
      <c r="B51" s="46">
        <v>238000</v>
      </c>
      <c r="C51" s="46"/>
      <c r="D51" s="49">
        <f t="shared" si="4"/>
        <v>238000</v>
      </c>
    </row>
    <row r="52" spans="1:4">
      <c r="A52" s="7" t="s">
        <v>70</v>
      </c>
      <c r="B52" s="46">
        <v>238000</v>
      </c>
      <c r="C52" s="46"/>
      <c r="D52" s="49">
        <f t="shared" si="4"/>
        <v>238000</v>
      </c>
    </row>
    <row r="53" spans="1:4">
      <c r="A53" s="7" t="s">
        <v>71</v>
      </c>
      <c r="B53" s="46">
        <v>238000</v>
      </c>
      <c r="C53" s="46"/>
      <c r="D53" s="49">
        <f t="shared" si="4"/>
        <v>238000</v>
      </c>
    </row>
    <row r="54" spans="1:4">
      <c r="A54" s="7" t="s">
        <v>72</v>
      </c>
      <c r="B54" s="46">
        <v>4259000</v>
      </c>
      <c r="C54" s="46"/>
      <c r="D54" s="49">
        <f t="shared" si="4"/>
        <v>4259000</v>
      </c>
    </row>
    <row r="55" spans="1:4">
      <c r="A55" s="7" t="s">
        <v>73</v>
      </c>
      <c r="B55" s="46">
        <v>2152000</v>
      </c>
      <c r="C55" s="46"/>
      <c r="D55" s="49">
        <f t="shared" si="4"/>
        <v>2152000</v>
      </c>
    </row>
    <row r="56" spans="1:4">
      <c r="A56" s="7" t="s">
        <v>74</v>
      </c>
      <c r="B56" s="46">
        <v>6336000</v>
      </c>
      <c r="C56" s="46"/>
      <c r="D56" s="49">
        <f t="shared" si="4"/>
        <v>6336000</v>
      </c>
    </row>
    <row r="57" spans="1:4">
      <c r="A57" s="7" t="s">
        <v>75</v>
      </c>
      <c r="B57" s="46">
        <v>5804000</v>
      </c>
      <c r="C57" s="46"/>
      <c r="D57" s="49">
        <f t="shared" si="4"/>
        <v>5804000</v>
      </c>
    </row>
    <row r="58" spans="1:4">
      <c r="A58" s="7" t="s">
        <v>76</v>
      </c>
      <c r="B58" s="46">
        <v>5584000</v>
      </c>
      <c r="C58" s="46"/>
      <c r="D58" s="49">
        <f t="shared" si="4"/>
        <v>5584000</v>
      </c>
    </row>
    <row r="59" spans="1:4">
      <c r="A59" s="7" t="s">
        <v>77</v>
      </c>
      <c r="B59" s="46">
        <v>949000</v>
      </c>
      <c r="C59" s="46"/>
      <c r="D59" s="49">
        <f t="shared" si="4"/>
        <v>949000</v>
      </c>
    </row>
    <row r="60" spans="1:4">
      <c r="A60" s="7" t="s">
        <v>78</v>
      </c>
      <c r="B60" s="46">
        <v>264000</v>
      </c>
      <c r="C60" s="46"/>
      <c r="D60" s="49">
        <f t="shared" si="4"/>
        <v>264000</v>
      </c>
    </row>
    <row r="61" spans="1:4">
      <c r="A61" s="7" t="s">
        <v>79</v>
      </c>
      <c r="B61" s="46">
        <v>578000</v>
      </c>
      <c r="C61" s="46"/>
      <c r="D61" s="49">
        <f t="shared" si="4"/>
        <v>578000</v>
      </c>
    </row>
    <row r="62" spans="1:4">
      <c r="A62" s="7" t="s">
        <v>80</v>
      </c>
      <c r="B62" s="46">
        <v>775000</v>
      </c>
      <c r="C62" s="46"/>
      <c r="D62" s="49">
        <f t="shared" si="4"/>
        <v>775000</v>
      </c>
    </row>
    <row r="63" spans="1:4">
      <c r="A63" s="7" t="str">
        <f>"Gárdonyi G.u.               1840/40"</f>
        <v>Gárdonyi G.u.               1840/40</v>
      </c>
      <c r="B63" s="46">
        <v>1742000</v>
      </c>
      <c r="C63" s="46"/>
      <c r="D63" s="49">
        <f t="shared" si="4"/>
        <v>1742000</v>
      </c>
    </row>
    <row r="64" spans="1:4">
      <c r="A64" s="7" t="str">
        <f>"Gárdonyi G.u.               1875/17"</f>
        <v>Gárdonyi G.u.               1875/17</v>
      </c>
      <c r="B64" s="46">
        <v>673000</v>
      </c>
      <c r="C64" s="46"/>
      <c r="D64" s="49">
        <f t="shared" si="4"/>
        <v>673000</v>
      </c>
    </row>
    <row r="65" spans="1:4">
      <c r="A65" s="7" t="s">
        <v>81</v>
      </c>
      <c r="B65" s="46">
        <v>1309000</v>
      </c>
      <c r="C65" s="46"/>
      <c r="D65" s="49">
        <f t="shared" si="4"/>
        <v>1309000</v>
      </c>
    </row>
    <row r="66" spans="1:4">
      <c r="A66" s="7" t="s">
        <v>82</v>
      </c>
      <c r="B66" s="46">
        <v>4582000</v>
      </c>
      <c r="C66" s="46"/>
      <c r="D66" s="49">
        <f t="shared" si="4"/>
        <v>4582000</v>
      </c>
    </row>
    <row r="67" spans="1:4">
      <c r="A67" s="7" t="str">
        <f>"Határőr u.                  3172/48"</f>
        <v>Határőr u.                  3172/48</v>
      </c>
      <c r="B67" s="46">
        <v>2149000</v>
      </c>
      <c r="C67" s="46"/>
      <c r="D67" s="49">
        <f t="shared" si="4"/>
        <v>2149000</v>
      </c>
    </row>
    <row r="68" spans="1:4">
      <c r="A68" s="7" t="s">
        <v>83</v>
      </c>
      <c r="B68" s="46">
        <v>539000</v>
      </c>
      <c r="C68" s="46"/>
      <c r="D68" s="49">
        <f t="shared" si="4"/>
        <v>539000</v>
      </c>
    </row>
    <row r="69" spans="1:4">
      <c r="A69" s="7" t="s">
        <v>84</v>
      </c>
      <c r="B69" s="46">
        <v>2493000</v>
      </c>
      <c r="C69" s="46"/>
      <c r="D69" s="49">
        <f t="shared" si="4"/>
        <v>2493000</v>
      </c>
    </row>
    <row r="70" spans="1:4">
      <c r="A70" s="7" t="s">
        <v>85</v>
      </c>
      <c r="B70" s="46">
        <v>1455000</v>
      </c>
      <c r="C70" s="46"/>
      <c r="D70" s="49">
        <f t="shared" si="4"/>
        <v>1455000</v>
      </c>
    </row>
    <row r="71" spans="1:4">
      <c r="A71" s="7" t="s">
        <v>86</v>
      </c>
      <c r="B71" s="46">
        <v>2861000</v>
      </c>
      <c r="C71" s="46"/>
      <c r="D71" s="49">
        <f t="shared" si="4"/>
        <v>2861000</v>
      </c>
    </row>
    <row r="72" spans="1:4">
      <c r="A72" s="7" t="s">
        <v>87</v>
      </c>
      <c r="B72" s="46">
        <v>2152000</v>
      </c>
      <c r="C72" s="46"/>
      <c r="D72" s="49">
        <f t="shared" si="4"/>
        <v>2152000</v>
      </c>
    </row>
    <row r="73" spans="1:4">
      <c r="A73" s="7" t="str">
        <f>"Horváth E.u.                2689/82"</f>
        <v>Horváth E.u.                2689/82</v>
      </c>
      <c r="B73" s="46">
        <v>3241000</v>
      </c>
      <c r="C73" s="46"/>
      <c r="D73" s="49">
        <f t="shared" si="4"/>
        <v>3241000</v>
      </c>
    </row>
    <row r="74" spans="1:4">
      <c r="A74" s="7" t="str">
        <f>"Horváth E.u.                2689/40"</f>
        <v>Horváth E.u.                2689/40</v>
      </c>
      <c r="B74" s="46">
        <v>601000</v>
      </c>
      <c r="C74" s="46"/>
      <c r="D74" s="49">
        <f t="shared" si="4"/>
        <v>601000</v>
      </c>
    </row>
    <row r="75" spans="1:4">
      <c r="A75" s="7" t="str">
        <f>"Horváth E.u.                2689/81"</f>
        <v>Horváth E.u.                2689/81</v>
      </c>
      <c r="B75" s="46">
        <v>714000</v>
      </c>
      <c r="C75" s="46"/>
      <c r="D75" s="49">
        <f t="shared" si="4"/>
        <v>714000</v>
      </c>
    </row>
    <row r="76" spans="1:4">
      <c r="A76" s="7" t="s">
        <v>88</v>
      </c>
      <c r="B76" s="46">
        <v>9223000</v>
      </c>
      <c r="C76" s="46"/>
      <c r="D76" s="49">
        <f t="shared" si="4"/>
        <v>9223000</v>
      </c>
    </row>
    <row r="77" spans="1:4">
      <c r="A77" s="7" t="s">
        <v>89</v>
      </c>
      <c r="B77" s="46">
        <v>129000</v>
      </c>
      <c r="C77" s="46"/>
      <c r="D77" s="49">
        <f t="shared" si="4"/>
        <v>129000</v>
      </c>
    </row>
    <row r="78" spans="1:4">
      <c r="A78" s="7" t="s">
        <v>90</v>
      </c>
      <c r="B78" s="46">
        <v>685000</v>
      </c>
      <c r="C78" s="46"/>
      <c r="D78" s="49">
        <f t="shared" si="4"/>
        <v>685000</v>
      </c>
    </row>
    <row r="79" spans="1:4">
      <c r="A79" s="7" t="s">
        <v>91</v>
      </c>
      <c r="B79" s="46">
        <v>3343000</v>
      </c>
      <c r="C79" s="46"/>
      <c r="D79" s="49">
        <f t="shared" si="4"/>
        <v>3343000</v>
      </c>
    </row>
    <row r="80" spans="1:4">
      <c r="A80" s="7" t="s">
        <v>92</v>
      </c>
      <c r="B80" s="46">
        <v>2540000</v>
      </c>
      <c r="C80" s="46"/>
      <c r="D80" s="49">
        <f t="shared" si="4"/>
        <v>2540000</v>
      </c>
    </row>
    <row r="81" spans="1:4">
      <c r="A81" s="7" t="s">
        <v>93</v>
      </c>
      <c r="B81" s="46">
        <v>2455000</v>
      </c>
      <c r="C81" s="46"/>
      <c r="D81" s="49">
        <f t="shared" si="4"/>
        <v>2455000</v>
      </c>
    </row>
    <row r="82" spans="1:4">
      <c r="A82" s="7" t="s">
        <v>94</v>
      </c>
      <c r="B82" s="46">
        <v>4402000</v>
      </c>
      <c r="C82" s="46"/>
      <c r="D82" s="49">
        <f t="shared" si="4"/>
        <v>4402000</v>
      </c>
    </row>
    <row r="83" spans="1:4">
      <c r="A83" s="7" t="s">
        <v>95</v>
      </c>
      <c r="B83" s="46">
        <v>1877000</v>
      </c>
      <c r="C83" s="46"/>
      <c r="D83" s="49">
        <f t="shared" si="4"/>
        <v>1877000</v>
      </c>
    </row>
    <row r="84" spans="1:4">
      <c r="A84" s="7" t="str">
        <f>"Ipolypart u.                384/1"</f>
        <v>Ipolypart u.                384/1</v>
      </c>
      <c r="B84" s="46">
        <v>12285000</v>
      </c>
      <c r="C84" s="46"/>
      <c r="D84" s="49">
        <f t="shared" si="4"/>
        <v>12285000</v>
      </c>
    </row>
    <row r="85" spans="1:4">
      <c r="A85" s="7" t="str">
        <f>"ipolypart u.                658/2"</f>
        <v>ipolypart u.                658/2</v>
      </c>
      <c r="B85" s="46">
        <v>1357000</v>
      </c>
      <c r="C85" s="46"/>
      <c r="D85" s="49">
        <f t="shared" si="4"/>
        <v>1357000</v>
      </c>
    </row>
    <row r="86" spans="1:4">
      <c r="A86" s="7" t="s">
        <v>96</v>
      </c>
      <c r="B86" s="46">
        <v>2367000</v>
      </c>
      <c r="C86" s="46"/>
      <c r="D86" s="49">
        <f t="shared" si="4"/>
        <v>2367000</v>
      </c>
    </row>
    <row r="87" spans="1:4">
      <c r="A87" s="7" t="str">
        <f>"Irányi D. u.                3172/11"</f>
        <v>Irányi D. u.                3172/11</v>
      </c>
      <c r="B87" s="46">
        <v>665000</v>
      </c>
      <c r="C87" s="46"/>
      <c r="D87" s="49">
        <f t="shared" si="4"/>
        <v>665000</v>
      </c>
    </row>
    <row r="88" spans="1:4">
      <c r="A88" s="7" t="str">
        <f>"Irányi D. u.                2639/21"</f>
        <v>Irányi D. u.                2639/21</v>
      </c>
      <c r="B88" s="46">
        <v>883000</v>
      </c>
      <c r="C88" s="46"/>
      <c r="D88" s="49">
        <f t="shared" si="4"/>
        <v>883000</v>
      </c>
    </row>
    <row r="89" spans="1:4">
      <c r="A89" s="7" t="s">
        <v>97</v>
      </c>
      <c r="B89" s="46">
        <v>950000</v>
      </c>
      <c r="C89" s="46"/>
      <c r="D89" s="49">
        <f t="shared" si="4"/>
        <v>950000</v>
      </c>
    </row>
    <row r="90" spans="1:4">
      <c r="A90" s="7" t="s">
        <v>98</v>
      </c>
      <c r="B90" s="46">
        <v>4995000</v>
      </c>
      <c r="C90" s="46"/>
      <c r="D90" s="49">
        <f t="shared" si="4"/>
        <v>4995000</v>
      </c>
    </row>
    <row r="91" spans="1:4">
      <c r="A91" s="7" t="s">
        <v>99</v>
      </c>
      <c r="B91" s="46">
        <v>3412000</v>
      </c>
      <c r="C91" s="46"/>
      <c r="D91" s="49">
        <f t="shared" si="4"/>
        <v>3412000</v>
      </c>
    </row>
    <row r="92" spans="1:4">
      <c r="A92" s="7" t="s">
        <v>100</v>
      </c>
      <c r="B92" s="46">
        <v>943000</v>
      </c>
      <c r="C92" s="46"/>
      <c r="D92" s="49">
        <f t="shared" si="4"/>
        <v>943000</v>
      </c>
    </row>
    <row r="93" spans="1:4">
      <c r="A93" s="7" t="s">
        <v>101</v>
      </c>
      <c r="B93" s="46">
        <v>69000</v>
      </c>
      <c r="C93" s="46"/>
      <c r="D93" s="49">
        <f t="shared" si="4"/>
        <v>69000</v>
      </c>
    </row>
    <row r="94" spans="1:4">
      <c r="A94" s="7" t="s">
        <v>102</v>
      </c>
      <c r="B94" s="46">
        <v>104000</v>
      </c>
      <c r="C94" s="46"/>
      <c r="D94" s="49">
        <f t="shared" si="4"/>
        <v>104000</v>
      </c>
    </row>
    <row r="95" spans="1:4">
      <c r="A95" s="7" t="s">
        <v>103</v>
      </c>
      <c r="B95" s="46">
        <v>56000</v>
      </c>
      <c r="C95" s="46"/>
      <c r="D95" s="49">
        <f t="shared" si="4"/>
        <v>56000</v>
      </c>
    </row>
    <row r="96" spans="1:4">
      <c r="A96" s="7" t="s">
        <v>104</v>
      </c>
      <c r="B96" s="46">
        <v>191000</v>
      </c>
      <c r="C96" s="46"/>
      <c r="D96" s="49">
        <f t="shared" si="4"/>
        <v>191000</v>
      </c>
    </row>
    <row r="97" spans="1:4">
      <c r="A97" s="7" t="s">
        <v>105</v>
      </c>
      <c r="B97" s="46">
        <v>57000</v>
      </c>
      <c r="C97" s="46"/>
      <c r="D97" s="49">
        <f t="shared" si="4"/>
        <v>57000</v>
      </c>
    </row>
    <row r="98" spans="1:4">
      <c r="A98" s="7" t="s">
        <v>106</v>
      </c>
      <c r="B98" s="46">
        <v>160000</v>
      </c>
      <c r="C98" s="46"/>
      <c r="D98" s="49">
        <f t="shared" ref="D98:D161" si="5">B98-C98</f>
        <v>160000</v>
      </c>
    </row>
    <row r="99" spans="1:4">
      <c r="A99" s="7" t="s">
        <v>107</v>
      </c>
      <c r="B99" s="46">
        <v>32000</v>
      </c>
      <c r="C99" s="46"/>
      <c r="D99" s="49">
        <f t="shared" si="5"/>
        <v>32000</v>
      </c>
    </row>
    <row r="100" spans="1:4">
      <c r="A100" s="7" t="s">
        <v>108</v>
      </c>
      <c r="B100" s="46">
        <v>13000</v>
      </c>
      <c r="C100" s="46"/>
      <c r="D100" s="49">
        <f t="shared" si="5"/>
        <v>13000</v>
      </c>
    </row>
    <row r="101" spans="1:4">
      <c r="A101" s="7" t="s">
        <v>109</v>
      </c>
      <c r="B101" s="46">
        <v>30000</v>
      </c>
      <c r="C101" s="46"/>
      <c r="D101" s="49">
        <f t="shared" si="5"/>
        <v>30000</v>
      </c>
    </row>
    <row r="102" spans="1:4">
      <c r="A102" s="7" t="s">
        <v>110</v>
      </c>
      <c r="B102" s="46">
        <v>68000</v>
      </c>
      <c r="C102" s="46"/>
      <c r="D102" s="49">
        <f t="shared" si="5"/>
        <v>68000</v>
      </c>
    </row>
    <row r="103" spans="1:4">
      <c r="A103" s="7" t="s">
        <v>111</v>
      </c>
      <c r="B103" s="46">
        <v>32000</v>
      </c>
      <c r="C103" s="46"/>
      <c r="D103" s="49">
        <f t="shared" si="5"/>
        <v>32000</v>
      </c>
    </row>
    <row r="104" spans="1:4">
      <c r="A104" s="7" t="s">
        <v>112</v>
      </c>
      <c r="B104" s="46">
        <v>71000</v>
      </c>
      <c r="C104" s="46"/>
      <c r="D104" s="49">
        <f t="shared" si="5"/>
        <v>71000</v>
      </c>
    </row>
    <row r="105" spans="1:4">
      <c r="A105" s="7" t="str">
        <f>"Külterület                  0146/1"</f>
        <v>Külterület                  0146/1</v>
      </c>
      <c r="B105" s="46">
        <v>19000</v>
      </c>
      <c r="C105" s="46"/>
      <c r="D105" s="49">
        <f t="shared" si="5"/>
        <v>19000</v>
      </c>
    </row>
    <row r="106" spans="1:4">
      <c r="A106" s="7" t="str">
        <f>"Külterület                  0151/23"</f>
        <v>Külterület                  0151/23</v>
      </c>
      <c r="B106" s="46">
        <v>16000</v>
      </c>
      <c r="C106" s="46"/>
      <c r="D106" s="49">
        <f t="shared" si="5"/>
        <v>16000</v>
      </c>
    </row>
    <row r="107" spans="1:4">
      <c r="A107" s="7" t="s">
        <v>113</v>
      </c>
      <c r="B107" s="46">
        <v>163000</v>
      </c>
      <c r="C107" s="46"/>
      <c r="D107" s="49">
        <f t="shared" si="5"/>
        <v>163000</v>
      </c>
    </row>
    <row r="108" spans="1:4">
      <c r="A108" s="7" t="str">
        <f>"Külterület                  0159/2"</f>
        <v>Külterület                  0159/2</v>
      </c>
      <c r="B108" s="46">
        <v>43000</v>
      </c>
      <c r="C108" s="46"/>
      <c r="D108" s="49">
        <f t="shared" si="5"/>
        <v>43000</v>
      </c>
    </row>
    <row r="109" spans="1:4">
      <c r="A109" s="7" t="s">
        <v>114</v>
      </c>
      <c r="B109" s="46">
        <v>53000</v>
      </c>
      <c r="C109" s="46"/>
      <c r="D109" s="49">
        <f t="shared" si="5"/>
        <v>53000</v>
      </c>
    </row>
    <row r="110" spans="1:4">
      <c r="A110" s="7" t="str">
        <f>"Külterület                  0169/10"</f>
        <v>Külterület                  0169/10</v>
      </c>
      <c r="B110" s="46">
        <v>53000</v>
      </c>
      <c r="C110" s="46"/>
      <c r="D110" s="49">
        <f t="shared" si="5"/>
        <v>53000</v>
      </c>
    </row>
    <row r="111" spans="1:4">
      <c r="A111" s="7" t="s">
        <v>115</v>
      </c>
      <c r="B111" s="46">
        <v>75000</v>
      </c>
      <c r="C111" s="46"/>
      <c r="D111" s="49">
        <f t="shared" si="5"/>
        <v>75000</v>
      </c>
    </row>
    <row r="112" spans="1:4">
      <c r="A112" s="7" t="s">
        <v>116</v>
      </c>
      <c r="B112" s="46">
        <v>17000</v>
      </c>
      <c r="C112" s="46"/>
      <c r="D112" s="49">
        <f t="shared" si="5"/>
        <v>17000</v>
      </c>
    </row>
    <row r="113" spans="1:4">
      <c r="A113" s="7" t="s">
        <v>117</v>
      </c>
      <c r="B113" s="46">
        <v>8000</v>
      </c>
      <c r="C113" s="46"/>
      <c r="D113" s="49">
        <f t="shared" si="5"/>
        <v>8000</v>
      </c>
    </row>
    <row r="114" spans="1:4">
      <c r="A114" s="7" t="s">
        <v>118</v>
      </c>
      <c r="B114" s="46">
        <v>35000</v>
      </c>
      <c r="C114" s="46"/>
      <c r="D114" s="49">
        <f t="shared" si="5"/>
        <v>35000</v>
      </c>
    </row>
    <row r="115" spans="1:4">
      <c r="A115" s="7" t="s">
        <v>119</v>
      </c>
      <c r="B115" s="46">
        <v>161000</v>
      </c>
      <c r="C115" s="46"/>
      <c r="D115" s="49">
        <f t="shared" si="5"/>
        <v>161000</v>
      </c>
    </row>
    <row r="116" spans="1:4">
      <c r="A116" s="7" t="str">
        <f>"Külterület                  0203/30"</f>
        <v>Külterület                  0203/30</v>
      </c>
      <c r="B116" s="46">
        <v>24000</v>
      </c>
      <c r="C116" s="46"/>
      <c r="D116" s="49">
        <f t="shared" si="5"/>
        <v>24000</v>
      </c>
    </row>
    <row r="117" spans="1:4">
      <c r="A117" s="7" t="s">
        <v>120</v>
      </c>
      <c r="B117" s="46">
        <v>72000</v>
      </c>
      <c r="C117" s="46"/>
      <c r="D117" s="49">
        <f t="shared" si="5"/>
        <v>72000</v>
      </c>
    </row>
    <row r="118" spans="1:4">
      <c r="A118" s="7" t="str">
        <f>"Külterület                  049/3"</f>
        <v>Külterület                  049/3</v>
      </c>
      <c r="B118" s="46">
        <v>29000</v>
      </c>
      <c r="C118" s="46"/>
      <c r="D118" s="49">
        <f t="shared" si="5"/>
        <v>29000</v>
      </c>
    </row>
    <row r="119" spans="1:4">
      <c r="A119" s="7" t="str">
        <f>"Külterület                  061/3"</f>
        <v>Külterület                  061/3</v>
      </c>
      <c r="B119" s="46">
        <v>33000</v>
      </c>
      <c r="C119" s="46"/>
      <c r="D119" s="49">
        <f t="shared" si="5"/>
        <v>33000</v>
      </c>
    </row>
    <row r="120" spans="1:4">
      <c r="A120" s="7" t="s">
        <v>121</v>
      </c>
      <c r="B120" s="46">
        <v>168000</v>
      </c>
      <c r="C120" s="46"/>
      <c r="D120" s="49">
        <f t="shared" si="5"/>
        <v>168000</v>
      </c>
    </row>
    <row r="121" spans="1:4">
      <c r="A121" s="7" t="str">
        <f>"Külterület(homoki sz.)      8601/31"</f>
        <v>Külterület(homoki sz.)      8601/31</v>
      </c>
      <c r="B121" s="46">
        <v>51000</v>
      </c>
      <c r="C121" s="46"/>
      <c r="D121" s="49">
        <f t="shared" si="5"/>
        <v>51000</v>
      </c>
    </row>
    <row r="122" spans="1:4">
      <c r="A122" s="7" t="str">
        <f>"Külterület(homoki sz.)      8615/7"</f>
        <v>Külterület(homoki sz.)      8615/7</v>
      </c>
      <c r="B122" s="46">
        <v>19000</v>
      </c>
      <c r="C122" s="46"/>
      <c r="D122" s="49">
        <f t="shared" si="5"/>
        <v>19000</v>
      </c>
    </row>
    <row r="123" spans="1:4">
      <c r="A123" s="7" t="str">
        <f>"Külterület(homoki sz.)      8620/8"</f>
        <v>Külterület(homoki sz.)      8620/8</v>
      </c>
      <c r="B123" s="46">
        <v>20000</v>
      </c>
      <c r="C123" s="46"/>
      <c r="D123" s="49">
        <f t="shared" si="5"/>
        <v>20000</v>
      </c>
    </row>
    <row r="124" spans="1:4">
      <c r="A124" s="7" t="str">
        <f>"Külterület(homoki sz.)      8629/11"</f>
        <v>Külterület(homoki sz.)      8629/11</v>
      </c>
      <c r="B124" s="46">
        <v>28000</v>
      </c>
      <c r="C124" s="46"/>
      <c r="D124" s="49">
        <f t="shared" si="5"/>
        <v>28000</v>
      </c>
    </row>
    <row r="125" spans="1:4">
      <c r="A125" s="7" t="str">
        <f>"Külterület(homoki sz.)      8659/24"</f>
        <v>Külterület(homoki sz.)      8659/24</v>
      </c>
      <c r="B125" s="46">
        <v>59000</v>
      </c>
      <c r="C125" s="46"/>
      <c r="D125" s="49">
        <f t="shared" si="5"/>
        <v>59000</v>
      </c>
    </row>
    <row r="126" spans="1:4">
      <c r="A126" s="7" t="str">
        <f>"Móra F.u.                   2910/8"</f>
        <v>Móra F.u.                   2910/8</v>
      </c>
      <c r="B126" s="46">
        <v>144000</v>
      </c>
      <c r="C126" s="46"/>
      <c r="D126" s="49">
        <f t="shared" si="5"/>
        <v>144000</v>
      </c>
    </row>
    <row r="127" spans="1:4">
      <c r="A127" s="7" t="str">
        <f>"Móra F.u.                   2910/34"</f>
        <v>Móra F.u.                   2910/34</v>
      </c>
      <c r="B127" s="46">
        <v>288000</v>
      </c>
      <c r="C127" s="46"/>
      <c r="D127" s="49">
        <f t="shared" si="5"/>
        <v>288000</v>
      </c>
    </row>
    <row r="128" spans="1:4">
      <c r="A128" s="7" t="s">
        <v>122</v>
      </c>
      <c r="B128" s="46">
        <v>2213000</v>
      </c>
      <c r="C128" s="46"/>
      <c r="D128" s="49">
        <f t="shared" si="5"/>
        <v>2213000</v>
      </c>
    </row>
    <row r="129" spans="1:4">
      <c r="A129" s="7" t="s">
        <v>123</v>
      </c>
      <c r="B129" s="46">
        <v>5750000</v>
      </c>
      <c r="C129" s="46"/>
      <c r="D129" s="49">
        <f t="shared" si="5"/>
        <v>5750000</v>
      </c>
    </row>
    <row r="130" spans="1:4">
      <c r="A130" s="7" t="s">
        <v>124</v>
      </c>
      <c r="B130" s="46">
        <v>145000</v>
      </c>
      <c r="C130" s="46"/>
      <c r="D130" s="49">
        <f t="shared" si="5"/>
        <v>145000</v>
      </c>
    </row>
    <row r="131" spans="1:4">
      <c r="A131" s="7" t="str">
        <f>"Névtelen u.                 1838/40"</f>
        <v>Névtelen u.                 1838/40</v>
      </c>
      <c r="B131" s="46">
        <v>713000</v>
      </c>
      <c r="C131" s="46"/>
      <c r="D131" s="49">
        <f t="shared" si="5"/>
        <v>713000</v>
      </c>
    </row>
    <row r="132" spans="1:4">
      <c r="A132" s="7" t="s">
        <v>125</v>
      </c>
      <c r="B132" s="46">
        <v>117000</v>
      </c>
      <c r="C132" s="46"/>
      <c r="D132" s="49">
        <f t="shared" si="5"/>
        <v>117000</v>
      </c>
    </row>
    <row r="133" spans="1:4">
      <c r="A133" s="7" t="str">
        <f>"Névtelen u.                 351/24"</f>
        <v>Névtelen u.                 351/24</v>
      </c>
      <c r="B133" s="46">
        <v>595000</v>
      </c>
      <c r="C133" s="46"/>
      <c r="D133" s="49">
        <f t="shared" si="5"/>
        <v>595000</v>
      </c>
    </row>
    <row r="134" spans="1:4">
      <c r="A134" s="7" t="str">
        <f>"Névtelen u.                 3134/18"</f>
        <v>Névtelen u.                 3134/18</v>
      </c>
      <c r="B134" s="46">
        <v>234000</v>
      </c>
      <c r="C134" s="46"/>
      <c r="D134" s="49">
        <f t="shared" si="5"/>
        <v>234000</v>
      </c>
    </row>
    <row r="135" spans="1:4">
      <c r="A135" s="7" t="str">
        <f>"Névtelen u.                 3134/20"</f>
        <v>Névtelen u.                 3134/20</v>
      </c>
      <c r="B135" s="46">
        <v>243000</v>
      </c>
      <c r="C135" s="46"/>
      <c r="D135" s="49">
        <f t="shared" si="5"/>
        <v>243000</v>
      </c>
    </row>
    <row r="136" spans="1:4">
      <c r="A136" s="7" t="str">
        <f>"Névtelen u.                 1516/7"</f>
        <v>Névtelen u.                 1516/7</v>
      </c>
      <c r="B136" s="46">
        <v>141000</v>
      </c>
      <c r="C136" s="46"/>
      <c r="D136" s="49">
        <f t="shared" si="5"/>
        <v>141000</v>
      </c>
    </row>
    <row r="137" spans="1:4">
      <c r="A137" s="7" t="s">
        <v>126</v>
      </c>
      <c r="B137" s="46">
        <v>895000</v>
      </c>
      <c r="C137" s="46"/>
      <c r="D137" s="49">
        <f t="shared" si="5"/>
        <v>895000</v>
      </c>
    </row>
    <row r="138" spans="1:4">
      <c r="A138" s="7" t="str">
        <f>"Névtelen u.                 3134/8"</f>
        <v>Névtelen u.                 3134/8</v>
      </c>
      <c r="B138" s="46">
        <v>223000</v>
      </c>
      <c r="C138" s="46"/>
      <c r="D138" s="49">
        <f t="shared" si="5"/>
        <v>223000</v>
      </c>
    </row>
    <row r="139" spans="1:4">
      <c r="A139" s="7" t="s">
        <v>127</v>
      </c>
      <c r="B139" s="46">
        <v>1037000</v>
      </c>
      <c r="C139" s="46"/>
      <c r="D139" s="49">
        <f t="shared" si="5"/>
        <v>1037000</v>
      </c>
    </row>
    <row r="140" spans="1:4">
      <c r="A140" s="7" t="str">
        <f>"Névtelen u.                 1037/208"</f>
        <v>Névtelen u.                 1037/208</v>
      </c>
      <c r="B140" s="46">
        <v>13000</v>
      </c>
      <c r="C140" s="46"/>
      <c r="D140" s="49">
        <f t="shared" si="5"/>
        <v>13000</v>
      </c>
    </row>
    <row r="141" spans="1:4">
      <c r="A141" s="7" t="s">
        <v>128</v>
      </c>
      <c r="B141" s="46">
        <v>531000</v>
      </c>
      <c r="C141" s="46"/>
      <c r="D141" s="49">
        <f t="shared" si="5"/>
        <v>531000</v>
      </c>
    </row>
    <row r="142" spans="1:4">
      <c r="A142" s="7" t="str">
        <f>"Névtelen u.                 1516/8"</f>
        <v>Névtelen u.                 1516/8</v>
      </c>
      <c r="B142" s="46">
        <v>154000</v>
      </c>
      <c r="C142" s="46"/>
      <c r="D142" s="49">
        <f t="shared" si="5"/>
        <v>154000</v>
      </c>
    </row>
    <row r="143" spans="1:4">
      <c r="A143" s="7" t="str">
        <f>"Névtelen u.                 1835/1"</f>
        <v>Névtelen u.                 1835/1</v>
      </c>
      <c r="B143" s="46">
        <v>538510</v>
      </c>
      <c r="C143" s="46"/>
      <c r="D143" s="49">
        <f t="shared" si="5"/>
        <v>538510</v>
      </c>
    </row>
    <row r="144" spans="1:4">
      <c r="A144" s="7" t="str">
        <f>"Névtelen u.                 1835/43"</f>
        <v>Névtelen u.                 1835/43</v>
      </c>
      <c r="B144" s="46">
        <v>1824000</v>
      </c>
      <c r="C144" s="46"/>
      <c r="D144" s="49">
        <f t="shared" si="5"/>
        <v>1824000</v>
      </c>
    </row>
    <row r="145" spans="1:4">
      <c r="A145" s="7" t="str">
        <f>"Névtelen u.                 1835/83"</f>
        <v>Névtelen u.                 1835/83</v>
      </c>
      <c r="B145" s="46">
        <v>168000</v>
      </c>
      <c r="C145" s="46"/>
      <c r="D145" s="49">
        <f t="shared" si="5"/>
        <v>168000</v>
      </c>
    </row>
    <row r="146" spans="1:4">
      <c r="A146" s="7" t="str">
        <f>"Névtelen u.                 1835/96"</f>
        <v>Névtelen u.                 1835/96</v>
      </c>
      <c r="B146" s="46">
        <v>158000</v>
      </c>
      <c r="C146" s="46"/>
      <c r="D146" s="49">
        <f t="shared" si="5"/>
        <v>158000</v>
      </c>
    </row>
    <row r="147" spans="1:4">
      <c r="A147" s="7" t="str">
        <f>"Névtelen u.                 1835/97"</f>
        <v>Névtelen u.                 1835/97</v>
      </c>
      <c r="B147" s="46">
        <v>158000</v>
      </c>
      <c r="C147" s="46"/>
      <c r="D147" s="49">
        <f t="shared" si="5"/>
        <v>158000</v>
      </c>
    </row>
    <row r="148" spans="1:4">
      <c r="A148" s="7" t="str">
        <f>"Névtelen u.                 1835/104"</f>
        <v>Névtelen u.                 1835/104</v>
      </c>
      <c r="B148" s="46">
        <v>964000</v>
      </c>
      <c r="C148" s="46"/>
      <c r="D148" s="49">
        <f t="shared" si="5"/>
        <v>964000</v>
      </c>
    </row>
    <row r="149" spans="1:4">
      <c r="A149" s="7" t="str">
        <f>"Névtelen u.                 1838/26"</f>
        <v>Névtelen u.                 1838/26</v>
      </c>
      <c r="B149" s="46">
        <v>158000</v>
      </c>
      <c r="C149" s="46"/>
      <c r="D149" s="49">
        <f t="shared" si="5"/>
        <v>158000</v>
      </c>
    </row>
    <row r="150" spans="1:4">
      <c r="A150" s="7" t="str">
        <f>"Névtelen u.                 1838/59"</f>
        <v>Névtelen u.                 1838/59</v>
      </c>
      <c r="B150" s="46">
        <v>168000</v>
      </c>
      <c r="C150" s="46"/>
      <c r="D150" s="49">
        <f t="shared" si="5"/>
        <v>168000</v>
      </c>
    </row>
    <row r="151" spans="1:4">
      <c r="A151" s="7" t="str">
        <f>"Névtelen u.                 1839/2"</f>
        <v>Névtelen u.                 1839/2</v>
      </c>
      <c r="B151" s="46">
        <v>868000</v>
      </c>
      <c r="C151" s="46"/>
      <c r="D151" s="49">
        <f t="shared" si="5"/>
        <v>868000</v>
      </c>
    </row>
    <row r="152" spans="1:4">
      <c r="A152" s="7" t="s">
        <v>129</v>
      </c>
      <c r="B152" s="46">
        <v>23000</v>
      </c>
      <c r="C152" s="46"/>
      <c r="D152" s="49">
        <f t="shared" si="5"/>
        <v>23000</v>
      </c>
    </row>
    <row r="153" spans="1:4">
      <c r="A153" s="7" t="str">
        <f>"Névtelen u.                 2910/24"</f>
        <v>Névtelen u.                 2910/24</v>
      </c>
      <c r="B153" s="46">
        <v>426000</v>
      </c>
      <c r="C153" s="46"/>
      <c r="D153" s="49">
        <f t="shared" si="5"/>
        <v>426000</v>
      </c>
    </row>
    <row r="154" spans="1:4">
      <c r="A154" s="7" t="s">
        <v>130</v>
      </c>
      <c r="B154" s="46">
        <v>346000</v>
      </c>
      <c r="C154" s="46"/>
      <c r="D154" s="49">
        <f t="shared" si="5"/>
        <v>346000</v>
      </c>
    </row>
    <row r="155" spans="1:4">
      <c r="A155" s="7" t="str">
        <f>"Pozsonyi u.                 1841/2"</f>
        <v>Pozsonyi u.                 1841/2</v>
      </c>
      <c r="B155" s="46">
        <v>1714000</v>
      </c>
      <c r="C155" s="46"/>
      <c r="D155" s="49">
        <f t="shared" si="5"/>
        <v>1714000</v>
      </c>
    </row>
    <row r="156" spans="1:4">
      <c r="A156" s="7" t="s">
        <v>131</v>
      </c>
      <c r="B156" s="46">
        <v>1142000</v>
      </c>
      <c r="C156" s="46"/>
      <c r="D156" s="49">
        <f t="shared" si="5"/>
        <v>1142000</v>
      </c>
    </row>
    <row r="157" spans="1:4">
      <c r="A157" s="7" t="s">
        <v>132</v>
      </c>
      <c r="B157" s="46">
        <v>781000</v>
      </c>
      <c r="C157" s="46"/>
      <c r="D157" s="49">
        <f t="shared" si="5"/>
        <v>781000</v>
      </c>
    </row>
    <row r="158" spans="1:4">
      <c r="A158" s="7" t="s">
        <v>133</v>
      </c>
      <c r="B158" s="46">
        <v>778000</v>
      </c>
      <c r="C158" s="46"/>
      <c r="D158" s="49">
        <f t="shared" si="5"/>
        <v>778000</v>
      </c>
    </row>
    <row r="159" spans="1:4">
      <c r="A159" s="7" t="s">
        <v>134</v>
      </c>
      <c r="B159" s="46">
        <v>1049000</v>
      </c>
      <c r="C159" s="46"/>
      <c r="D159" s="49">
        <f t="shared" si="5"/>
        <v>1049000</v>
      </c>
    </row>
    <row r="160" spans="1:4">
      <c r="A160" s="7" t="s">
        <v>135</v>
      </c>
      <c r="B160" s="46">
        <v>952000</v>
      </c>
      <c r="C160" s="46"/>
      <c r="D160" s="49">
        <f t="shared" si="5"/>
        <v>952000</v>
      </c>
    </row>
    <row r="161" spans="1:4">
      <c r="A161" s="7" t="s">
        <v>136</v>
      </c>
      <c r="B161" s="46">
        <v>742000</v>
      </c>
      <c r="C161" s="46"/>
      <c r="D161" s="49">
        <f t="shared" si="5"/>
        <v>742000</v>
      </c>
    </row>
    <row r="162" spans="1:4">
      <c r="A162" s="7" t="s">
        <v>137</v>
      </c>
      <c r="B162" s="46">
        <v>949000</v>
      </c>
      <c r="C162" s="46"/>
      <c r="D162" s="49">
        <f t="shared" ref="D162:D225" si="6">B162-C162</f>
        <v>949000</v>
      </c>
    </row>
    <row r="163" spans="1:4">
      <c r="A163" s="7" t="s">
        <v>138</v>
      </c>
      <c r="B163" s="46">
        <v>302000</v>
      </c>
      <c r="C163" s="46"/>
      <c r="D163" s="49">
        <f t="shared" si="6"/>
        <v>302000</v>
      </c>
    </row>
    <row r="164" spans="1:4">
      <c r="A164" s="7" t="s">
        <v>139</v>
      </c>
      <c r="B164" s="46">
        <v>165000</v>
      </c>
      <c r="C164" s="46"/>
      <c r="D164" s="49">
        <f t="shared" si="6"/>
        <v>165000</v>
      </c>
    </row>
    <row r="165" spans="1:4">
      <c r="A165" s="7" t="s">
        <v>140</v>
      </c>
      <c r="B165" s="46">
        <v>1099000</v>
      </c>
      <c r="C165" s="46"/>
      <c r="D165" s="49">
        <f t="shared" si="6"/>
        <v>1099000</v>
      </c>
    </row>
    <row r="166" spans="1:4">
      <c r="A166" s="7" t="s">
        <v>141</v>
      </c>
      <c r="B166" s="46">
        <v>412000</v>
      </c>
      <c r="C166" s="46"/>
      <c r="D166" s="49">
        <f t="shared" si="6"/>
        <v>412000</v>
      </c>
    </row>
    <row r="167" spans="1:4">
      <c r="A167" s="7" t="s">
        <v>142</v>
      </c>
      <c r="B167" s="46">
        <v>161000</v>
      </c>
      <c r="C167" s="46"/>
      <c r="D167" s="49">
        <f t="shared" si="6"/>
        <v>161000</v>
      </c>
    </row>
    <row r="168" spans="1:4">
      <c r="A168" s="7" t="s">
        <v>143</v>
      </c>
      <c r="B168" s="46">
        <v>167000</v>
      </c>
      <c r="C168" s="46"/>
      <c r="D168" s="49">
        <f t="shared" si="6"/>
        <v>167000</v>
      </c>
    </row>
    <row r="169" spans="1:4">
      <c r="A169" s="7" t="s">
        <v>144</v>
      </c>
      <c r="B169" s="46">
        <v>365000</v>
      </c>
      <c r="C169" s="46"/>
      <c r="D169" s="49">
        <f t="shared" si="6"/>
        <v>365000</v>
      </c>
    </row>
    <row r="170" spans="1:4">
      <c r="A170" s="7" t="s">
        <v>145</v>
      </c>
      <c r="B170" s="46">
        <v>251000</v>
      </c>
      <c r="C170" s="46"/>
      <c r="D170" s="49">
        <f t="shared" si="6"/>
        <v>251000</v>
      </c>
    </row>
    <row r="171" spans="1:4">
      <c r="A171" s="7" t="s">
        <v>146</v>
      </c>
      <c r="B171" s="46">
        <v>678000</v>
      </c>
      <c r="C171" s="46"/>
      <c r="D171" s="49">
        <f t="shared" si="6"/>
        <v>678000</v>
      </c>
    </row>
    <row r="172" spans="1:4">
      <c r="A172" s="7" t="s">
        <v>147</v>
      </c>
      <c r="B172" s="46">
        <v>345000</v>
      </c>
      <c r="C172" s="46"/>
      <c r="D172" s="49">
        <f t="shared" si="6"/>
        <v>345000</v>
      </c>
    </row>
    <row r="173" spans="1:4">
      <c r="A173" s="7" t="s">
        <v>148</v>
      </c>
      <c r="B173" s="46">
        <v>809000</v>
      </c>
      <c r="C173" s="46"/>
      <c r="D173" s="49">
        <f t="shared" si="6"/>
        <v>809000</v>
      </c>
    </row>
    <row r="174" spans="1:4">
      <c r="A174" s="7" t="s">
        <v>149</v>
      </c>
      <c r="B174" s="46">
        <v>1016000</v>
      </c>
      <c r="C174" s="46"/>
      <c r="D174" s="49">
        <f t="shared" si="6"/>
        <v>1016000</v>
      </c>
    </row>
    <row r="175" spans="1:4">
      <c r="A175" s="7" t="s">
        <v>150</v>
      </c>
      <c r="B175" s="46">
        <v>2911000</v>
      </c>
      <c r="C175" s="46"/>
      <c r="D175" s="49">
        <f t="shared" si="6"/>
        <v>2911000</v>
      </c>
    </row>
    <row r="176" spans="1:4">
      <c r="A176" s="7" t="str">
        <f>"Régimalom u.                351/28"</f>
        <v>Régimalom u.                351/28</v>
      </c>
      <c r="B176" s="46">
        <v>4028000</v>
      </c>
      <c r="C176" s="46"/>
      <c r="D176" s="49">
        <f t="shared" si="6"/>
        <v>4028000</v>
      </c>
    </row>
    <row r="177" spans="1:4">
      <c r="A177" s="7" t="s">
        <v>151</v>
      </c>
      <c r="B177" s="46">
        <v>4919000</v>
      </c>
      <c r="C177" s="46"/>
      <c r="D177" s="49">
        <f t="shared" si="6"/>
        <v>4919000</v>
      </c>
    </row>
    <row r="178" spans="1:4">
      <c r="A178" s="7" t="s">
        <v>152</v>
      </c>
      <c r="B178" s="46">
        <v>1025000</v>
      </c>
      <c r="C178" s="46"/>
      <c r="D178" s="49">
        <f t="shared" si="6"/>
        <v>1025000</v>
      </c>
    </row>
    <row r="179" spans="1:4">
      <c r="A179" s="7" t="s">
        <v>153</v>
      </c>
      <c r="B179" s="46">
        <v>2722000</v>
      </c>
      <c r="C179" s="46"/>
      <c r="D179" s="49">
        <f t="shared" si="6"/>
        <v>2722000</v>
      </c>
    </row>
    <row r="180" spans="1:4">
      <c r="A180" s="7" t="s">
        <v>154</v>
      </c>
      <c r="B180" s="46">
        <v>4218000</v>
      </c>
      <c r="C180" s="46"/>
      <c r="D180" s="49">
        <f t="shared" si="6"/>
        <v>4218000</v>
      </c>
    </row>
    <row r="181" spans="1:4">
      <c r="A181" s="7" t="s">
        <v>155</v>
      </c>
      <c r="B181" s="46">
        <v>3878000</v>
      </c>
      <c r="C181" s="46"/>
      <c r="D181" s="49">
        <f t="shared" si="6"/>
        <v>3878000</v>
      </c>
    </row>
    <row r="182" spans="1:4">
      <c r="A182" s="7" t="s">
        <v>156</v>
      </c>
      <c r="B182" s="46">
        <v>949000</v>
      </c>
      <c r="C182" s="46"/>
      <c r="D182" s="49">
        <f t="shared" si="6"/>
        <v>949000</v>
      </c>
    </row>
    <row r="183" spans="1:4">
      <c r="A183" s="7" t="s">
        <v>157</v>
      </c>
      <c r="B183" s="46">
        <v>2651000</v>
      </c>
      <c r="C183" s="46"/>
      <c r="D183" s="49">
        <f t="shared" si="6"/>
        <v>2651000</v>
      </c>
    </row>
    <row r="184" spans="1:4">
      <c r="A184" s="7" t="s">
        <v>158</v>
      </c>
      <c r="B184" s="46">
        <v>3157000</v>
      </c>
      <c r="C184" s="46"/>
      <c r="D184" s="49">
        <f t="shared" si="6"/>
        <v>3157000</v>
      </c>
    </row>
    <row r="185" spans="1:4">
      <c r="A185" s="7" t="str">
        <f>"Szerb u.                    599/3"</f>
        <v>Szerb u.                    599/3</v>
      </c>
      <c r="B185" s="46">
        <v>1529000</v>
      </c>
      <c r="C185" s="46"/>
      <c r="D185" s="49">
        <f t="shared" si="6"/>
        <v>1529000</v>
      </c>
    </row>
    <row r="186" spans="1:4">
      <c r="A186" s="7" t="str">
        <f>"Szervíz u.                  344/5"</f>
        <v>Szervíz u.                  344/5</v>
      </c>
      <c r="B186" s="46">
        <v>1481000</v>
      </c>
      <c r="C186" s="46"/>
      <c r="D186" s="49">
        <f t="shared" si="6"/>
        <v>1481000</v>
      </c>
    </row>
    <row r="187" spans="1:4">
      <c r="A187" s="7" t="s">
        <v>159</v>
      </c>
      <c r="B187" s="46">
        <v>5053000</v>
      </c>
      <c r="C187" s="46"/>
      <c r="D187" s="49">
        <f t="shared" si="6"/>
        <v>5053000</v>
      </c>
    </row>
    <row r="188" spans="1:4">
      <c r="A188" s="7" t="str">
        <f>"Szontágh P.u                1036/24"</f>
        <v>Szontágh P.u                1036/24</v>
      </c>
      <c r="B188" s="46">
        <v>251000</v>
      </c>
      <c r="C188" s="46"/>
      <c r="D188" s="49">
        <f t="shared" si="6"/>
        <v>251000</v>
      </c>
    </row>
    <row r="189" spans="1:4">
      <c r="A189" s="7" t="str">
        <f>"Veres Pálné u.              3120/4"</f>
        <v>Veres Pálné u.              3120/4</v>
      </c>
      <c r="B189" s="46">
        <v>670000</v>
      </c>
      <c r="C189" s="46"/>
      <c r="D189" s="49">
        <f t="shared" si="6"/>
        <v>670000</v>
      </c>
    </row>
    <row r="190" spans="1:4">
      <c r="A190" s="7" t="str">
        <f>"Veres Pálné u.              1835/39"</f>
        <v>Veres Pálné u.              1835/39</v>
      </c>
      <c r="B190" s="46">
        <v>740000</v>
      </c>
      <c r="C190" s="46"/>
      <c r="D190" s="49">
        <f t="shared" si="6"/>
        <v>740000</v>
      </c>
    </row>
    <row r="191" spans="1:4">
      <c r="A191" s="7" t="str">
        <f>"Veres Pálné u.              1838/39"</f>
        <v>Veres Pálné u.              1838/39</v>
      </c>
      <c r="B191" s="46">
        <v>2009000</v>
      </c>
      <c r="C191" s="46"/>
      <c r="D191" s="49">
        <f t="shared" si="6"/>
        <v>2009000</v>
      </c>
    </row>
    <row r="192" spans="1:4">
      <c r="A192" s="7" t="s">
        <v>160</v>
      </c>
      <c r="B192" s="46">
        <v>97702</v>
      </c>
      <c r="C192" s="46"/>
      <c r="D192" s="49">
        <f t="shared" si="6"/>
        <v>97702</v>
      </c>
    </row>
    <row r="193" spans="1:4">
      <c r="A193" s="7" t="s">
        <v>161</v>
      </c>
      <c r="B193" s="46">
        <v>519000</v>
      </c>
      <c r="C193" s="46"/>
      <c r="D193" s="49">
        <f t="shared" si="6"/>
        <v>519000</v>
      </c>
    </row>
    <row r="194" spans="1:4">
      <c r="A194" s="7" t="s">
        <v>162</v>
      </c>
      <c r="B194" s="46">
        <v>2293000</v>
      </c>
      <c r="C194" s="46"/>
      <c r="D194" s="49">
        <f t="shared" si="6"/>
        <v>2293000</v>
      </c>
    </row>
    <row r="195" spans="1:4">
      <c r="A195" s="7" t="s">
        <v>163</v>
      </c>
      <c r="B195" s="46">
        <v>3883000</v>
      </c>
      <c r="C195" s="46"/>
      <c r="D195" s="49">
        <f t="shared" si="6"/>
        <v>3883000</v>
      </c>
    </row>
    <row r="196" spans="1:4">
      <c r="A196" s="7" t="s">
        <v>164</v>
      </c>
      <c r="B196" s="46">
        <v>553000</v>
      </c>
      <c r="C196" s="46"/>
      <c r="D196" s="49">
        <f t="shared" si="6"/>
        <v>553000</v>
      </c>
    </row>
    <row r="197" spans="1:4">
      <c r="A197" s="7" t="str">
        <f>"Váci M.u.                   1835/24"</f>
        <v>Váci M.u.                   1835/24</v>
      </c>
      <c r="B197" s="46">
        <v>404000</v>
      </c>
      <c r="C197" s="46"/>
      <c r="D197" s="49">
        <f t="shared" si="6"/>
        <v>404000</v>
      </c>
    </row>
    <row r="198" spans="1:4">
      <c r="A198" s="7" t="str">
        <f>"Váci M.u.                   1835/81"</f>
        <v>Váci M.u.                   1835/81</v>
      </c>
      <c r="B198" s="46">
        <v>1094000</v>
      </c>
      <c r="C198" s="46"/>
      <c r="D198" s="49">
        <f t="shared" si="6"/>
        <v>1094000</v>
      </c>
    </row>
    <row r="199" spans="1:4">
      <c r="A199" s="7" t="s">
        <v>165</v>
      </c>
      <c r="B199" s="46">
        <v>1723000</v>
      </c>
      <c r="C199" s="46"/>
      <c r="D199" s="49">
        <f t="shared" si="6"/>
        <v>1723000</v>
      </c>
    </row>
    <row r="200" spans="1:4">
      <c r="A200" s="7" t="s">
        <v>166</v>
      </c>
      <c r="B200" s="46">
        <v>950000</v>
      </c>
      <c r="C200" s="46"/>
      <c r="D200" s="49">
        <f t="shared" si="6"/>
        <v>950000</v>
      </c>
    </row>
    <row r="201" spans="1:4">
      <c r="A201" s="7" t="s">
        <v>167</v>
      </c>
      <c r="B201" s="46">
        <v>3298000</v>
      </c>
      <c r="C201" s="46"/>
      <c r="D201" s="49">
        <f t="shared" si="6"/>
        <v>3298000</v>
      </c>
    </row>
    <row r="202" spans="1:4">
      <c r="A202" s="7" t="s">
        <v>168</v>
      </c>
      <c r="B202" s="46">
        <v>4581000</v>
      </c>
      <c r="C202" s="46"/>
      <c r="D202" s="49">
        <f t="shared" si="6"/>
        <v>4581000</v>
      </c>
    </row>
    <row r="203" spans="1:4">
      <c r="A203" s="7" t="s">
        <v>169</v>
      </c>
      <c r="B203" s="46">
        <v>1148000</v>
      </c>
      <c r="C203" s="46"/>
      <c r="D203" s="49">
        <f t="shared" si="6"/>
        <v>1148000</v>
      </c>
    </row>
    <row r="204" spans="1:4">
      <c r="A204" s="7" t="s">
        <v>170</v>
      </c>
      <c r="B204" s="46">
        <v>6130000</v>
      </c>
      <c r="C204" s="46"/>
      <c r="D204" s="49">
        <f t="shared" si="6"/>
        <v>6130000</v>
      </c>
    </row>
    <row r="205" spans="1:4">
      <c r="A205" s="7" t="str">
        <f>"Éger u.                     5009/5"</f>
        <v>Éger u.                     5009/5</v>
      </c>
      <c r="B205" s="46">
        <v>133000</v>
      </c>
      <c r="C205" s="46"/>
      <c r="D205" s="49">
        <f t="shared" si="6"/>
        <v>133000</v>
      </c>
    </row>
    <row r="206" spans="1:4">
      <c r="A206" s="7" t="s">
        <v>171</v>
      </c>
      <c r="B206" s="46">
        <v>51444</v>
      </c>
      <c r="C206" s="46"/>
      <c r="D206" s="49">
        <f t="shared" si="6"/>
        <v>51444</v>
      </c>
    </row>
    <row r="207" spans="1:4">
      <c r="A207" s="7" t="str">
        <f>"Égerfa u.                   8720/6"</f>
        <v>Égerfa u.                   8720/6</v>
      </c>
      <c r="B207" s="46">
        <v>10000</v>
      </c>
      <c r="C207" s="46"/>
      <c r="D207" s="49">
        <f t="shared" si="6"/>
        <v>10000</v>
      </c>
    </row>
    <row r="208" spans="1:4">
      <c r="A208" s="7" t="s">
        <v>172</v>
      </c>
      <c r="B208" s="46">
        <v>1238000</v>
      </c>
      <c r="C208" s="46"/>
      <c r="D208" s="49">
        <f t="shared" si="6"/>
        <v>1238000</v>
      </c>
    </row>
    <row r="209" spans="1:4">
      <c r="A209" s="7" t="s">
        <v>173</v>
      </c>
      <c r="B209" s="46">
        <v>9604000</v>
      </c>
      <c r="C209" s="46"/>
      <c r="D209" s="49">
        <f t="shared" si="6"/>
        <v>9604000</v>
      </c>
    </row>
    <row r="210" spans="1:4">
      <c r="A210" s="7" t="s">
        <v>174</v>
      </c>
      <c r="B210" s="46">
        <v>2458000</v>
      </c>
      <c r="C210" s="46"/>
      <c r="D210" s="49">
        <f t="shared" si="6"/>
        <v>2458000</v>
      </c>
    </row>
    <row r="211" spans="1:4">
      <c r="A211" s="7" t="str">
        <f>"Árnyas u.                   5160/7"</f>
        <v>Árnyas u.                   5160/7</v>
      </c>
      <c r="B211" s="46">
        <v>5880000</v>
      </c>
      <c r="C211" s="46"/>
      <c r="D211" s="49">
        <f t="shared" si="6"/>
        <v>5880000</v>
      </c>
    </row>
    <row r="212" spans="1:4">
      <c r="A212" s="7" t="str">
        <f>"Új u.                       5041/2"</f>
        <v>Új u.                       5041/2</v>
      </c>
      <c r="B212" s="46">
        <v>535000</v>
      </c>
      <c r="C212" s="46"/>
      <c r="D212" s="49">
        <f t="shared" si="6"/>
        <v>535000</v>
      </c>
    </row>
    <row r="213" spans="1:4">
      <c r="A213" s="7" t="str">
        <f>"Külter.Dpalánk   0118/5"</f>
        <v>Külter.Dpalánk   0118/5</v>
      </c>
      <c r="B213" s="46">
        <v>200000</v>
      </c>
      <c r="C213" s="46"/>
      <c r="D213" s="49">
        <f t="shared" si="6"/>
        <v>200000</v>
      </c>
    </row>
    <row r="214" spans="1:4">
      <c r="A214" s="7" t="str">
        <f>"Külter.Dpalánk   0118/5"</f>
        <v>Külter.Dpalánk   0118/5</v>
      </c>
      <c r="B214" s="46">
        <v>1000</v>
      </c>
      <c r="C214" s="46"/>
      <c r="D214" s="49">
        <f t="shared" si="6"/>
        <v>1000</v>
      </c>
    </row>
    <row r="215" spans="1:4">
      <c r="A215" s="7" t="str">
        <f>"Hétvezér u.26.   201/3"</f>
        <v>Hétvezér u.26.   201/3</v>
      </c>
      <c r="B215" s="46">
        <v>3572000</v>
      </c>
      <c r="C215" s="46"/>
      <c r="D215" s="49">
        <f t="shared" si="6"/>
        <v>3572000</v>
      </c>
    </row>
    <row r="216" spans="1:4">
      <c r="A216" s="7" t="s">
        <v>176</v>
      </c>
      <c r="B216" s="46">
        <v>665000</v>
      </c>
      <c r="C216" s="46"/>
      <c r="D216" s="49">
        <f t="shared" si="6"/>
        <v>665000</v>
      </c>
    </row>
    <row r="217" spans="1:4">
      <c r="A217" s="7" t="s">
        <v>177</v>
      </c>
      <c r="B217" s="46">
        <v>2521000</v>
      </c>
      <c r="C217" s="46"/>
      <c r="D217" s="49">
        <f t="shared" si="6"/>
        <v>2521000</v>
      </c>
    </row>
    <row r="218" spans="1:4">
      <c r="A218" s="7" t="s">
        <v>178</v>
      </c>
      <c r="B218" s="46">
        <v>7291000</v>
      </c>
      <c r="C218" s="46"/>
      <c r="D218" s="49">
        <f t="shared" si="6"/>
        <v>7291000</v>
      </c>
    </row>
    <row r="219" spans="1:4">
      <c r="A219" s="7" t="s">
        <v>179</v>
      </c>
      <c r="B219" s="46">
        <v>4554000</v>
      </c>
      <c r="C219" s="46"/>
      <c r="D219" s="49">
        <f t="shared" si="6"/>
        <v>4554000</v>
      </c>
    </row>
    <row r="220" spans="1:4">
      <c r="A220" s="7" t="s">
        <v>180</v>
      </c>
      <c r="B220" s="46">
        <v>5230000</v>
      </c>
      <c r="C220" s="46"/>
      <c r="D220" s="49">
        <f t="shared" si="6"/>
        <v>5230000</v>
      </c>
    </row>
    <row r="221" spans="1:4">
      <c r="A221" s="7" t="str">
        <f>"Külter. Bgy.     0169/7"</f>
        <v>Külter. Bgy.     0169/7</v>
      </c>
      <c r="B221" s="46">
        <v>23000</v>
      </c>
      <c r="C221" s="46"/>
      <c r="D221" s="49">
        <f t="shared" si="6"/>
        <v>23000</v>
      </c>
    </row>
    <row r="222" spans="1:4">
      <c r="A222" s="7" t="s">
        <v>181</v>
      </c>
      <c r="B222" s="46">
        <v>6310000</v>
      </c>
      <c r="C222" s="46"/>
      <c r="D222" s="49">
        <f t="shared" si="6"/>
        <v>6310000</v>
      </c>
    </row>
    <row r="223" spans="1:4">
      <c r="A223" s="7" t="str">
        <f>"Külter.Bgy.      0158/4"</f>
        <v>Külter.Bgy.      0158/4</v>
      </c>
      <c r="B223" s="46">
        <v>421000</v>
      </c>
      <c r="C223" s="46"/>
      <c r="D223" s="49">
        <f t="shared" si="6"/>
        <v>421000</v>
      </c>
    </row>
    <row r="224" spans="1:4">
      <c r="A224" s="7" t="s">
        <v>182</v>
      </c>
      <c r="B224" s="46">
        <v>186000</v>
      </c>
      <c r="C224" s="46"/>
      <c r="D224" s="49">
        <f t="shared" si="6"/>
        <v>186000</v>
      </c>
    </row>
    <row r="225" spans="1:4">
      <c r="A225" s="7" t="s">
        <v>183</v>
      </c>
      <c r="B225" s="46">
        <v>326000</v>
      </c>
      <c r="C225" s="46"/>
      <c r="D225" s="49">
        <f t="shared" si="6"/>
        <v>326000</v>
      </c>
    </row>
    <row r="226" spans="1:4">
      <c r="A226" s="7" t="s">
        <v>184</v>
      </c>
      <c r="B226" s="46">
        <v>1313000</v>
      </c>
      <c r="C226" s="46"/>
      <c r="D226" s="49">
        <f t="shared" ref="D226:D289" si="7">B226-C226</f>
        <v>1313000</v>
      </c>
    </row>
    <row r="227" spans="1:4">
      <c r="A227" s="7" t="s">
        <v>185</v>
      </c>
      <c r="B227" s="46">
        <v>7408000</v>
      </c>
      <c r="C227" s="46"/>
      <c r="D227" s="49">
        <f t="shared" si="7"/>
        <v>7408000</v>
      </c>
    </row>
    <row r="228" spans="1:4">
      <c r="A228" s="7" t="str">
        <f>"Nógrádi LTP.     946/18"</f>
        <v>Nógrádi LTP.     946/18</v>
      </c>
      <c r="B228" s="46">
        <v>399375</v>
      </c>
      <c r="C228" s="46"/>
      <c r="D228" s="49">
        <f t="shared" si="7"/>
        <v>399375</v>
      </c>
    </row>
    <row r="229" spans="1:4">
      <c r="A229" s="7" t="s">
        <v>187</v>
      </c>
      <c r="B229" s="46">
        <v>72000</v>
      </c>
      <c r="C229" s="46"/>
      <c r="D229" s="49">
        <f t="shared" si="7"/>
        <v>72000</v>
      </c>
    </row>
    <row r="230" spans="1:4">
      <c r="A230" s="7" t="s">
        <v>188</v>
      </c>
      <c r="B230" s="46">
        <v>2143471</v>
      </c>
      <c r="C230" s="46"/>
      <c r="D230" s="49">
        <f t="shared" si="7"/>
        <v>2143471</v>
      </c>
    </row>
    <row r="231" spans="1:4">
      <c r="A231" s="7" t="str">
        <f>"Bargár Ö.u.      2688/2"</f>
        <v>Bargár Ö.u.      2688/2</v>
      </c>
      <c r="B231" s="46">
        <v>4750000</v>
      </c>
      <c r="C231" s="46"/>
      <c r="D231" s="49">
        <f t="shared" si="7"/>
        <v>4750000</v>
      </c>
    </row>
    <row r="232" spans="1:4">
      <c r="A232" s="7" t="str">
        <f>"Horváth E.u.     2753/2"</f>
        <v>Horváth E.u.     2753/2</v>
      </c>
      <c r="B232" s="46">
        <v>5083500</v>
      </c>
      <c r="C232" s="46"/>
      <c r="D232" s="49">
        <f t="shared" si="7"/>
        <v>5083500</v>
      </c>
    </row>
    <row r="233" spans="1:4">
      <c r="A233" s="7" t="str">
        <f>"Ipolypart u.     384/2"</f>
        <v>Ipolypart u.     384/2</v>
      </c>
      <c r="B233" s="46">
        <v>231000</v>
      </c>
      <c r="C233" s="46"/>
      <c r="D233" s="49">
        <f t="shared" si="7"/>
        <v>231000</v>
      </c>
    </row>
    <row r="234" spans="1:4">
      <c r="A234" s="7" t="str">
        <f>"Kóvári u.        351/3"</f>
        <v>Kóvári u.        351/3</v>
      </c>
      <c r="B234" s="46">
        <v>741000</v>
      </c>
      <c r="C234" s="46"/>
      <c r="D234" s="49">
        <f t="shared" si="7"/>
        <v>741000</v>
      </c>
    </row>
    <row r="235" spans="1:4">
      <c r="A235" s="7" t="s">
        <v>189</v>
      </c>
      <c r="B235" s="46">
        <v>712000</v>
      </c>
      <c r="C235" s="46"/>
      <c r="D235" s="49">
        <f t="shared" si="7"/>
        <v>712000</v>
      </c>
    </row>
    <row r="236" spans="1:4">
      <c r="A236" s="7" t="str">
        <f>"Tiszaföldvár     295/2"</f>
        <v>Tiszaföldvár     295/2</v>
      </c>
      <c r="B236" s="46">
        <v>1840000</v>
      </c>
      <c r="C236" s="46"/>
      <c r="D236" s="49">
        <f t="shared" si="7"/>
        <v>1840000</v>
      </c>
    </row>
    <row r="237" spans="1:4">
      <c r="A237" s="7" t="s">
        <v>190</v>
      </c>
      <c r="B237" s="46">
        <v>4060000</v>
      </c>
      <c r="C237" s="46"/>
      <c r="D237" s="49">
        <f t="shared" si="7"/>
        <v>4060000</v>
      </c>
    </row>
    <row r="238" spans="1:4">
      <c r="A238" s="7" t="s">
        <v>191</v>
      </c>
      <c r="B238" s="46">
        <v>29000</v>
      </c>
      <c r="C238" s="46"/>
      <c r="D238" s="49">
        <f t="shared" si="7"/>
        <v>29000</v>
      </c>
    </row>
    <row r="239" spans="1:4">
      <c r="A239" s="7" t="str">
        <f>"Külter.          016/2"</f>
        <v>Külter.          016/2</v>
      </c>
      <c r="B239" s="46">
        <v>788000</v>
      </c>
      <c r="C239" s="46"/>
      <c r="D239" s="49">
        <f t="shared" si="7"/>
        <v>788000</v>
      </c>
    </row>
    <row r="240" spans="1:4">
      <c r="A240" s="7" t="s">
        <v>192</v>
      </c>
      <c r="B240" s="46">
        <v>189000</v>
      </c>
      <c r="C240" s="46"/>
      <c r="D240" s="49">
        <f t="shared" si="7"/>
        <v>189000</v>
      </c>
    </row>
    <row r="241" spans="1:4">
      <c r="A241" s="7" t="str">
        <f>"Erdélyi u. altalaj 298/17"</f>
        <v>Erdélyi u. altalaj 298/17</v>
      </c>
      <c r="B241" s="46">
        <v>50000000</v>
      </c>
      <c r="C241" s="46"/>
      <c r="D241" s="49">
        <f t="shared" si="7"/>
        <v>50000000</v>
      </c>
    </row>
    <row r="242" spans="1:4">
      <c r="A242" s="7" t="s">
        <v>196</v>
      </c>
      <c r="B242" s="46">
        <v>1324000</v>
      </c>
      <c r="C242" s="46"/>
      <c r="D242" s="49">
        <f t="shared" si="7"/>
        <v>1324000</v>
      </c>
    </row>
    <row r="243" spans="1:4">
      <c r="A243" s="7" t="s">
        <v>197</v>
      </c>
      <c r="B243" s="46">
        <v>1403000</v>
      </c>
      <c r="C243" s="46"/>
      <c r="D243" s="49">
        <f t="shared" si="7"/>
        <v>1403000</v>
      </c>
    </row>
    <row r="244" spans="1:4">
      <c r="A244" s="7" t="str">
        <f>"Patvarci út 1040/15"</f>
        <v>Patvarci út 1040/15</v>
      </c>
      <c r="B244" s="46">
        <v>3646000</v>
      </c>
      <c r="C244" s="46"/>
      <c r="D244" s="49">
        <f t="shared" si="7"/>
        <v>3646000</v>
      </c>
    </row>
    <row r="245" spans="1:4">
      <c r="A245" s="7" t="str">
        <f>"Külterület 025/8"</f>
        <v>Külterület 025/8</v>
      </c>
      <c r="B245" s="46">
        <v>20000</v>
      </c>
      <c r="C245" s="46"/>
      <c r="D245" s="49">
        <f t="shared" si="7"/>
        <v>20000</v>
      </c>
    </row>
    <row r="246" spans="1:4">
      <c r="A246" s="7" t="s">
        <v>198</v>
      </c>
      <c r="B246" s="46">
        <v>53000</v>
      </c>
      <c r="C246" s="46"/>
      <c r="D246" s="49">
        <f t="shared" si="7"/>
        <v>53000</v>
      </c>
    </row>
    <row r="247" spans="1:4">
      <c r="A247" s="7" t="s">
        <v>201</v>
      </c>
      <c r="B247" s="46">
        <v>4144000</v>
      </c>
      <c r="C247" s="46"/>
      <c r="D247" s="49">
        <f t="shared" si="7"/>
        <v>4144000</v>
      </c>
    </row>
    <row r="248" spans="1:4">
      <c r="A248" s="7" t="s">
        <v>204</v>
      </c>
      <c r="B248" s="46">
        <v>1126000</v>
      </c>
      <c r="C248" s="46"/>
      <c r="D248" s="49">
        <f t="shared" si="7"/>
        <v>1126000</v>
      </c>
    </row>
    <row r="249" spans="1:4">
      <c r="A249" s="7" t="str">
        <f>"Saját használatú út 045/28"</f>
        <v>Saját használatú út 045/28</v>
      </c>
      <c r="B249" s="46">
        <v>98000</v>
      </c>
      <c r="C249" s="46"/>
      <c r="D249" s="49">
        <f t="shared" si="7"/>
        <v>98000</v>
      </c>
    </row>
    <row r="250" spans="1:4">
      <c r="A250" s="7" t="str">
        <f>"Saját használatú út 045/35"</f>
        <v>Saját használatú út 045/35</v>
      </c>
      <c r="B250" s="46">
        <v>53000</v>
      </c>
      <c r="C250" s="46"/>
      <c r="D250" s="49">
        <f t="shared" si="7"/>
        <v>53000</v>
      </c>
    </row>
    <row r="251" spans="1:4">
      <c r="A251" s="7" t="str">
        <f>"Saját használatú út 045/36"</f>
        <v>Saját használatú út 045/36</v>
      </c>
      <c r="B251" s="46">
        <v>38000</v>
      </c>
      <c r="C251" s="46"/>
      <c r="D251" s="49">
        <f t="shared" si="7"/>
        <v>38000</v>
      </c>
    </row>
    <row r="252" spans="1:4">
      <c r="A252" s="7" t="s">
        <v>206</v>
      </c>
      <c r="B252" s="46">
        <v>203000</v>
      </c>
      <c r="C252" s="46"/>
      <c r="D252" s="49">
        <f t="shared" si="7"/>
        <v>203000</v>
      </c>
    </row>
    <row r="253" spans="1:4">
      <c r="A253" s="7" t="str">
        <f>"Saját használatú út 049/7"</f>
        <v>Saját használatú út 049/7</v>
      </c>
      <c r="B253" s="46">
        <v>73000</v>
      </c>
      <c r="C253" s="46"/>
      <c r="D253" s="49">
        <f t="shared" si="7"/>
        <v>73000</v>
      </c>
    </row>
    <row r="254" spans="1:4">
      <c r="A254" s="7" t="str">
        <f>"Saját használatú út 049/26"</f>
        <v>Saját használatú út 049/26</v>
      </c>
      <c r="B254" s="46">
        <v>83000</v>
      </c>
      <c r="C254" s="46"/>
      <c r="D254" s="49">
        <f t="shared" si="7"/>
        <v>83000</v>
      </c>
    </row>
    <row r="255" spans="1:4">
      <c r="A255" s="7" t="s">
        <v>207</v>
      </c>
      <c r="B255" s="46">
        <v>38000</v>
      </c>
      <c r="C255" s="46"/>
      <c r="D255" s="49">
        <f t="shared" si="7"/>
        <v>38000</v>
      </c>
    </row>
    <row r="256" spans="1:4">
      <c r="A256" s="7" t="str">
        <f>"Saját használatú út 071/21"</f>
        <v>Saját használatú út 071/21</v>
      </c>
      <c r="B256" s="46">
        <v>22000</v>
      </c>
      <c r="C256" s="46"/>
      <c r="D256" s="49">
        <f t="shared" si="7"/>
        <v>22000</v>
      </c>
    </row>
    <row r="257" spans="1:4">
      <c r="A257" s="7" t="str">
        <f>"Saját használatú út 078/3"</f>
        <v>Saját használatú út 078/3</v>
      </c>
      <c r="B257" s="46">
        <v>19000</v>
      </c>
      <c r="C257" s="46"/>
      <c r="D257" s="49">
        <f t="shared" si="7"/>
        <v>19000</v>
      </c>
    </row>
    <row r="258" spans="1:4">
      <c r="A258" s="7" t="str">
        <f>"Saját használatú út 078/6"</f>
        <v>Saját használatú út 078/6</v>
      </c>
      <c r="B258" s="46">
        <v>71000</v>
      </c>
      <c r="C258" s="46"/>
      <c r="D258" s="49">
        <f t="shared" si="7"/>
        <v>71000</v>
      </c>
    </row>
    <row r="259" spans="1:4">
      <c r="A259" s="7" t="s">
        <v>208</v>
      </c>
      <c r="B259" s="46">
        <v>107000</v>
      </c>
      <c r="C259" s="46"/>
      <c r="D259" s="49">
        <f t="shared" si="7"/>
        <v>107000</v>
      </c>
    </row>
    <row r="260" spans="1:4">
      <c r="A260" s="7" t="str">
        <f>"Saját használatú út 0127/5"</f>
        <v>Saját használatú út 0127/5</v>
      </c>
      <c r="B260" s="46">
        <v>47000</v>
      </c>
      <c r="C260" s="46"/>
      <c r="D260" s="49">
        <f t="shared" si="7"/>
        <v>47000</v>
      </c>
    </row>
    <row r="261" spans="1:4">
      <c r="A261" s="7" t="str">
        <f>"Saját használatú út 0152/10"</f>
        <v>Saját használatú út 0152/10</v>
      </c>
      <c r="B261" s="46">
        <v>31000</v>
      </c>
      <c r="C261" s="46"/>
      <c r="D261" s="49">
        <f t="shared" si="7"/>
        <v>31000</v>
      </c>
    </row>
    <row r="262" spans="1:4">
      <c r="A262" s="7" t="str">
        <f>"Saját használatú út 0160/10"</f>
        <v>Saját használatú út 0160/10</v>
      </c>
      <c r="B262" s="46">
        <v>30000</v>
      </c>
      <c r="C262" s="46"/>
      <c r="D262" s="49">
        <f t="shared" si="7"/>
        <v>30000</v>
      </c>
    </row>
    <row r="263" spans="1:4">
      <c r="A263" s="7" t="str">
        <f>"Átvett közút 335/5"</f>
        <v>Átvett közút 335/5</v>
      </c>
      <c r="B263" s="46">
        <v>25951544</v>
      </c>
      <c r="C263" s="46"/>
      <c r="D263" s="49">
        <f t="shared" si="7"/>
        <v>25951544</v>
      </c>
    </row>
    <row r="264" spans="1:4">
      <c r="A264" s="7" t="s">
        <v>209</v>
      </c>
      <c r="B264" s="46">
        <v>32218000</v>
      </c>
      <c r="C264" s="46"/>
      <c r="D264" s="49">
        <f t="shared" si="7"/>
        <v>32218000</v>
      </c>
    </row>
    <row r="265" spans="1:4">
      <c r="A265" s="7" t="str">
        <f>"Springa 1835/108 út"</f>
        <v>Springa 1835/108 út</v>
      </c>
      <c r="B265" s="46">
        <v>1100110</v>
      </c>
      <c r="C265" s="46"/>
      <c r="D265" s="49">
        <f t="shared" si="7"/>
        <v>1100110</v>
      </c>
    </row>
    <row r="266" spans="1:4">
      <c r="A266" s="7" t="str">
        <f>"Rákóczi u.63.    1425/2"</f>
        <v>Rákóczi u.63.    1425/2</v>
      </c>
      <c r="B266" s="46">
        <v>414000</v>
      </c>
      <c r="C266" s="46"/>
      <c r="D266" s="49">
        <f t="shared" si="7"/>
        <v>414000</v>
      </c>
    </row>
    <row r="267" spans="1:4">
      <c r="A267" s="7" t="s">
        <v>215</v>
      </c>
      <c r="B267" s="46">
        <v>639000</v>
      </c>
      <c r="C267" s="46"/>
      <c r="D267" s="49">
        <f t="shared" si="7"/>
        <v>639000</v>
      </c>
    </row>
    <row r="268" spans="1:4">
      <c r="A268" s="7" t="s">
        <v>216</v>
      </c>
      <c r="B268" s="46">
        <v>1356000</v>
      </c>
      <c r="C268" s="46"/>
      <c r="D268" s="49">
        <f t="shared" si="7"/>
        <v>1356000</v>
      </c>
    </row>
    <row r="269" spans="1:4">
      <c r="A269" s="7" t="s">
        <v>217</v>
      </c>
      <c r="B269" s="46">
        <v>495000</v>
      </c>
      <c r="C269" s="46"/>
      <c r="D269" s="49">
        <f t="shared" si="7"/>
        <v>495000</v>
      </c>
    </row>
    <row r="270" spans="1:4">
      <c r="A270" s="7" t="str">
        <f>"Rákóczi 18/c     509/3"</f>
        <v>Rákóczi 18/c     509/3</v>
      </c>
      <c r="B270" s="46">
        <v>343000</v>
      </c>
      <c r="C270" s="46"/>
      <c r="D270" s="49">
        <f t="shared" si="7"/>
        <v>343000</v>
      </c>
    </row>
    <row r="271" spans="1:4">
      <c r="A271" s="7" t="str">
        <f>"Rákóczi u.6.     437/2"</f>
        <v>Rákóczi u.6.     437/2</v>
      </c>
      <c r="B271" s="46">
        <v>3404000</v>
      </c>
      <c r="C271" s="46"/>
      <c r="D271" s="49">
        <f t="shared" si="7"/>
        <v>3404000</v>
      </c>
    </row>
    <row r="272" spans="1:4">
      <c r="A272" s="7" t="s">
        <v>218</v>
      </c>
      <c r="B272" s="46">
        <v>3176000</v>
      </c>
      <c r="C272" s="46"/>
      <c r="D272" s="49">
        <f t="shared" si="7"/>
        <v>3176000</v>
      </c>
    </row>
    <row r="273" spans="1:4">
      <c r="A273" s="7" t="str">
        <f>"Rákóczi u. 8/a   438"</f>
        <v>Rákóczi u. 8/a   438</v>
      </c>
      <c r="B273" s="46">
        <v>1461000</v>
      </c>
      <c r="C273" s="46"/>
      <c r="D273" s="49">
        <f t="shared" si="7"/>
        <v>1461000</v>
      </c>
    </row>
    <row r="274" spans="1:4">
      <c r="A274" s="7" t="s">
        <v>219</v>
      </c>
      <c r="B274" s="46">
        <v>1182000</v>
      </c>
      <c r="C274" s="46"/>
      <c r="D274" s="49">
        <f t="shared" si="7"/>
        <v>1182000</v>
      </c>
    </row>
    <row r="275" spans="1:4">
      <c r="A275" s="7" t="str">
        <f>"Régimalom 2.     351/12"</f>
        <v>Régimalom 2.     351/12</v>
      </c>
      <c r="B275" s="46">
        <v>3138000</v>
      </c>
      <c r="C275" s="46"/>
      <c r="D275" s="49">
        <f t="shared" si="7"/>
        <v>3138000</v>
      </c>
    </row>
    <row r="276" spans="1:4">
      <c r="A276" s="7" t="str">
        <f>"Régimalom 2.     374/1"</f>
        <v>Régimalom 2.     374/1</v>
      </c>
      <c r="B276" s="46">
        <v>21819000</v>
      </c>
      <c r="C276" s="46"/>
      <c r="D276" s="49">
        <f t="shared" si="7"/>
        <v>21819000</v>
      </c>
    </row>
    <row r="277" spans="1:4">
      <c r="A277" s="7" t="str">
        <f>"Semmelweis u.    871/3"</f>
        <v>Semmelweis u.    871/3</v>
      </c>
      <c r="B277" s="46">
        <v>624000</v>
      </c>
      <c r="C277" s="46"/>
      <c r="D277" s="49">
        <f t="shared" si="7"/>
        <v>624000</v>
      </c>
    </row>
    <row r="278" spans="1:4">
      <c r="A278" s="7" t="str">
        <f>"Semmelweis u.    903/1"</f>
        <v>Semmelweis u.    903/1</v>
      </c>
      <c r="B278" s="46">
        <v>179000</v>
      </c>
      <c r="C278" s="46"/>
      <c r="D278" s="49">
        <f t="shared" si="7"/>
        <v>179000</v>
      </c>
    </row>
    <row r="279" spans="1:4">
      <c r="A279" s="7" t="str">
        <f>"Szerb u.5.       600/1"</f>
        <v>Szerb u.5.       600/1</v>
      </c>
      <c r="B279" s="46">
        <v>299000</v>
      </c>
      <c r="C279" s="46"/>
      <c r="D279" s="49">
        <f t="shared" si="7"/>
        <v>299000</v>
      </c>
    </row>
    <row r="280" spans="1:4">
      <c r="A280" s="7" t="str">
        <f>"Thököly u.2.     1431/7"</f>
        <v>Thököly u.2.     1431/7</v>
      </c>
      <c r="B280" s="46">
        <v>15396389</v>
      </c>
      <c r="C280" s="46"/>
      <c r="D280" s="49">
        <f t="shared" si="7"/>
        <v>15396389</v>
      </c>
    </row>
    <row r="281" spans="1:4">
      <c r="A281" s="7" t="s">
        <v>221</v>
      </c>
      <c r="B281" s="46">
        <v>3248000</v>
      </c>
      <c r="C281" s="46"/>
      <c r="D281" s="49">
        <f t="shared" si="7"/>
        <v>3248000</v>
      </c>
    </row>
    <row r="282" spans="1:4">
      <c r="A282" s="7" t="str">
        <f>"Külterületi közút(zártkert) 8701/5"</f>
        <v>Külterületi közút(zártkert) 8701/5</v>
      </c>
      <c r="B282" s="46">
        <v>14000</v>
      </c>
      <c r="C282" s="46"/>
      <c r="D282" s="49">
        <f t="shared" si="7"/>
        <v>14000</v>
      </c>
    </row>
    <row r="283" spans="1:4">
      <c r="A283" s="7" t="s">
        <v>230</v>
      </c>
      <c r="B283" s="46">
        <v>158000</v>
      </c>
      <c r="C283" s="46"/>
      <c r="D283" s="49">
        <f t="shared" si="7"/>
        <v>158000</v>
      </c>
    </row>
    <row r="284" spans="1:4">
      <c r="A284" s="7" t="str">
        <f>"Árok 028/1"</f>
        <v>Árok 028/1</v>
      </c>
      <c r="B284" s="46">
        <v>26000</v>
      </c>
      <c r="C284" s="46"/>
      <c r="D284" s="49">
        <f t="shared" si="7"/>
        <v>26000</v>
      </c>
    </row>
    <row r="285" spans="1:4">
      <c r="A285" s="7" t="str">
        <f>"Töltés 028/2"</f>
        <v>Töltés 028/2</v>
      </c>
      <c r="B285" s="46">
        <v>47000</v>
      </c>
      <c r="C285" s="46"/>
      <c r="D285" s="49">
        <f t="shared" si="7"/>
        <v>47000</v>
      </c>
    </row>
    <row r="286" spans="1:4">
      <c r="A286" s="7" t="str">
        <f>"Árok 028/3"</f>
        <v>Árok 028/3</v>
      </c>
      <c r="B286" s="46">
        <v>241000</v>
      </c>
      <c r="C286" s="46"/>
      <c r="D286" s="49">
        <f t="shared" si="7"/>
        <v>241000</v>
      </c>
    </row>
    <row r="287" spans="1:4">
      <c r="A287" s="7" t="str">
        <f>"Saját használatú út 029/5"</f>
        <v>Saját használatú út 029/5</v>
      </c>
      <c r="B287" s="46">
        <v>31000</v>
      </c>
      <c r="C287" s="46"/>
      <c r="D287" s="49">
        <f t="shared" si="7"/>
        <v>31000</v>
      </c>
    </row>
    <row r="288" spans="1:4">
      <c r="A288" s="7" t="str">
        <f>"Árok 029/6"</f>
        <v>Árok 029/6</v>
      </c>
      <c r="B288" s="46">
        <v>24000</v>
      </c>
      <c r="C288" s="46"/>
      <c r="D288" s="49">
        <f t="shared" si="7"/>
        <v>24000</v>
      </c>
    </row>
    <row r="289" spans="1:4">
      <c r="A289" s="7" t="str">
        <f>"Árok 029/10"</f>
        <v>Árok 029/10</v>
      </c>
      <c r="B289" s="46">
        <v>23000</v>
      </c>
      <c r="C289" s="46"/>
      <c r="D289" s="49">
        <f t="shared" si="7"/>
        <v>23000</v>
      </c>
    </row>
    <row r="290" spans="1:4">
      <c r="A290" s="7" t="str">
        <f>"Árok 029/14"</f>
        <v>Árok 029/14</v>
      </c>
      <c r="B290" s="46">
        <v>19000</v>
      </c>
      <c r="C290" s="46"/>
      <c r="D290" s="49">
        <f t="shared" ref="D290:D353" si="8">B290-C290</f>
        <v>19000</v>
      </c>
    </row>
    <row r="291" spans="1:4">
      <c r="A291" s="7" t="str">
        <f>"Saját használatú út 029/16"</f>
        <v>Saját használatú út 029/16</v>
      </c>
      <c r="B291" s="46">
        <v>20000</v>
      </c>
      <c r="C291" s="46"/>
      <c r="D291" s="49">
        <f t="shared" si="8"/>
        <v>20000</v>
      </c>
    </row>
    <row r="292" spans="1:4">
      <c r="A292" s="7" t="str">
        <f>"Saját használatú út 029/29"</f>
        <v>Saját használatú út 029/29</v>
      </c>
      <c r="B292" s="46">
        <v>68000</v>
      </c>
      <c r="C292" s="46"/>
      <c r="D292" s="49">
        <f t="shared" si="8"/>
        <v>68000</v>
      </c>
    </row>
    <row r="293" spans="1:4">
      <c r="A293" s="7" t="str">
        <f>"Saját használatú út 029/32"</f>
        <v>Saját használatú út 029/32</v>
      </c>
      <c r="B293" s="46">
        <v>72000</v>
      </c>
      <c r="C293" s="46"/>
      <c r="D293" s="49">
        <f t="shared" si="8"/>
        <v>72000</v>
      </c>
    </row>
    <row r="294" spans="1:4">
      <c r="A294" s="7" t="str">
        <f>"Saját használatú út 029/33"</f>
        <v>Saját használatú út 029/33</v>
      </c>
      <c r="B294" s="46">
        <v>16000</v>
      </c>
      <c r="C294" s="46"/>
      <c r="D294" s="49">
        <f t="shared" si="8"/>
        <v>16000</v>
      </c>
    </row>
    <row r="295" spans="1:4">
      <c r="A295" s="7" t="str">
        <f>"Saját használatú út 041/1"</f>
        <v>Saját használatú út 041/1</v>
      </c>
      <c r="B295" s="46">
        <v>98000</v>
      </c>
      <c r="C295" s="46"/>
      <c r="D295" s="49">
        <f t="shared" si="8"/>
        <v>98000</v>
      </c>
    </row>
    <row r="296" spans="1:4">
      <c r="A296" s="7" t="str">
        <f>"Saját használatú út 041/14"</f>
        <v>Saját használatú út 041/14</v>
      </c>
      <c r="B296" s="46">
        <v>102000</v>
      </c>
      <c r="C296" s="46"/>
      <c r="D296" s="49">
        <f t="shared" si="8"/>
        <v>102000</v>
      </c>
    </row>
    <row r="297" spans="1:4">
      <c r="A297" s="7" t="str">
        <f>"Saját használatú út 041/25"</f>
        <v>Saját használatú út 041/25</v>
      </c>
      <c r="B297" s="46">
        <v>109000</v>
      </c>
      <c r="C297" s="46"/>
      <c r="D297" s="49">
        <f t="shared" si="8"/>
        <v>109000</v>
      </c>
    </row>
    <row r="298" spans="1:4">
      <c r="A298" s="7" t="str">
        <f>"Saját használatú út 043/9"</f>
        <v>Saját használatú út 043/9</v>
      </c>
      <c r="B298" s="46">
        <v>90000</v>
      </c>
      <c r="C298" s="46"/>
      <c r="D298" s="49">
        <f t="shared" si="8"/>
        <v>90000</v>
      </c>
    </row>
    <row r="299" spans="1:4">
      <c r="A299" s="7" t="str">
        <f>"Saját használatú út 045/2"</f>
        <v>Saját használatú út 045/2</v>
      </c>
      <c r="B299" s="46">
        <v>2000</v>
      </c>
      <c r="C299" s="46"/>
      <c r="D299" s="49">
        <f t="shared" si="8"/>
        <v>2000</v>
      </c>
    </row>
    <row r="300" spans="1:4">
      <c r="A300" s="7" t="str">
        <f>"Saját használatú út 045/25"</f>
        <v>Saját használatú út 045/25</v>
      </c>
      <c r="B300" s="46">
        <v>79000</v>
      </c>
      <c r="C300" s="46"/>
      <c r="D300" s="49">
        <f t="shared" si="8"/>
        <v>79000</v>
      </c>
    </row>
    <row r="301" spans="1:4">
      <c r="A301" s="7" t="str">
        <f>"Saját használatú út 045/27"</f>
        <v>Saját használatú út 045/27</v>
      </c>
      <c r="B301" s="46">
        <v>136000</v>
      </c>
      <c r="C301" s="46"/>
      <c r="D301" s="49">
        <f t="shared" si="8"/>
        <v>136000</v>
      </c>
    </row>
    <row r="302" spans="1:4">
      <c r="A302" s="7" t="str">
        <f>"Springa 3134/107 út"</f>
        <v>Springa 3134/107 út</v>
      </c>
      <c r="B302" s="46">
        <v>234723</v>
      </c>
      <c r="C302" s="46"/>
      <c r="D302" s="49">
        <f t="shared" si="8"/>
        <v>234723</v>
      </c>
    </row>
    <row r="303" spans="1:4">
      <c r="A303" s="7" t="str">
        <f>"Springa 3134/116 út"</f>
        <v>Springa 3134/116 út</v>
      </c>
      <c r="B303" s="46">
        <v>234013</v>
      </c>
      <c r="C303" s="46"/>
      <c r="D303" s="49">
        <f t="shared" si="8"/>
        <v>234013</v>
      </c>
    </row>
    <row r="304" spans="1:4">
      <c r="A304" s="7" t="str">
        <f>"Springa 3134/125 út"</f>
        <v>Springa 3134/125 út</v>
      </c>
      <c r="B304" s="46">
        <v>245020</v>
      </c>
      <c r="C304" s="46"/>
      <c r="D304" s="49">
        <f t="shared" si="8"/>
        <v>245020</v>
      </c>
    </row>
    <row r="305" spans="1:4">
      <c r="A305" s="7" t="s">
        <v>231</v>
      </c>
      <c r="B305" s="46">
        <v>1338000</v>
      </c>
      <c r="C305" s="46"/>
      <c r="D305" s="49">
        <f t="shared" si="8"/>
        <v>1338000</v>
      </c>
    </row>
    <row r="306" spans="1:4">
      <c r="A306" s="7" t="str">
        <f>"Dr. Kenessey A. Kórház 1036/68"</f>
        <v>Dr. Kenessey A. Kórház 1036/68</v>
      </c>
      <c r="B306" s="46">
        <v>3243000</v>
      </c>
      <c r="C306" s="46"/>
      <c r="D306" s="49">
        <f t="shared" si="8"/>
        <v>3243000</v>
      </c>
    </row>
    <row r="307" spans="1:4">
      <c r="A307" s="7" t="str">
        <f>"Bufi bejáró                 2764/1"</f>
        <v>Bufi bejáró                 2764/1</v>
      </c>
      <c r="B307" s="46">
        <v>227000</v>
      </c>
      <c r="C307" s="46"/>
      <c r="D307" s="49">
        <f t="shared" si="8"/>
        <v>227000</v>
      </c>
    </row>
    <row r="308" spans="1:4">
      <c r="A308" s="7" t="s">
        <v>243</v>
      </c>
      <c r="B308" s="46">
        <v>553000</v>
      </c>
      <c r="C308" s="46"/>
      <c r="D308" s="49">
        <f t="shared" si="8"/>
        <v>553000</v>
      </c>
    </row>
    <row r="309" spans="1:4">
      <c r="A309" s="7" t="str">
        <f>"Böjtös S.u                  1835/9"</f>
        <v>Böjtös S.u                  1835/9</v>
      </c>
      <c r="B309" s="46">
        <v>404000</v>
      </c>
      <c r="C309" s="46"/>
      <c r="D309" s="49">
        <f t="shared" si="8"/>
        <v>404000</v>
      </c>
    </row>
    <row r="310" spans="1:4">
      <c r="A310" s="7" t="str">
        <f>"Böjtös S.u.                 1835/56"</f>
        <v>Böjtös S.u.                 1835/56</v>
      </c>
      <c r="B310" s="46">
        <v>1095000</v>
      </c>
      <c r="C310" s="46"/>
      <c r="D310" s="49">
        <f t="shared" si="8"/>
        <v>1095000</v>
      </c>
    </row>
    <row r="311" spans="1:4">
      <c r="A311" s="7" t="s">
        <v>244</v>
      </c>
      <c r="B311" s="46">
        <v>2647000</v>
      </c>
      <c r="C311" s="46"/>
      <c r="D311" s="49">
        <f t="shared" si="8"/>
        <v>2647000</v>
      </c>
    </row>
    <row r="312" spans="1:4">
      <c r="A312" s="7" t="s">
        <v>245</v>
      </c>
      <c r="B312" s="46">
        <v>600000</v>
      </c>
      <c r="C312" s="46"/>
      <c r="D312" s="49">
        <f t="shared" si="8"/>
        <v>600000</v>
      </c>
    </row>
    <row r="313" spans="1:4">
      <c r="A313" s="7" t="str">
        <f>"Bérczy K.u.                 1043/12"</f>
        <v>Bérczy K.u.                 1043/12</v>
      </c>
      <c r="B313" s="46">
        <v>950609</v>
      </c>
      <c r="C313" s="46"/>
      <c r="D313" s="49">
        <f t="shared" si="8"/>
        <v>950609</v>
      </c>
    </row>
    <row r="314" spans="1:4">
      <c r="A314" s="7" t="str">
        <f>"Béri Balogh Á.u.            1236/30"</f>
        <v>Béri Balogh Á.u.            1236/30</v>
      </c>
      <c r="B314" s="46">
        <v>2246000</v>
      </c>
      <c r="C314" s="46"/>
      <c r="D314" s="49">
        <f t="shared" si="8"/>
        <v>2246000</v>
      </c>
    </row>
    <row r="315" spans="1:4">
      <c r="A315" s="7" t="str">
        <f>"Biró J.u.                   761/4"</f>
        <v>Biró J.u.                   761/4</v>
      </c>
      <c r="B315" s="46">
        <v>105000</v>
      </c>
      <c r="C315" s="46"/>
      <c r="D315" s="49">
        <f t="shared" si="8"/>
        <v>105000</v>
      </c>
    </row>
    <row r="316" spans="1:4">
      <c r="A316" s="7" t="str">
        <f>"Biró J.u                    765/12"</f>
        <v>Biró J.u                    765/12</v>
      </c>
      <c r="B316" s="46">
        <v>941000</v>
      </c>
      <c r="C316" s="46"/>
      <c r="D316" s="49">
        <f t="shared" si="8"/>
        <v>941000</v>
      </c>
    </row>
    <row r="317" spans="1:4">
      <c r="A317" s="7" t="str">
        <f>"Biró J.u.                   765/11"</f>
        <v>Biró J.u.                   765/11</v>
      </c>
      <c r="B317" s="46">
        <v>6401000</v>
      </c>
      <c r="C317" s="46"/>
      <c r="D317" s="49">
        <f t="shared" si="8"/>
        <v>6401000</v>
      </c>
    </row>
    <row r="318" spans="1:4">
      <c r="A318" s="7" t="str">
        <f>"Csokonai V.M.u.             1840/42"</f>
        <v>Csokonai V.M.u.             1840/42</v>
      </c>
      <c r="B318" s="46">
        <v>1577000</v>
      </c>
      <c r="C318" s="46"/>
      <c r="D318" s="49">
        <f t="shared" si="8"/>
        <v>1577000</v>
      </c>
    </row>
    <row r="319" spans="1:4">
      <c r="A319" s="7" t="s">
        <v>246</v>
      </c>
      <c r="B319" s="46">
        <v>2291000</v>
      </c>
      <c r="C319" s="46"/>
      <c r="D319" s="49">
        <f t="shared" si="8"/>
        <v>2291000</v>
      </c>
    </row>
    <row r="320" spans="1:4">
      <c r="A320" s="7" t="s">
        <v>247</v>
      </c>
      <c r="B320" s="46">
        <v>238000</v>
      </c>
      <c r="C320" s="46"/>
      <c r="D320" s="49">
        <f t="shared" si="8"/>
        <v>238000</v>
      </c>
    </row>
    <row r="321" spans="1:4">
      <c r="A321" s="7" t="s">
        <v>248</v>
      </c>
      <c r="B321" s="46">
        <v>1576000</v>
      </c>
      <c r="C321" s="46"/>
      <c r="D321" s="49">
        <f t="shared" si="8"/>
        <v>1576000</v>
      </c>
    </row>
    <row r="322" spans="1:4">
      <c r="A322" s="7" t="str">
        <f>"Daróczi G.u.                2689/26"</f>
        <v>Daróczi G.u.                2689/26</v>
      </c>
      <c r="B322" s="46">
        <v>272000</v>
      </c>
      <c r="C322" s="46"/>
      <c r="D322" s="49">
        <f t="shared" si="8"/>
        <v>272000</v>
      </c>
    </row>
    <row r="323" spans="1:4">
      <c r="A323" s="7" t="s">
        <v>249</v>
      </c>
      <c r="B323" s="46">
        <v>4335000</v>
      </c>
      <c r="C323" s="46"/>
      <c r="D323" s="49">
        <f t="shared" si="8"/>
        <v>4335000</v>
      </c>
    </row>
    <row r="324" spans="1:4">
      <c r="A324" s="7" t="s">
        <v>250</v>
      </c>
      <c r="B324" s="46">
        <v>1247000</v>
      </c>
      <c r="C324" s="46"/>
      <c r="D324" s="49">
        <f t="shared" si="8"/>
        <v>1247000</v>
      </c>
    </row>
    <row r="325" spans="1:4">
      <c r="A325" s="7" t="str">
        <f>"Domb u.                     2689/7"</f>
        <v>Domb u.                     2689/7</v>
      </c>
      <c r="B325" s="46">
        <v>251000</v>
      </c>
      <c r="C325" s="46"/>
      <c r="D325" s="49">
        <f t="shared" si="8"/>
        <v>251000</v>
      </c>
    </row>
    <row r="326" spans="1:4">
      <c r="A326" s="7" t="str">
        <f>"Dr.Bartha E.u.              1037/90"</f>
        <v>Dr.Bartha E.u.              1037/90</v>
      </c>
      <c r="B326" s="46">
        <v>232000</v>
      </c>
      <c r="C326" s="46"/>
      <c r="D326" s="49">
        <f t="shared" si="8"/>
        <v>232000</v>
      </c>
    </row>
    <row r="327" spans="1:4">
      <c r="A327" s="7" t="str">
        <f>"Dr.Kenessey A.u.            1037/72"</f>
        <v>Dr.Kenessey A.u.            1037/72</v>
      </c>
      <c r="B327" s="46">
        <v>297000</v>
      </c>
      <c r="C327" s="46"/>
      <c r="D327" s="49">
        <f t="shared" si="8"/>
        <v>297000</v>
      </c>
    </row>
    <row r="328" spans="1:4">
      <c r="A328" s="7" t="s">
        <v>251</v>
      </c>
      <c r="B328" s="46">
        <v>4704000</v>
      </c>
      <c r="C328" s="46"/>
      <c r="D328" s="49">
        <f t="shared" si="8"/>
        <v>4704000</v>
      </c>
    </row>
    <row r="329" spans="1:4">
      <c r="A329" s="7" t="s">
        <v>252</v>
      </c>
      <c r="B329" s="46">
        <v>981000</v>
      </c>
      <c r="C329" s="46"/>
      <c r="D329" s="49">
        <f t="shared" si="8"/>
        <v>981000</v>
      </c>
    </row>
    <row r="330" spans="1:4">
      <c r="A330" s="7" t="str">
        <f>"Esze T.u.                   1235/12"</f>
        <v>Esze T.u.                   1235/12</v>
      </c>
      <c r="B330" s="46">
        <v>1399000</v>
      </c>
      <c r="C330" s="46"/>
      <c r="D330" s="49">
        <f t="shared" si="8"/>
        <v>1399000</v>
      </c>
    </row>
    <row r="331" spans="1:4">
      <c r="A331" s="7" t="str">
        <f>"Esze T.u.                   1236/12"</f>
        <v>Esze T.u.                   1236/12</v>
      </c>
      <c r="B331" s="46">
        <v>932000</v>
      </c>
      <c r="C331" s="46"/>
      <c r="D331" s="49">
        <f t="shared" si="8"/>
        <v>932000</v>
      </c>
    </row>
    <row r="332" spans="1:4">
      <c r="A332" s="7" t="str">
        <f>"felsőmalom u.               765/71"</f>
        <v>felsőmalom u.               765/71</v>
      </c>
      <c r="B332" s="46">
        <v>6277000</v>
      </c>
      <c r="C332" s="46"/>
      <c r="D332" s="49">
        <f t="shared" si="8"/>
        <v>6277000</v>
      </c>
    </row>
    <row r="333" spans="1:4">
      <c r="A333" s="7" t="s">
        <v>253</v>
      </c>
      <c r="B333" s="46">
        <v>1136000</v>
      </c>
      <c r="C333" s="46"/>
      <c r="D333" s="49">
        <f t="shared" si="8"/>
        <v>1136000</v>
      </c>
    </row>
    <row r="334" spans="1:4">
      <c r="A334" s="7" t="s">
        <v>254</v>
      </c>
      <c r="B334" s="46">
        <v>469000</v>
      </c>
      <c r="C334" s="46"/>
      <c r="D334" s="49">
        <f t="shared" si="8"/>
        <v>469000</v>
      </c>
    </row>
    <row r="335" spans="1:4">
      <c r="A335" s="7" t="s">
        <v>255</v>
      </c>
      <c r="B335" s="46">
        <v>475000</v>
      </c>
      <c r="C335" s="46"/>
      <c r="D335" s="49">
        <f t="shared" si="8"/>
        <v>475000</v>
      </c>
    </row>
    <row r="336" spans="1:4">
      <c r="A336" s="7" t="str">
        <f>"Fülemüle u.                 5215/2"</f>
        <v>Fülemüle u.                 5215/2</v>
      </c>
      <c r="B336" s="46">
        <v>1291000</v>
      </c>
      <c r="C336" s="46"/>
      <c r="D336" s="49">
        <f t="shared" si="8"/>
        <v>1291000</v>
      </c>
    </row>
    <row r="337" spans="1:4">
      <c r="A337" s="7" t="s">
        <v>256</v>
      </c>
      <c r="B337" s="46">
        <v>2329000</v>
      </c>
      <c r="C337" s="46"/>
      <c r="D337" s="49">
        <f t="shared" si="8"/>
        <v>2329000</v>
      </c>
    </row>
    <row r="338" spans="1:4">
      <c r="A338" s="7" t="s">
        <v>257</v>
      </c>
      <c r="B338" s="46">
        <v>6049000</v>
      </c>
      <c r="C338" s="46"/>
      <c r="D338" s="49">
        <f t="shared" si="8"/>
        <v>6049000</v>
      </c>
    </row>
    <row r="339" spans="1:4">
      <c r="A339" s="7" t="s">
        <v>258</v>
      </c>
      <c r="B339" s="46">
        <v>975000</v>
      </c>
      <c r="C339" s="46"/>
      <c r="D339" s="49">
        <f t="shared" si="8"/>
        <v>975000</v>
      </c>
    </row>
    <row r="340" spans="1:4">
      <c r="A340" s="7" t="s">
        <v>259</v>
      </c>
      <c r="B340" s="46">
        <v>1364000</v>
      </c>
      <c r="C340" s="46"/>
      <c r="D340" s="49">
        <f t="shared" si="8"/>
        <v>1364000</v>
      </c>
    </row>
    <row r="341" spans="1:4">
      <c r="A341" s="7" t="str">
        <f>"Kacsa u.                    8727/41"</f>
        <v>Kacsa u.                    8727/41</v>
      </c>
      <c r="B341" s="46">
        <v>8000</v>
      </c>
      <c r="C341" s="46"/>
      <c r="D341" s="49">
        <f t="shared" si="8"/>
        <v>8000</v>
      </c>
    </row>
    <row r="342" spans="1:4">
      <c r="A342" s="7" t="s">
        <v>260</v>
      </c>
      <c r="B342" s="46">
        <v>540000</v>
      </c>
      <c r="C342" s="46"/>
      <c r="D342" s="49">
        <f t="shared" si="8"/>
        <v>540000</v>
      </c>
    </row>
    <row r="343" spans="1:4">
      <c r="A343" s="7" t="s">
        <v>261</v>
      </c>
      <c r="B343" s="46">
        <v>1499000</v>
      </c>
      <c r="C343" s="46"/>
      <c r="D343" s="49">
        <f t="shared" si="8"/>
        <v>1499000</v>
      </c>
    </row>
    <row r="344" spans="1:4">
      <c r="A344" s="7" t="s">
        <v>262</v>
      </c>
      <c r="B344" s="46">
        <v>1904000</v>
      </c>
      <c r="C344" s="46"/>
      <c r="D344" s="49">
        <f t="shared" si="8"/>
        <v>1904000</v>
      </c>
    </row>
    <row r="345" spans="1:4">
      <c r="A345" s="7" t="s">
        <v>263</v>
      </c>
      <c r="B345" s="46">
        <v>2926000</v>
      </c>
      <c r="C345" s="46"/>
      <c r="D345" s="49">
        <f t="shared" si="8"/>
        <v>2926000</v>
      </c>
    </row>
    <row r="346" spans="1:4">
      <c r="A346" s="7" t="s">
        <v>264</v>
      </c>
      <c r="B346" s="46">
        <v>1708000</v>
      </c>
      <c r="C346" s="46"/>
      <c r="D346" s="49">
        <f t="shared" si="8"/>
        <v>1708000</v>
      </c>
    </row>
    <row r="347" spans="1:4">
      <c r="A347" s="7" t="s">
        <v>265</v>
      </c>
      <c r="B347" s="46">
        <v>1888000</v>
      </c>
      <c r="C347" s="46"/>
      <c r="D347" s="49">
        <f t="shared" si="8"/>
        <v>1888000</v>
      </c>
    </row>
    <row r="348" spans="1:4">
      <c r="A348" s="7" t="s">
        <v>266</v>
      </c>
      <c r="B348" s="46">
        <v>779000</v>
      </c>
      <c r="C348" s="46"/>
      <c r="D348" s="49">
        <f t="shared" si="8"/>
        <v>779000</v>
      </c>
    </row>
    <row r="349" spans="1:4">
      <c r="A349" s="7" t="s">
        <v>267</v>
      </c>
      <c r="B349" s="46">
        <v>1012000</v>
      </c>
      <c r="C349" s="46"/>
      <c r="D349" s="49">
        <f t="shared" si="8"/>
        <v>1012000</v>
      </c>
    </row>
    <row r="350" spans="1:4">
      <c r="A350" s="7" t="s">
        <v>268</v>
      </c>
      <c r="B350" s="46">
        <v>503000</v>
      </c>
      <c r="C350" s="46"/>
      <c r="D350" s="49">
        <f t="shared" si="8"/>
        <v>503000</v>
      </c>
    </row>
    <row r="351" spans="1:4">
      <c r="A351" s="7" t="s">
        <v>269</v>
      </c>
      <c r="B351" s="46">
        <v>545000</v>
      </c>
      <c r="C351" s="46"/>
      <c r="D351" s="49">
        <f t="shared" si="8"/>
        <v>545000</v>
      </c>
    </row>
    <row r="352" spans="1:4">
      <c r="A352" s="7" t="s">
        <v>270</v>
      </c>
      <c r="B352" s="46">
        <v>1005000</v>
      </c>
      <c r="C352" s="46"/>
      <c r="D352" s="49">
        <f t="shared" si="8"/>
        <v>1005000</v>
      </c>
    </row>
    <row r="353" spans="1:4">
      <c r="A353" s="7" t="str">
        <f>"Komjáthy J.u.               3120/20"</f>
        <v>Komjáthy J.u.               3120/20</v>
      </c>
      <c r="B353" s="46">
        <v>340000</v>
      </c>
      <c r="C353" s="46"/>
      <c r="D353" s="49">
        <f t="shared" si="8"/>
        <v>340000</v>
      </c>
    </row>
    <row r="354" spans="1:4">
      <c r="A354" s="7" t="str">
        <f>"Kondor E.u.                 2910/73"</f>
        <v>Kondor E.u.                 2910/73</v>
      </c>
      <c r="B354" s="46">
        <v>874000</v>
      </c>
      <c r="C354" s="46"/>
      <c r="D354" s="49">
        <f t="shared" ref="D354:D417" si="9">B354-C354</f>
        <v>874000</v>
      </c>
    </row>
    <row r="355" spans="1:4">
      <c r="A355" s="7" t="s">
        <v>271</v>
      </c>
      <c r="B355" s="46">
        <v>748000</v>
      </c>
      <c r="C355" s="46"/>
      <c r="D355" s="49">
        <f t="shared" si="9"/>
        <v>748000</v>
      </c>
    </row>
    <row r="356" spans="1:4">
      <c r="A356" s="7" t="s">
        <v>272</v>
      </c>
      <c r="B356" s="46">
        <v>1513000</v>
      </c>
      <c r="C356" s="46"/>
      <c r="D356" s="49">
        <f t="shared" si="9"/>
        <v>1513000</v>
      </c>
    </row>
    <row r="357" spans="1:4">
      <c r="A357" s="7" t="s">
        <v>273</v>
      </c>
      <c r="B357" s="46">
        <v>1455000</v>
      </c>
      <c r="C357" s="46"/>
      <c r="D357" s="49">
        <f t="shared" si="9"/>
        <v>1455000</v>
      </c>
    </row>
    <row r="358" spans="1:4">
      <c r="A358" s="7" t="s">
        <v>274</v>
      </c>
      <c r="B358" s="46">
        <v>1126000</v>
      </c>
      <c r="C358" s="46"/>
      <c r="D358" s="49">
        <f t="shared" si="9"/>
        <v>1126000</v>
      </c>
    </row>
    <row r="359" spans="1:4">
      <c r="A359" s="7" t="s">
        <v>275</v>
      </c>
      <c r="B359" s="46">
        <v>640000</v>
      </c>
      <c r="C359" s="46"/>
      <c r="D359" s="49">
        <f t="shared" si="9"/>
        <v>640000</v>
      </c>
    </row>
    <row r="360" spans="1:4">
      <c r="A360" s="7" t="s">
        <v>276</v>
      </c>
      <c r="B360" s="46">
        <v>2037000</v>
      </c>
      <c r="C360" s="46"/>
      <c r="D360" s="49">
        <f t="shared" si="9"/>
        <v>2037000</v>
      </c>
    </row>
    <row r="361" spans="1:4">
      <c r="A361" s="7" t="s">
        <v>277</v>
      </c>
      <c r="B361" s="46">
        <v>187000</v>
      </c>
      <c r="C361" s="46"/>
      <c r="D361" s="49">
        <f t="shared" si="9"/>
        <v>187000</v>
      </c>
    </row>
    <row r="362" spans="1:4">
      <c r="A362" s="7" t="s">
        <v>278</v>
      </c>
      <c r="B362" s="46">
        <v>102000</v>
      </c>
      <c r="C362" s="46"/>
      <c r="D362" s="49">
        <f t="shared" si="9"/>
        <v>102000</v>
      </c>
    </row>
    <row r="363" spans="1:4">
      <c r="A363" s="7" t="s">
        <v>279</v>
      </c>
      <c r="B363" s="46">
        <v>63000</v>
      </c>
      <c r="C363" s="46"/>
      <c r="D363" s="49">
        <f t="shared" si="9"/>
        <v>63000</v>
      </c>
    </row>
    <row r="364" spans="1:4">
      <c r="A364" s="7" t="s">
        <v>280</v>
      </c>
      <c r="B364" s="46">
        <v>125000</v>
      </c>
      <c r="C364" s="46"/>
      <c r="D364" s="49">
        <f t="shared" si="9"/>
        <v>125000</v>
      </c>
    </row>
    <row r="365" spans="1:4">
      <c r="A365" s="7" t="s">
        <v>281</v>
      </c>
      <c r="B365" s="46">
        <v>64000</v>
      </c>
      <c r="C365" s="46"/>
      <c r="D365" s="49">
        <f t="shared" si="9"/>
        <v>64000</v>
      </c>
    </row>
    <row r="366" spans="1:4">
      <c r="A366" s="7" t="s">
        <v>282</v>
      </c>
      <c r="B366" s="46">
        <v>54000</v>
      </c>
      <c r="C366" s="46"/>
      <c r="D366" s="49">
        <f t="shared" si="9"/>
        <v>54000</v>
      </c>
    </row>
    <row r="367" spans="1:4">
      <c r="A367" s="7" t="s">
        <v>283</v>
      </c>
      <c r="B367" s="46">
        <v>36000</v>
      </c>
      <c r="C367" s="46"/>
      <c r="D367" s="49">
        <f t="shared" si="9"/>
        <v>36000</v>
      </c>
    </row>
    <row r="368" spans="1:4">
      <c r="A368" s="7" t="s">
        <v>284</v>
      </c>
      <c r="B368" s="46">
        <v>70000</v>
      </c>
      <c r="C368" s="46"/>
      <c r="D368" s="49">
        <f t="shared" si="9"/>
        <v>70000</v>
      </c>
    </row>
    <row r="369" spans="1:4">
      <c r="A369" s="7" t="s">
        <v>285</v>
      </c>
      <c r="B369" s="46">
        <v>42000</v>
      </c>
      <c r="C369" s="46"/>
      <c r="D369" s="49">
        <f t="shared" si="9"/>
        <v>42000</v>
      </c>
    </row>
    <row r="370" spans="1:4">
      <c r="A370" s="7" t="s">
        <v>286</v>
      </c>
      <c r="B370" s="46">
        <v>82000</v>
      </c>
      <c r="C370" s="46"/>
      <c r="D370" s="49">
        <f t="shared" si="9"/>
        <v>82000</v>
      </c>
    </row>
    <row r="371" spans="1:4">
      <c r="A371" s="7" t="str">
        <f>"Külterület (nyirjes)        8746/1"</f>
        <v>Külterület (nyirjes)        8746/1</v>
      </c>
      <c r="B371" s="46">
        <v>1000</v>
      </c>
      <c r="C371" s="46"/>
      <c r="D371" s="49">
        <f t="shared" si="9"/>
        <v>1000</v>
      </c>
    </row>
    <row r="372" spans="1:4">
      <c r="A372" s="7" t="str">
        <f>"Külterület (nyirjes)        8719/3"</f>
        <v>Külterület (nyirjes)        8719/3</v>
      </c>
      <c r="B372" s="46">
        <v>4000</v>
      </c>
      <c r="C372" s="46"/>
      <c r="D372" s="49">
        <f t="shared" si="9"/>
        <v>4000</v>
      </c>
    </row>
    <row r="373" spans="1:4">
      <c r="A373" s="7" t="str">
        <f>"Külterület (nyirjes)        8746/8"</f>
        <v>Külterület (nyirjes)        8746/8</v>
      </c>
      <c r="B373" s="46">
        <v>4000</v>
      </c>
      <c r="C373" s="46"/>
      <c r="D373" s="49">
        <f t="shared" si="9"/>
        <v>4000</v>
      </c>
    </row>
    <row r="374" spans="1:4">
      <c r="A374" s="7" t="s">
        <v>287</v>
      </c>
      <c r="B374" s="46">
        <v>144000</v>
      </c>
      <c r="C374" s="46"/>
      <c r="D374" s="49">
        <f t="shared" si="9"/>
        <v>144000</v>
      </c>
    </row>
    <row r="375" spans="1:4">
      <c r="A375" s="7" t="s">
        <v>288</v>
      </c>
      <c r="B375" s="46">
        <v>655000</v>
      </c>
      <c r="C375" s="46"/>
      <c r="D375" s="49">
        <f t="shared" si="9"/>
        <v>655000</v>
      </c>
    </row>
    <row r="376" spans="1:4">
      <c r="A376" s="7" t="s">
        <v>289</v>
      </c>
      <c r="B376" s="46">
        <v>824000</v>
      </c>
      <c r="C376" s="46"/>
      <c r="D376" s="49">
        <f t="shared" si="9"/>
        <v>824000</v>
      </c>
    </row>
    <row r="377" spans="1:4">
      <c r="A377" s="7" t="s">
        <v>290</v>
      </c>
      <c r="B377" s="46">
        <v>1583000</v>
      </c>
      <c r="C377" s="46"/>
      <c r="D377" s="49">
        <f t="shared" si="9"/>
        <v>1583000</v>
      </c>
    </row>
    <row r="378" spans="1:4">
      <c r="A378" s="7" t="s">
        <v>291</v>
      </c>
      <c r="B378" s="46">
        <v>458000</v>
      </c>
      <c r="C378" s="46"/>
      <c r="D378" s="49">
        <f t="shared" si="9"/>
        <v>458000</v>
      </c>
    </row>
    <row r="379" spans="1:4">
      <c r="A379" s="7" t="s">
        <v>292</v>
      </c>
      <c r="B379" s="46">
        <v>373000</v>
      </c>
      <c r="C379" s="46"/>
      <c r="D379" s="49">
        <f t="shared" si="9"/>
        <v>373000</v>
      </c>
    </row>
    <row r="380" spans="1:4">
      <c r="A380" s="7" t="s">
        <v>293</v>
      </c>
      <c r="B380" s="46">
        <v>5049000</v>
      </c>
      <c r="C380" s="46"/>
      <c r="D380" s="49">
        <f t="shared" si="9"/>
        <v>5049000</v>
      </c>
    </row>
    <row r="381" spans="1:4">
      <c r="A381" s="7" t="s">
        <v>294</v>
      </c>
      <c r="B381" s="46">
        <v>1133000</v>
      </c>
      <c r="C381" s="46"/>
      <c r="D381" s="49">
        <f t="shared" si="9"/>
        <v>1133000</v>
      </c>
    </row>
    <row r="382" spans="1:4">
      <c r="A382" s="7" t="str">
        <f>"Liszt F.u.                  2910/25"</f>
        <v>Liszt F.u.                  2910/25</v>
      </c>
      <c r="B382" s="46">
        <v>1859000</v>
      </c>
      <c r="C382" s="46"/>
      <c r="D382" s="49">
        <f t="shared" si="9"/>
        <v>1859000</v>
      </c>
    </row>
    <row r="383" spans="1:4">
      <c r="A383" s="7" t="s">
        <v>295</v>
      </c>
      <c r="B383" s="46">
        <v>601000</v>
      </c>
      <c r="C383" s="46"/>
      <c r="D383" s="49">
        <f t="shared" si="9"/>
        <v>601000</v>
      </c>
    </row>
    <row r="384" spans="1:4">
      <c r="A384" s="7" t="s">
        <v>296</v>
      </c>
      <c r="B384" s="46">
        <v>681000</v>
      </c>
      <c r="C384" s="46"/>
      <c r="D384" s="49">
        <f t="shared" si="9"/>
        <v>681000</v>
      </c>
    </row>
    <row r="385" spans="1:4">
      <c r="A385" s="7" t="s">
        <v>297</v>
      </c>
      <c r="B385" s="46">
        <v>1038000</v>
      </c>
      <c r="C385" s="46"/>
      <c r="D385" s="49">
        <f t="shared" si="9"/>
        <v>1038000</v>
      </c>
    </row>
    <row r="386" spans="1:4">
      <c r="A386" s="7" t="s">
        <v>298</v>
      </c>
      <c r="B386" s="46">
        <v>7746000</v>
      </c>
      <c r="C386" s="46"/>
      <c r="D386" s="49">
        <f t="shared" si="9"/>
        <v>7746000</v>
      </c>
    </row>
    <row r="387" spans="1:4">
      <c r="A387" s="7" t="str">
        <f>"Markusovszky u.             1022/1"</f>
        <v>Markusovszky u.             1022/1</v>
      </c>
      <c r="B387" s="46">
        <v>2321000</v>
      </c>
      <c r="C387" s="46"/>
      <c r="D387" s="49">
        <f t="shared" si="9"/>
        <v>2321000</v>
      </c>
    </row>
    <row r="388" spans="1:4">
      <c r="A388" s="7" t="s">
        <v>299</v>
      </c>
      <c r="B388" s="46">
        <v>679000</v>
      </c>
      <c r="C388" s="46"/>
      <c r="D388" s="49">
        <f t="shared" si="9"/>
        <v>679000</v>
      </c>
    </row>
    <row r="389" spans="1:4">
      <c r="A389" s="7" t="s">
        <v>300</v>
      </c>
      <c r="B389" s="46">
        <v>819000</v>
      </c>
      <c r="C389" s="46"/>
      <c r="D389" s="49">
        <f t="shared" si="9"/>
        <v>819000</v>
      </c>
    </row>
    <row r="390" spans="1:4">
      <c r="A390" s="7" t="s">
        <v>301</v>
      </c>
      <c r="B390" s="46">
        <v>2281000</v>
      </c>
      <c r="C390" s="46"/>
      <c r="D390" s="49">
        <f t="shared" si="9"/>
        <v>2281000</v>
      </c>
    </row>
    <row r="391" spans="1:4">
      <c r="A391" s="7" t="s">
        <v>302</v>
      </c>
      <c r="B391" s="46">
        <v>1027000</v>
      </c>
      <c r="C391" s="46"/>
      <c r="D391" s="49">
        <f t="shared" si="9"/>
        <v>1027000</v>
      </c>
    </row>
    <row r="392" spans="1:4">
      <c r="A392" s="7" t="s">
        <v>303</v>
      </c>
      <c r="B392" s="46">
        <v>1083000</v>
      </c>
      <c r="C392" s="46"/>
      <c r="D392" s="49">
        <f t="shared" si="9"/>
        <v>1083000</v>
      </c>
    </row>
    <row r="393" spans="1:4">
      <c r="A393" s="7" t="s">
        <v>304</v>
      </c>
      <c r="B393" s="46">
        <v>827000</v>
      </c>
      <c r="C393" s="46"/>
      <c r="D393" s="49">
        <f t="shared" si="9"/>
        <v>827000</v>
      </c>
    </row>
    <row r="394" spans="1:4">
      <c r="A394" s="7" t="s">
        <v>305</v>
      </c>
      <c r="B394" s="46">
        <v>3410000</v>
      </c>
      <c r="C394" s="46"/>
      <c r="D394" s="49">
        <f t="shared" si="9"/>
        <v>3410000</v>
      </c>
    </row>
    <row r="395" spans="1:4">
      <c r="A395" s="7" t="s">
        <v>306</v>
      </c>
      <c r="B395" s="46">
        <v>2934000</v>
      </c>
      <c r="C395" s="46"/>
      <c r="D395" s="49">
        <f t="shared" si="9"/>
        <v>2934000</v>
      </c>
    </row>
    <row r="396" spans="1:4">
      <c r="A396" s="7" t="str">
        <f>"Május 1.u.                  1840/41"</f>
        <v>Május 1.u.                  1840/41</v>
      </c>
      <c r="B396" s="46">
        <v>2436000</v>
      </c>
      <c r="C396" s="46"/>
      <c r="D396" s="49">
        <f t="shared" si="9"/>
        <v>2436000</v>
      </c>
    </row>
    <row r="397" spans="1:4">
      <c r="A397" s="7" t="s">
        <v>307</v>
      </c>
      <c r="B397" s="46">
        <v>950000</v>
      </c>
      <c r="C397" s="46"/>
      <c r="D397" s="49">
        <f t="shared" si="9"/>
        <v>950000</v>
      </c>
    </row>
    <row r="398" spans="1:4">
      <c r="A398" s="7" t="s">
        <v>308</v>
      </c>
      <c r="B398" s="46">
        <v>512000</v>
      </c>
      <c r="C398" s="46"/>
      <c r="D398" s="49">
        <f t="shared" si="9"/>
        <v>512000</v>
      </c>
    </row>
    <row r="399" spans="1:4">
      <c r="A399" s="7" t="s">
        <v>309</v>
      </c>
      <c r="B399" s="46">
        <v>5303000</v>
      </c>
      <c r="C399" s="46"/>
      <c r="D399" s="49">
        <f t="shared" si="9"/>
        <v>5303000</v>
      </c>
    </row>
    <row r="400" spans="1:4">
      <c r="A400" s="7" t="str">
        <f>"Mészáros L.u.               3172/29"</f>
        <v>Mészáros L.u.               3172/29</v>
      </c>
      <c r="B400" s="46">
        <v>666000</v>
      </c>
      <c r="C400" s="46"/>
      <c r="D400" s="49">
        <f t="shared" si="9"/>
        <v>666000</v>
      </c>
    </row>
    <row r="401" spans="1:4">
      <c r="A401" s="7" t="str">
        <f>"Mészáros L.u.               2638/1"</f>
        <v>Mészáros L.u.               2638/1</v>
      </c>
      <c r="B401" s="46">
        <v>881000</v>
      </c>
      <c r="C401" s="46"/>
      <c r="D401" s="49">
        <f t="shared" si="9"/>
        <v>881000</v>
      </c>
    </row>
    <row r="402" spans="1:4">
      <c r="A402" s="7" t="str">
        <f>"Móra F.u.                   1840/101"</f>
        <v>Móra F.u.                   1840/101</v>
      </c>
      <c r="B402" s="46">
        <v>1359000</v>
      </c>
      <c r="C402" s="46"/>
      <c r="D402" s="49">
        <f t="shared" si="9"/>
        <v>1359000</v>
      </c>
    </row>
    <row r="403" spans="1:4">
      <c r="A403" s="7" t="s">
        <v>310</v>
      </c>
      <c r="B403" s="46">
        <v>119000</v>
      </c>
      <c r="C403" s="46"/>
      <c r="D403" s="49">
        <f t="shared" si="9"/>
        <v>119000</v>
      </c>
    </row>
    <row r="404" spans="1:4">
      <c r="A404" s="7" t="s">
        <v>311</v>
      </c>
      <c r="B404" s="46">
        <v>346000</v>
      </c>
      <c r="C404" s="46"/>
      <c r="D404" s="49">
        <f t="shared" si="9"/>
        <v>346000</v>
      </c>
    </row>
    <row r="405" spans="1:4">
      <c r="A405" s="7" t="str">
        <f>"Névtelen u.                 765/31"</f>
        <v>Névtelen u.                 765/31</v>
      </c>
      <c r="B405" s="46">
        <v>650000</v>
      </c>
      <c r="C405" s="46"/>
      <c r="D405" s="49">
        <f t="shared" si="9"/>
        <v>650000</v>
      </c>
    </row>
    <row r="406" spans="1:4">
      <c r="A406" s="7" t="str">
        <f>"Névtelen u.                 765/13"</f>
        <v>Névtelen u.                 765/13</v>
      </c>
      <c r="B406" s="46">
        <v>442000</v>
      </c>
      <c r="C406" s="46"/>
      <c r="D406" s="49">
        <f t="shared" si="9"/>
        <v>442000</v>
      </c>
    </row>
    <row r="407" spans="1:4">
      <c r="A407" s="7" t="str">
        <f>"Névtelen u.                 1838/13"</f>
        <v>Névtelen u.                 1838/13</v>
      </c>
      <c r="B407" s="46">
        <v>158000</v>
      </c>
      <c r="C407" s="46"/>
      <c r="D407" s="49">
        <f t="shared" si="9"/>
        <v>158000</v>
      </c>
    </row>
    <row r="408" spans="1:4">
      <c r="A408" s="7" t="s">
        <v>312</v>
      </c>
      <c r="B408" s="46">
        <v>70000</v>
      </c>
      <c r="C408" s="46"/>
      <c r="D408" s="49">
        <f t="shared" si="9"/>
        <v>70000</v>
      </c>
    </row>
    <row r="409" spans="1:4">
      <c r="A409" s="7" t="s">
        <v>313</v>
      </c>
      <c r="B409" s="46">
        <v>328000</v>
      </c>
      <c r="C409" s="46"/>
      <c r="D409" s="49">
        <f t="shared" si="9"/>
        <v>328000</v>
      </c>
    </row>
    <row r="410" spans="1:4">
      <c r="A410" s="7" t="s">
        <v>314</v>
      </c>
      <c r="B410" s="46">
        <v>563000</v>
      </c>
      <c r="C410" s="46"/>
      <c r="D410" s="49">
        <f t="shared" si="9"/>
        <v>563000</v>
      </c>
    </row>
    <row r="411" spans="1:4">
      <c r="A411" s="7" t="s">
        <v>315</v>
      </c>
      <c r="B411" s="46">
        <v>592000</v>
      </c>
      <c r="C411" s="46"/>
      <c r="D411" s="49">
        <f t="shared" si="9"/>
        <v>592000</v>
      </c>
    </row>
    <row r="412" spans="1:4">
      <c r="A412" s="7" t="str">
        <f>"Névtelen u.                 676/4"</f>
        <v>Névtelen u.                 676/4</v>
      </c>
      <c r="B412" s="46">
        <v>207000</v>
      </c>
      <c r="C412" s="46"/>
      <c r="D412" s="49">
        <f t="shared" si="9"/>
        <v>207000</v>
      </c>
    </row>
    <row r="413" spans="1:4">
      <c r="A413" s="7" t="str">
        <f>"Névtelen u.                 1205/12"</f>
        <v>Névtelen u.                 1205/12</v>
      </c>
      <c r="B413" s="46">
        <v>6545000</v>
      </c>
      <c r="C413" s="46"/>
      <c r="D413" s="49">
        <f t="shared" si="9"/>
        <v>6545000</v>
      </c>
    </row>
    <row r="414" spans="1:4">
      <c r="A414" s="7" t="s">
        <v>316</v>
      </c>
      <c r="B414" s="46">
        <v>451000</v>
      </c>
      <c r="C414" s="46"/>
      <c r="D414" s="49">
        <f t="shared" si="9"/>
        <v>451000</v>
      </c>
    </row>
    <row r="415" spans="1:4">
      <c r="A415" s="7" t="str">
        <f>"Névtelen u.                 1037/120"</f>
        <v>Névtelen u.                 1037/120</v>
      </c>
      <c r="B415" s="46">
        <v>322000</v>
      </c>
      <c r="C415" s="46"/>
      <c r="D415" s="49">
        <f t="shared" si="9"/>
        <v>322000</v>
      </c>
    </row>
    <row r="416" spans="1:4">
      <c r="A416" s="7" t="str">
        <f>"Névtelen u.                 1842/3"</f>
        <v>Névtelen u.                 1842/3</v>
      </c>
      <c r="B416" s="46">
        <v>912000</v>
      </c>
      <c r="C416" s="46"/>
      <c r="D416" s="49">
        <f t="shared" si="9"/>
        <v>912000</v>
      </c>
    </row>
    <row r="417" spans="1:4">
      <c r="A417" s="7" t="str">
        <f>"Névtelen u.                 765/43"</f>
        <v>Névtelen u.                 765/43</v>
      </c>
      <c r="B417" s="46">
        <v>1000000</v>
      </c>
      <c r="C417" s="46"/>
      <c r="D417" s="49">
        <f t="shared" si="9"/>
        <v>1000000</v>
      </c>
    </row>
    <row r="418" spans="1:4">
      <c r="A418" s="7" t="str">
        <f>"Névtelen u.                 614/22"</f>
        <v>Névtelen u.                 614/22</v>
      </c>
      <c r="B418" s="46">
        <v>507000</v>
      </c>
      <c r="C418" s="46"/>
      <c r="D418" s="49">
        <f t="shared" ref="D418:D481" si="10">B418-C418</f>
        <v>507000</v>
      </c>
    </row>
    <row r="419" spans="1:4">
      <c r="A419" s="7" t="s">
        <v>317</v>
      </c>
      <c r="B419" s="46">
        <v>424000</v>
      </c>
      <c r="C419" s="46"/>
      <c r="D419" s="49">
        <f t="shared" si="10"/>
        <v>424000</v>
      </c>
    </row>
    <row r="420" spans="1:4">
      <c r="A420" s="7" t="str">
        <f>"Névtelen u.                 344/9"</f>
        <v>Névtelen u.                 344/9</v>
      </c>
      <c r="B420" s="46">
        <v>698000</v>
      </c>
      <c r="C420" s="46"/>
      <c r="D420" s="49">
        <f t="shared" si="10"/>
        <v>698000</v>
      </c>
    </row>
    <row r="421" spans="1:4">
      <c r="A421" s="7" t="str">
        <f>"Névtelen u.                 1036/15"</f>
        <v>Névtelen u.                 1036/15</v>
      </c>
      <c r="B421" s="46">
        <v>294000</v>
      </c>
      <c r="C421" s="46"/>
      <c r="D421" s="49">
        <f t="shared" si="10"/>
        <v>294000</v>
      </c>
    </row>
    <row r="422" spans="1:4">
      <c r="A422" s="7" t="str">
        <f>"Névtelen u.                 1040/4"</f>
        <v>Névtelen u.                 1040/4</v>
      </c>
      <c r="B422" s="46">
        <v>72000</v>
      </c>
      <c r="C422" s="46"/>
      <c r="D422" s="49">
        <f t="shared" si="10"/>
        <v>72000</v>
      </c>
    </row>
    <row r="423" spans="1:4">
      <c r="A423" s="7" t="str">
        <f>"Névtelen u.                 1840/2"</f>
        <v>Névtelen u.                 1840/2</v>
      </c>
      <c r="B423" s="46">
        <v>923000</v>
      </c>
      <c r="C423" s="46"/>
      <c r="D423" s="49">
        <f t="shared" si="10"/>
        <v>923000</v>
      </c>
    </row>
    <row r="424" spans="1:4">
      <c r="A424" s="7" t="s">
        <v>318</v>
      </c>
      <c r="B424" s="46">
        <v>734000</v>
      </c>
      <c r="C424" s="46"/>
      <c r="D424" s="49">
        <f t="shared" si="10"/>
        <v>734000</v>
      </c>
    </row>
    <row r="425" spans="1:4">
      <c r="A425" s="7" t="s">
        <v>319</v>
      </c>
      <c r="B425" s="46">
        <v>1015000</v>
      </c>
      <c r="C425" s="46"/>
      <c r="D425" s="49">
        <f t="shared" si="10"/>
        <v>1015000</v>
      </c>
    </row>
    <row r="426" spans="1:4">
      <c r="A426" s="7" t="str">
        <f>"Névtelen u.                 2910/1"</f>
        <v>Névtelen u.                 2910/1</v>
      </c>
      <c r="B426" s="46">
        <v>326000</v>
      </c>
      <c r="C426" s="46"/>
      <c r="D426" s="49">
        <f t="shared" si="10"/>
        <v>326000</v>
      </c>
    </row>
    <row r="427" spans="1:4">
      <c r="A427" s="7" t="s">
        <v>320</v>
      </c>
      <c r="B427" s="46">
        <v>507000</v>
      </c>
      <c r="C427" s="46"/>
      <c r="D427" s="49">
        <f t="shared" si="10"/>
        <v>507000</v>
      </c>
    </row>
    <row r="428" spans="1:4">
      <c r="A428" s="7" t="s">
        <v>321</v>
      </c>
      <c r="B428" s="46">
        <v>1511000</v>
      </c>
      <c r="C428" s="46"/>
      <c r="D428" s="49">
        <f t="shared" si="10"/>
        <v>1511000</v>
      </c>
    </row>
    <row r="429" spans="1:4">
      <c r="A429" s="7" t="s">
        <v>322</v>
      </c>
      <c r="B429" s="46">
        <v>159000</v>
      </c>
      <c r="C429" s="46"/>
      <c r="D429" s="49">
        <f t="shared" si="10"/>
        <v>159000</v>
      </c>
    </row>
    <row r="430" spans="1:4">
      <c r="A430" s="7" t="s">
        <v>323</v>
      </c>
      <c r="B430" s="46">
        <v>1096000</v>
      </c>
      <c r="C430" s="46"/>
      <c r="D430" s="49">
        <f t="shared" si="10"/>
        <v>1096000</v>
      </c>
    </row>
    <row r="431" spans="1:4">
      <c r="A431" s="7" t="s">
        <v>324</v>
      </c>
      <c r="B431" s="46">
        <v>1980000</v>
      </c>
      <c r="C431" s="46"/>
      <c r="D431" s="49">
        <f t="shared" si="10"/>
        <v>1980000</v>
      </c>
    </row>
    <row r="432" spans="1:4">
      <c r="A432" s="7" t="s">
        <v>325</v>
      </c>
      <c r="B432" s="46">
        <v>739000</v>
      </c>
      <c r="C432" s="46"/>
      <c r="D432" s="49">
        <f t="shared" si="10"/>
        <v>739000</v>
      </c>
    </row>
    <row r="433" spans="1:4">
      <c r="A433" s="7" t="s">
        <v>326</v>
      </c>
      <c r="B433" s="46">
        <v>888000</v>
      </c>
      <c r="C433" s="46"/>
      <c r="D433" s="49">
        <f t="shared" si="10"/>
        <v>888000</v>
      </c>
    </row>
    <row r="434" spans="1:4">
      <c r="A434" s="7" t="s">
        <v>327</v>
      </c>
      <c r="B434" s="46">
        <v>381000</v>
      </c>
      <c r="C434" s="46"/>
      <c r="D434" s="49">
        <f t="shared" si="10"/>
        <v>381000</v>
      </c>
    </row>
    <row r="435" spans="1:4">
      <c r="A435" s="7" t="str">
        <f>"Perczel M.u.                2637/28"</f>
        <v>Perczel M.u.                2637/28</v>
      </c>
      <c r="B435" s="46">
        <v>881000</v>
      </c>
      <c r="C435" s="46"/>
      <c r="D435" s="49">
        <f t="shared" si="10"/>
        <v>881000</v>
      </c>
    </row>
    <row r="436" spans="1:4">
      <c r="A436" s="7" t="s">
        <v>328</v>
      </c>
      <c r="B436" s="46">
        <v>3834000</v>
      </c>
      <c r="C436" s="46"/>
      <c r="D436" s="49">
        <f t="shared" si="10"/>
        <v>3834000</v>
      </c>
    </row>
    <row r="437" spans="1:4">
      <c r="A437" s="7" t="str">
        <f>"Szontágh P.u.               1036/37"</f>
        <v>Szontágh P.u.               1036/37</v>
      </c>
      <c r="B437" s="46">
        <v>196000</v>
      </c>
      <c r="C437" s="46"/>
      <c r="D437" s="49">
        <f t="shared" si="10"/>
        <v>196000</v>
      </c>
    </row>
    <row r="438" spans="1:4">
      <c r="A438" s="7" t="str">
        <f>"Szontágh P.u.               1036/38"</f>
        <v>Szontágh P.u.               1036/38</v>
      </c>
      <c r="B438" s="46">
        <v>40000</v>
      </c>
      <c r="C438" s="46"/>
      <c r="D438" s="49">
        <f t="shared" si="10"/>
        <v>40000</v>
      </c>
    </row>
    <row r="439" spans="1:4">
      <c r="A439" s="7" t="str">
        <f>"Szontágh P.u.               1036/64"</f>
        <v>Szontágh P.u.               1036/64</v>
      </c>
      <c r="B439" s="46">
        <v>71000</v>
      </c>
      <c r="C439" s="46"/>
      <c r="D439" s="49">
        <f t="shared" si="10"/>
        <v>71000</v>
      </c>
    </row>
    <row r="440" spans="1:4">
      <c r="A440" s="7" t="str">
        <f>"Szontágh P.u.               1036/65"</f>
        <v>Szontágh P.u.               1036/65</v>
      </c>
      <c r="B440" s="46">
        <v>592000</v>
      </c>
      <c r="C440" s="46"/>
      <c r="D440" s="49">
        <f t="shared" si="10"/>
        <v>592000</v>
      </c>
    </row>
    <row r="441" spans="1:4">
      <c r="A441" s="7" t="str">
        <f>"Szontágh P.u.               1037/3"</f>
        <v>Szontágh P.u.               1037/3</v>
      </c>
      <c r="B441" s="46">
        <v>809000</v>
      </c>
      <c r="C441" s="46"/>
      <c r="D441" s="49">
        <f t="shared" si="10"/>
        <v>809000</v>
      </c>
    </row>
    <row r="442" spans="1:4">
      <c r="A442" s="7" t="str">
        <f>"Szontágh P.u.               1037/23"</f>
        <v>Szontágh P.u.               1037/23</v>
      </c>
      <c r="B442" s="46">
        <v>286000</v>
      </c>
      <c r="C442" s="46"/>
      <c r="D442" s="49">
        <f t="shared" si="10"/>
        <v>286000</v>
      </c>
    </row>
    <row r="443" spans="1:4">
      <c r="A443" s="7" t="str">
        <f>"Szontágh P.u.               1037/44"</f>
        <v>Szontágh P.u.               1037/44</v>
      </c>
      <c r="B443" s="46">
        <v>527000</v>
      </c>
      <c r="C443" s="46"/>
      <c r="D443" s="49">
        <f t="shared" si="10"/>
        <v>527000</v>
      </c>
    </row>
    <row r="444" spans="1:4">
      <c r="A444" s="7" t="str">
        <f>"Szontágh P.u.               1037/46"</f>
        <v>Szontágh P.u.               1037/46</v>
      </c>
      <c r="B444" s="46">
        <v>255000</v>
      </c>
      <c r="C444" s="46"/>
      <c r="D444" s="49">
        <f t="shared" si="10"/>
        <v>255000</v>
      </c>
    </row>
    <row r="445" spans="1:4">
      <c r="A445" s="7" t="str">
        <f>"Szontágh P.u.               1037/47"</f>
        <v>Szontágh P.u.               1037/47</v>
      </c>
      <c r="B445" s="46">
        <v>2878000</v>
      </c>
      <c r="C445" s="46"/>
      <c r="D445" s="49">
        <f t="shared" si="10"/>
        <v>2878000</v>
      </c>
    </row>
    <row r="446" spans="1:4">
      <c r="A446" s="7" t="s">
        <v>329</v>
      </c>
      <c r="B446" s="46">
        <v>4646000</v>
      </c>
      <c r="C446" s="46"/>
      <c r="D446" s="49">
        <f t="shared" si="10"/>
        <v>4646000</v>
      </c>
    </row>
    <row r="447" spans="1:4">
      <c r="A447" s="7" t="s">
        <v>330</v>
      </c>
      <c r="B447" s="46">
        <v>5116000</v>
      </c>
      <c r="C447" s="46"/>
      <c r="D447" s="49">
        <f t="shared" si="10"/>
        <v>5116000</v>
      </c>
    </row>
    <row r="448" spans="1:4">
      <c r="A448" s="7" t="str">
        <f>"Sántha K.u.                 1037/121"</f>
        <v>Sántha K.u.                 1037/121</v>
      </c>
      <c r="B448" s="46">
        <v>1039000</v>
      </c>
      <c r="C448" s="46"/>
      <c r="D448" s="49">
        <f t="shared" si="10"/>
        <v>1039000</v>
      </c>
    </row>
    <row r="449" spans="1:4">
      <c r="A449" s="7" t="str">
        <f>"Sántha K. u.                1037/217"</f>
        <v>Sántha K. u.                1037/217</v>
      </c>
      <c r="B449" s="46">
        <v>3166000</v>
      </c>
      <c r="C449" s="46"/>
      <c r="D449" s="49">
        <f t="shared" si="10"/>
        <v>3166000</v>
      </c>
    </row>
    <row r="450" spans="1:4">
      <c r="A450" s="7" t="s">
        <v>331</v>
      </c>
      <c r="B450" s="46">
        <v>3777000</v>
      </c>
      <c r="C450" s="46"/>
      <c r="D450" s="49">
        <f t="shared" si="10"/>
        <v>3777000</v>
      </c>
    </row>
    <row r="451" spans="1:4">
      <c r="A451" s="7" t="s">
        <v>332</v>
      </c>
      <c r="B451" s="46">
        <v>2783000</v>
      </c>
      <c r="C451" s="46"/>
      <c r="D451" s="49">
        <f t="shared" si="10"/>
        <v>2783000</v>
      </c>
    </row>
    <row r="452" spans="1:4">
      <c r="A452" s="7" t="s">
        <v>333</v>
      </c>
      <c r="B452" s="46">
        <v>5020000</v>
      </c>
      <c r="C452" s="46"/>
      <c r="D452" s="49">
        <f t="shared" si="10"/>
        <v>5020000</v>
      </c>
    </row>
    <row r="453" spans="1:4">
      <c r="A453" s="7" t="s">
        <v>334</v>
      </c>
      <c r="B453" s="46">
        <v>629000</v>
      </c>
      <c r="C453" s="46"/>
      <c r="D453" s="49">
        <f t="shared" si="10"/>
        <v>629000</v>
      </c>
    </row>
    <row r="454" spans="1:4">
      <c r="A454" s="7" t="s">
        <v>335</v>
      </c>
      <c r="B454" s="46">
        <v>753000</v>
      </c>
      <c r="C454" s="46"/>
      <c r="D454" s="49">
        <f t="shared" si="10"/>
        <v>753000</v>
      </c>
    </row>
    <row r="455" spans="1:4">
      <c r="A455" s="7" t="s">
        <v>336</v>
      </c>
      <c r="B455" s="46">
        <v>1503000</v>
      </c>
      <c r="C455" s="46"/>
      <c r="D455" s="49">
        <f t="shared" si="10"/>
        <v>1503000</v>
      </c>
    </row>
    <row r="456" spans="1:4">
      <c r="A456" s="7" t="s">
        <v>337</v>
      </c>
      <c r="B456" s="46">
        <v>659000</v>
      </c>
      <c r="C456" s="46"/>
      <c r="D456" s="49">
        <f t="shared" si="10"/>
        <v>659000</v>
      </c>
    </row>
    <row r="457" spans="1:4">
      <c r="A457" s="7" t="s">
        <v>338</v>
      </c>
      <c r="B457" s="46">
        <v>731000</v>
      </c>
      <c r="C457" s="46"/>
      <c r="D457" s="49">
        <f t="shared" si="10"/>
        <v>731000</v>
      </c>
    </row>
    <row r="458" spans="1:4">
      <c r="A458" s="7" t="s">
        <v>339</v>
      </c>
      <c r="B458" s="46">
        <v>1764000</v>
      </c>
      <c r="C458" s="46"/>
      <c r="D458" s="49">
        <f t="shared" si="10"/>
        <v>1764000</v>
      </c>
    </row>
    <row r="459" spans="1:4">
      <c r="A459" s="7" t="s">
        <v>340</v>
      </c>
      <c r="B459" s="46">
        <v>965000</v>
      </c>
      <c r="C459" s="46"/>
      <c r="D459" s="49">
        <f t="shared" si="10"/>
        <v>965000</v>
      </c>
    </row>
    <row r="460" spans="1:4">
      <c r="A460" s="7" t="s">
        <v>341</v>
      </c>
      <c r="B460" s="46">
        <v>347000</v>
      </c>
      <c r="C460" s="46"/>
      <c r="D460" s="49">
        <f t="shared" si="10"/>
        <v>347000</v>
      </c>
    </row>
    <row r="461" spans="1:4">
      <c r="A461" s="7" t="str">
        <f>"Török I.u.                  3172/47"</f>
        <v>Török I.u.                  3172/47</v>
      </c>
      <c r="B461" s="46">
        <v>666000</v>
      </c>
      <c r="C461" s="46"/>
      <c r="D461" s="49">
        <f t="shared" si="10"/>
        <v>666000</v>
      </c>
    </row>
    <row r="462" spans="1:4">
      <c r="A462" s="7" t="str">
        <f>"Török I.u.                  2638/32"</f>
        <v>Török I.u.                  2638/32</v>
      </c>
      <c r="B462" s="46">
        <v>880000</v>
      </c>
      <c r="C462" s="46"/>
      <c r="D462" s="49">
        <f t="shared" si="10"/>
        <v>880000</v>
      </c>
    </row>
    <row r="463" spans="1:4">
      <c r="A463" s="7" t="s">
        <v>342</v>
      </c>
      <c r="B463" s="46">
        <v>1301000</v>
      </c>
      <c r="C463" s="46"/>
      <c r="D463" s="49">
        <f t="shared" si="10"/>
        <v>1301000</v>
      </c>
    </row>
    <row r="464" spans="1:4">
      <c r="A464" s="7" t="str">
        <f>"Táncsics köz                1835/41"</f>
        <v>Táncsics köz                1835/41</v>
      </c>
      <c r="B464" s="46">
        <v>1599000</v>
      </c>
      <c r="C464" s="46"/>
      <c r="D464" s="49">
        <f t="shared" si="10"/>
        <v>1599000</v>
      </c>
    </row>
    <row r="465" spans="1:4">
      <c r="A465" s="7" t="s">
        <v>343</v>
      </c>
      <c r="B465" s="46">
        <v>3138000</v>
      </c>
      <c r="C465" s="46"/>
      <c r="D465" s="49">
        <f t="shared" si="10"/>
        <v>3138000</v>
      </c>
    </row>
    <row r="466" spans="1:4">
      <c r="A466" s="7" t="s">
        <v>344</v>
      </c>
      <c r="B466" s="46">
        <v>1680000</v>
      </c>
      <c r="C466" s="46"/>
      <c r="D466" s="49">
        <f t="shared" si="10"/>
        <v>1680000</v>
      </c>
    </row>
    <row r="467" spans="1:4">
      <c r="A467" s="7" t="str">
        <f>"Tópart u.                   5106/4"</f>
        <v>Tópart u.                   5106/4</v>
      </c>
      <c r="B467" s="46">
        <v>2045000</v>
      </c>
      <c r="C467" s="46"/>
      <c r="D467" s="49">
        <f t="shared" si="10"/>
        <v>2045000</v>
      </c>
    </row>
    <row r="468" spans="1:4">
      <c r="A468" s="7" t="str">
        <f>"Tópart u.                   5106/5"</f>
        <v>Tópart u.                   5106/5</v>
      </c>
      <c r="B468" s="46">
        <v>346000</v>
      </c>
      <c r="C468" s="46"/>
      <c r="D468" s="49">
        <f t="shared" si="10"/>
        <v>346000</v>
      </c>
    </row>
    <row r="469" spans="1:4">
      <c r="A469" s="7" t="s">
        <v>345</v>
      </c>
      <c r="B469" s="46">
        <v>2557000</v>
      </c>
      <c r="C469" s="46"/>
      <c r="D469" s="49">
        <f t="shared" si="10"/>
        <v>2557000</v>
      </c>
    </row>
    <row r="470" spans="1:4">
      <c r="A470" s="7" t="s">
        <v>350</v>
      </c>
      <c r="B470" s="46">
        <v>2726000</v>
      </c>
      <c r="C470" s="46"/>
      <c r="D470" s="49">
        <f t="shared" si="10"/>
        <v>2726000</v>
      </c>
    </row>
    <row r="471" spans="1:4">
      <c r="A471" s="7" t="str">
        <f>"külter.cs.haláp  0174/20"</f>
        <v>külter.cs.haláp  0174/20</v>
      </c>
      <c r="B471" s="46">
        <v>150</v>
      </c>
      <c r="C471" s="46"/>
      <c r="D471" s="49">
        <f t="shared" si="10"/>
        <v>150</v>
      </c>
    </row>
    <row r="472" spans="1:4">
      <c r="A472" s="7" t="str">
        <f>"Külter.Cs.haláp  0174/20"</f>
        <v>Külter.Cs.haláp  0174/20</v>
      </c>
      <c r="B472" s="46">
        <v>22000</v>
      </c>
      <c r="C472" s="46"/>
      <c r="D472" s="49">
        <f t="shared" si="10"/>
        <v>22000</v>
      </c>
    </row>
    <row r="473" spans="1:4">
      <c r="A473" s="7" t="str">
        <f>"Külter.Cshaláp   0158/1"</f>
        <v>Külter.Cshaláp   0158/1</v>
      </c>
      <c r="B473" s="46">
        <v>31000</v>
      </c>
      <c r="C473" s="46"/>
      <c r="D473" s="49">
        <f t="shared" si="10"/>
        <v>31000</v>
      </c>
    </row>
    <row r="474" spans="1:4">
      <c r="A474" s="7" t="str">
        <f>"Külter.Cshaláp   0169/14"</f>
        <v>Külter.Cshaláp   0169/14</v>
      </c>
      <c r="B474" s="46">
        <v>123000</v>
      </c>
      <c r="C474" s="46"/>
      <c r="D474" s="49">
        <f t="shared" si="10"/>
        <v>123000</v>
      </c>
    </row>
    <row r="475" spans="1:4">
      <c r="A475" s="7" t="str">
        <f>"Külter.Cshaláp   0169/14"</f>
        <v>Külter.Cshaláp   0169/14</v>
      </c>
      <c r="B475" s="46">
        <v>6000</v>
      </c>
      <c r="C475" s="46"/>
      <c r="D475" s="49">
        <f t="shared" si="10"/>
        <v>6000</v>
      </c>
    </row>
    <row r="476" spans="1:4">
      <c r="A476" s="7" t="str">
        <f>"Deák F.u.17.     1649/2"</f>
        <v>Deák F.u.17.     1649/2</v>
      </c>
      <c r="B476" s="46">
        <v>12294000</v>
      </c>
      <c r="C476" s="46"/>
      <c r="D476" s="49">
        <f t="shared" si="10"/>
        <v>12294000</v>
      </c>
    </row>
    <row r="477" spans="1:4">
      <c r="A477" s="7" t="s">
        <v>369</v>
      </c>
      <c r="B477" s="46">
        <v>1500000</v>
      </c>
      <c r="C477" s="46"/>
      <c r="D477" s="49">
        <f t="shared" si="10"/>
        <v>1500000</v>
      </c>
    </row>
    <row r="478" spans="1:4">
      <c r="A478" s="10" t="s">
        <v>2067</v>
      </c>
      <c r="B478" s="11">
        <f>SUM(B34:B477)</f>
        <v>757228560</v>
      </c>
      <c r="C478" s="11">
        <f t="shared" ref="C478:D478" si="11">SUM(C34:C477)</f>
        <v>0</v>
      </c>
      <c r="D478" s="52">
        <f t="shared" si="11"/>
        <v>757228560</v>
      </c>
    </row>
    <row r="479" spans="1:4">
      <c r="A479" s="7" t="s">
        <v>193</v>
      </c>
      <c r="B479" s="46">
        <v>2539575</v>
      </c>
      <c r="C479" s="46"/>
      <c r="D479" s="49">
        <f t="shared" si="10"/>
        <v>2539575</v>
      </c>
    </row>
    <row r="480" spans="1:4">
      <c r="A480" s="7" t="s">
        <v>194</v>
      </c>
      <c r="B480" s="46">
        <v>8164800</v>
      </c>
      <c r="C480" s="46"/>
      <c r="D480" s="49">
        <f t="shared" si="10"/>
        <v>8164800</v>
      </c>
    </row>
    <row r="481" spans="1:4">
      <c r="A481" s="7" t="s">
        <v>195</v>
      </c>
      <c r="B481" s="46">
        <v>14813955</v>
      </c>
      <c r="C481" s="46"/>
      <c r="D481" s="49">
        <f t="shared" si="10"/>
        <v>14813955</v>
      </c>
    </row>
    <row r="482" spans="1:4">
      <c r="A482" s="7" t="s">
        <v>214</v>
      </c>
      <c r="B482" s="46">
        <v>903500</v>
      </c>
      <c r="C482" s="46"/>
      <c r="D482" s="49">
        <f t="shared" ref="D482" si="12">B482-C482</f>
        <v>903500</v>
      </c>
    </row>
    <row r="483" spans="1:4">
      <c r="A483" s="10" t="s">
        <v>2069</v>
      </c>
      <c r="B483" s="11">
        <f>SUM(B479:B482)</f>
        <v>26421830</v>
      </c>
      <c r="C483" s="11">
        <f t="shared" ref="C483:D483" si="13">SUM(C479:C482)</f>
        <v>0</v>
      </c>
      <c r="D483" s="52">
        <f t="shared" si="13"/>
        <v>26421830</v>
      </c>
    </row>
    <row r="484" spans="1:4">
      <c r="A484" s="7" t="str">
        <f>"Béri Balogh Ádám út 1236/29"</f>
        <v>Béri Balogh Ádám út 1236/29</v>
      </c>
      <c r="B484" s="46">
        <v>1910000</v>
      </c>
      <c r="C484" s="46"/>
      <c r="D484" s="49">
        <f t="shared" ref="D484:D547" si="14">B484-C484</f>
        <v>1910000</v>
      </c>
    </row>
    <row r="485" spans="1:4">
      <c r="A485" s="7" t="str">
        <f>"Béri Balogh út      1236/72"</f>
        <v>Béri Balogh út      1236/72</v>
      </c>
      <c r="B485" s="46">
        <v>1860000</v>
      </c>
      <c r="C485" s="46"/>
      <c r="D485" s="49">
        <f t="shared" si="14"/>
        <v>1860000</v>
      </c>
    </row>
    <row r="486" spans="1:4">
      <c r="A486" s="7" t="s">
        <v>37</v>
      </c>
      <c r="B486" s="46">
        <v>7908000</v>
      </c>
      <c r="C486" s="46"/>
      <c r="D486" s="49">
        <f t="shared" si="14"/>
        <v>7908000</v>
      </c>
    </row>
    <row r="487" spans="1:4">
      <c r="A487" s="7" t="str">
        <f>"Kecske liget        205/4"</f>
        <v>Kecske liget        205/4</v>
      </c>
      <c r="B487" s="46">
        <v>7600000</v>
      </c>
      <c r="C487" s="46"/>
      <c r="D487" s="49">
        <f t="shared" si="14"/>
        <v>7600000</v>
      </c>
    </row>
    <row r="488" spans="1:4">
      <c r="A488" s="7" t="str">
        <f>"Mártírok út         2200/2"</f>
        <v>Mártírok út         2200/2</v>
      </c>
      <c r="B488" s="46">
        <v>8262000</v>
      </c>
      <c r="C488" s="46"/>
      <c r="D488" s="49">
        <f t="shared" si="14"/>
        <v>8262000</v>
      </c>
    </row>
    <row r="489" spans="1:4">
      <c r="A489" s="7" t="str">
        <f>"Május 1 út          3120/21"</f>
        <v>Május 1 út          3120/21</v>
      </c>
      <c r="B489" s="46">
        <v>11660000</v>
      </c>
      <c r="C489" s="46"/>
      <c r="D489" s="49">
        <f t="shared" si="14"/>
        <v>11660000</v>
      </c>
    </row>
    <row r="490" spans="1:4">
      <c r="A490" s="7" t="s">
        <v>38</v>
      </c>
      <c r="B490" s="46">
        <v>6572000</v>
      </c>
      <c r="C490" s="46"/>
      <c r="D490" s="49">
        <f t="shared" si="14"/>
        <v>6572000</v>
      </c>
    </row>
    <row r="491" spans="1:4">
      <c r="A491" s="7" t="s">
        <v>39</v>
      </c>
      <c r="B491" s="46">
        <v>8756000</v>
      </c>
      <c r="C491" s="46"/>
      <c r="D491" s="49">
        <f t="shared" si="14"/>
        <v>8756000</v>
      </c>
    </row>
    <row r="492" spans="1:4">
      <c r="A492" s="7" t="s">
        <v>40</v>
      </c>
      <c r="B492" s="46">
        <v>141191518</v>
      </c>
      <c r="C492" s="46"/>
      <c r="D492" s="49">
        <f t="shared" si="14"/>
        <v>141191518</v>
      </c>
    </row>
    <row r="493" spans="1:4">
      <c r="A493" s="7" t="str">
        <f>"Rákóczi út 23/B 1584/1"</f>
        <v>Rákóczi út 23/B 1584/1</v>
      </c>
      <c r="B493" s="46">
        <v>13995000</v>
      </c>
      <c r="C493" s="46"/>
      <c r="D493" s="49">
        <f t="shared" si="14"/>
        <v>13995000</v>
      </c>
    </row>
    <row r="494" spans="1:4">
      <c r="A494" s="7" t="str">
        <f>"Perczel M utca 22. 2637/24"</f>
        <v>Perczel M utca 22. 2637/24</v>
      </c>
      <c r="B494" s="46">
        <v>4500000</v>
      </c>
      <c r="C494" s="46"/>
      <c r="D494" s="49">
        <f t="shared" si="14"/>
        <v>4500000</v>
      </c>
    </row>
    <row r="495" spans="1:4">
      <c r="A495" s="7" t="s">
        <v>46</v>
      </c>
      <c r="B495" s="46">
        <v>1584000</v>
      </c>
      <c r="C495" s="46"/>
      <c r="D495" s="49">
        <f t="shared" si="14"/>
        <v>1584000</v>
      </c>
    </row>
    <row r="496" spans="1:4">
      <c r="A496" s="7" t="s">
        <v>47</v>
      </c>
      <c r="B496" s="46">
        <v>1584000</v>
      </c>
      <c r="C496" s="46"/>
      <c r="D496" s="49">
        <f t="shared" si="14"/>
        <v>1584000</v>
      </c>
    </row>
    <row r="497" spans="1:4">
      <c r="A497" s="7" t="s">
        <v>48</v>
      </c>
      <c r="B497" s="46">
        <v>1584000</v>
      </c>
      <c r="C497" s="46"/>
      <c r="D497" s="49">
        <f t="shared" si="14"/>
        <v>1584000</v>
      </c>
    </row>
    <row r="498" spans="1:4">
      <c r="A498" s="7" t="str">
        <f>"Komjáthy utca 19/A 2902"</f>
        <v>Komjáthy utca 19/A 2902</v>
      </c>
      <c r="B498" s="46">
        <v>1587000</v>
      </c>
      <c r="C498" s="46"/>
      <c r="D498" s="49">
        <f t="shared" si="14"/>
        <v>1587000</v>
      </c>
    </row>
    <row r="499" spans="1:4">
      <c r="A499" s="7" t="str">
        <f>"Közterület /Pozsonyi utca/  1841/1"</f>
        <v>Közterület /Pozsonyi utca/  1841/1</v>
      </c>
      <c r="B499" s="46">
        <v>843000</v>
      </c>
      <c r="C499" s="46"/>
      <c r="D499" s="49">
        <f t="shared" si="14"/>
        <v>843000</v>
      </c>
    </row>
    <row r="500" spans="1:4">
      <c r="A500" s="7" t="str">
        <f>"Közterület /Kerámia mögött/ 1842/1"</f>
        <v>Közterület /Kerámia mögött/ 1842/1</v>
      </c>
      <c r="B500" s="46">
        <v>1061000</v>
      </c>
      <c r="C500" s="46"/>
      <c r="D500" s="49">
        <f t="shared" si="14"/>
        <v>1061000</v>
      </c>
    </row>
    <row r="501" spans="1:4">
      <c r="A501" s="7" t="str">
        <f>"Közterület /Kerámia mögött/ 1842/2"</f>
        <v>Közterület /Kerámia mögött/ 1842/2</v>
      </c>
      <c r="B501" s="46">
        <v>1278000</v>
      </c>
      <c r="C501" s="46"/>
      <c r="D501" s="49">
        <f t="shared" si="14"/>
        <v>1278000</v>
      </c>
    </row>
    <row r="502" spans="1:4">
      <c r="A502" s="7" t="str">
        <f>"Közterület /malomnál/       294"</f>
        <v>Közterület /malomnál/       294</v>
      </c>
      <c r="B502" s="46">
        <v>7461000</v>
      </c>
      <c r="C502" s="46"/>
      <c r="D502" s="49">
        <f t="shared" si="14"/>
        <v>7461000</v>
      </c>
    </row>
    <row r="503" spans="1:4">
      <c r="A503" s="7" t="str">
        <f>"Közterület /Dózsa/          1346/6"</f>
        <v>Közterület /Dózsa/          1346/6</v>
      </c>
      <c r="B503" s="46">
        <v>16670000</v>
      </c>
      <c r="C503" s="46"/>
      <c r="D503" s="49">
        <f t="shared" si="14"/>
        <v>16670000</v>
      </c>
    </row>
    <row r="504" spans="1:4">
      <c r="A504" s="7" t="str">
        <f>"Közterület /Szondi út/      205/1"</f>
        <v>Közterület /Szondi út/      205/1</v>
      </c>
      <c r="B504" s="46">
        <v>2295000</v>
      </c>
      <c r="C504" s="46"/>
      <c r="D504" s="49">
        <f t="shared" si="14"/>
        <v>2295000</v>
      </c>
    </row>
    <row r="505" spans="1:4">
      <c r="A505" s="7" t="str">
        <f>"Közterület /Szondi út/      205/3"</f>
        <v>Közterület /Szondi út/      205/3</v>
      </c>
      <c r="B505" s="46">
        <v>564000</v>
      </c>
      <c r="C505" s="46"/>
      <c r="D505" s="49">
        <f t="shared" si="14"/>
        <v>564000</v>
      </c>
    </row>
    <row r="506" spans="1:4">
      <c r="A506" s="7" t="str">
        <f>"Közterület /Régimalom u./   351/13"</f>
        <v>Közterület /Régimalom u./   351/13</v>
      </c>
      <c r="B506" s="46">
        <v>4700000</v>
      </c>
      <c r="C506" s="46"/>
      <c r="D506" s="49">
        <f t="shared" si="14"/>
        <v>4700000</v>
      </c>
    </row>
    <row r="507" spans="1:4">
      <c r="A507" s="7" t="str">
        <f>"Közterület Dózsa út         1062/42"</f>
        <v>Közterület Dózsa út         1062/42</v>
      </c>
      <c r="B507" s="46">
        <v>75000</v>
      </c>
      <c r="C507" s="46"/>
      <c r="D507" s="49">
        <f t="shared" si="14"/>
        <v>75000</v>
      </c>
    </row>
    <row r="508" spans="1:4">
      <c r="A508" s="7" t="str">
        <f>"Ati tanpálya  709/8"</f>
        <v>Ati tanpálya  709/8</v>
      </c>
      <c r="B508" s="46">
        <v>4180000</v>
      </c>
      <c r="C508" s="46"/>
      <c r="D508" s="49">
        <f t="shared" si="14"/>
        <v>4180000</v>
      </c>
    </row>
    <row r="509" spans="1:4">
      <c r="A509" s="7" t="str">
        <f>"Semmelweis u  879/1"</f>
        <v>Semmelweis u  879/1</v>
      </c>
      <c r="B509" s="46">
        <v>86000</v>
      </c>
      <c r="C509" s="46"/>
      <c r="D509" s="49">
        <f t="shared" si="14"/>
        <v>86000</v>
      </c>
    </row>
    <row r="510" spans="1:4">
      <c r="A510" s="7" t="str">
        <f>"Szügyi u. 3135/1"</f>
        <v>Szügyi u. 3135/1</v>
      </c>
      <c r="B510" s="46">
        <v>185000</v>
      </c>
      <c r="C510" s="46"/>
      <c r="D510" s="49">
        <f t="shared" si="14"/>
        <v>185000</v>
      </c>
    </row>
    <row r="511" spans="1:4">
      <c r="A511" s="7" t="str">
        <f>"Szügyi u. 3135/3"</f>
        <v>Szügyi u. 3135/3</v>
      </c>
      <c r="B511" s="46">
        <v>3928000</v>
      </c>
      <c r="C511" s="46"/>
      <c r="D511" s="49">
        <f t="shared" si="14"/>
        <v>3928000</v>
      </c>
    </row>
    <row r="512" spans="1:4">
      <c r="A512" s="7" t="str">
        <f>"Belterület 610/3"</f>
        <v>Belterület 610/3</v>
      </c>
      <c r="B512" s="46">
        <v>290200</v>
      </c>
      <c r="C512" s="46"/>
      <c r="D512" s="49">
        <f t="shared" si="14"/>
        <v>290200</v>
      </c>
    </row>
    <row r="513" spans="1:4">
      <c r="A513" s="7" t="str">
        <f>"Belterület 610/4"</f>
        <v>Belterület 610/4</v>
      </c>
      <c r="B513" s="46">
        <v>737600</v>
      </c>
      <c r="C513" s="46"/>
      <c r="D513" s="49">
        <f t="shared" si="14"/>
        <v>737600</v>
      </c>
    </row>
    <row r="514" spans="1:4">
      <c r="A514" s="7" t="str">
        <f>"Közterület 1835/110"</f>
        <v>Közterület 1835/110</v>
      </c>
      <c r="B514" s="46">
        <v>40942</v>
      </c>
      <c r="C514" s="46"/>
      <c r="D514" s="49">
        <f t="shared" si="14"/>
        <v>40942</v>
      </c>
    </row>
    <row r="515" spans="1:4">
      <c r="A515" s="7" t="str">
        <f>"Közterület 1835/111"</f>
        <v>Közterület 1835/111</v>
      </c>
      <c r="B515" s="46">
        <v>208473</v>
      </c>
      <c r="C515" s="46"/>
      <c r="D515" s="49">
        <f t="shared" si="14"/>
        <v>208473</v>
      </c>
    </row>
    <row r="516" spans="1:4">
      <c r="A516" s="7" t="str">
        <f>"Közetrület 1835/112"</f>
        <v>Közetrület 1835/112</v>
      </c>
      <c r="B516" s="46">
        <v>61176</v>
      </c>
      <c r="C516" s="46"/>
      <c r="D516" s="49">
        <f t="shared" si="14"/>
        <v>61176</v>
      </c>
    </row>
    <row r="517" spans="1:4">
      <c r="A517" s="7" t="str">
        <f>"Busz pu. telek 709/5"</f>
        <v>Busz pu. telek 709/5</v>
      </c>
      <c r="B517" s="46">
        <v>3939100</v>
      </c>
      <c r="C517" s="46"/>
      <c r="D517" s="49">
        <f t="shared" si="14"/>
        <v>3939100</v>
      </c>
    </row>
    <row r="518" spans="1:4">
      <c r="A518" s="7" t="str">
        <f>"Busz pu. telek 0154/15"</f>
        <v>Busz pu. telek 0154/15</v>
      </c>
      <c r="B518" s="46">
        <v>25000</v>
      </c>
      <c r="C518" s="46"/>
      <c r="D518" s="49">
        <f t="shared" si="14"/>
        <v>25000</v>
      </c>
    </row>
    <row r="519" spans="1:4">
      <c r="A519" s="7" t="str">
        <f>"Busz pu. telek 0154/19"</f>
        <v>Busz pu. telek 0154/19</v>
      </c>
      <c r="B519" s="46">
        <v>52900</v>
      </c>
      <c r="C519" s="46"/>
      <c r="D519" s="49">
        <f t="shared" si="14"/>
        <v>52900</v>
      </c>
    </row>
    <row r="520" spans="1:4">
      <c r="A520" s="7" t="str">
        <f>"Busz pu. telek 0154/29"</f>
        <v>Busz pu. telek 0154/29</v>
      </c>
      <c r="B520" s="46">
        <v>27700</v>
      </c>
      <c r="C520" s="46"/>
      <c r="D520" s="49">
        <f t="shared" si="14"/>
        <v>27700</v>
      </c>
    </row>
    <row r="521" spans="1:4">
      <c r="A521" s="7" t="str">
        <f>"Busz pu. telek 0154/31"</f>
        <v>Busz pu. telek 0154/31</v>
      </c>
      <c r="B521" s="46">
        <v>52000</v>
      </c>
      <c r="C521" s="46"/>
      <c r="D521" s="49">
        <f t="shared" si="14"/>
        <v>52000</v>
      </c>
    </row>
    <row r="522" spans="1:4">
      <c r="A522" s="7" t="str">
        <f>"Telek megszűnt ház hely 5009/2"</f>
        <v>Telek megszűnt ház hely 5009/2</v>
      </c>
      <c r="B522" s="46">
        <v>291000</v>
      </c>
      <c r="C522" s="46"/>
      <c r="D522" s="49">
        <f t="shared" si="14"/>
        <v>291000</v>
      </c>
    </row>
    <row r="523" spans="1:4">
      <c r="A523" s="7" t="str">
        <f>"Garázs hely 1036/116"</f>
        <v>Garázs hely 1036/116</v>
      </c>
      <c r="B523" s="46">
        <v>315000</v>
      </c>
      <c r="C523" s="46"/>
      <c r="D523" s="49">
        <f t="shared" si="14"/>
        <v>315000</v>
      </c>
    </row>
    <row r="524" spans="1:4">
      <c r="A524" s="7" t="s">
        <v>199</v>
      </c>
      <c r="B524" s="46">
        <v>1200000</v>
      </c>
      <c r="C524" s="46"/>
      <c r="D524" s="49">
        <f t="shared" si="14"/>
        <v>1200000</v>
      </c>
    </row>
    <row r="525" spans="1:4">
      <c r="A525" s="7" t="str">
        <f>"Külterület Állami Föld 0154/63"</f>
        <v>Külterület Állami Föld 0154/63</v>
      </c>
      <c r="B525" s="46">
        <v>400</v>
      </c>
      <c r="C525" s="46"/>
      <c r="D525" s="49">
        <f t="shared" si="14"/>
        <v>400</v>
      </c>
    </row>
    <row r="526" spans="1:4">
      <c r="A526" s="7" t="str">
        <f>"Külterület Állami Föld 0154/66"</f>
        <v>Külterület Állami Föld 0154/66</v>
      </c>
      <c r="B526" s="46">
        <v>96700</v>
      </c>
      <c r="C526" s="46"/>
      <c r="D526" s="49">
        <f t="shared" si="14"/>
        <v>96700</v>
      </c>
    </row>
    <row r="527" spans="1:4">
      <c r="A527" s="7" t="str">
        <f>"Külterület Állami Föld 0154/67"</f>
        <v>Külterület Állami Föld 0154/67</v>
      </c>
      <c r="B527" s="46">
        <v>3700</v>
      </c>
      <c r="C527" s="46"/>
      <c r="D527" s="49">
        <f t="shared" si="14"/>
        <v>3700</v>
      </c>
    </row>
    <row r="528" spans="1:4">
      <c r="A528" s="7" t="str">
        <f>"Külterület Állami Föld 0154/68"</f>
        <v>Külterület Állami Föld 0154/68</v>
      </c>
      <c r="B528" s="46">
        <v>40500</v>
      </c>
      <c r="C528" s="46"/>
      <c r="D528" s="49">
        <f t="shared" si="14"/>
        <v>40500</v>
      </c>
    </row>
    <row r="529" spans="1:4">
      <c r="A529" s="7" t="str">
        <f>"Külterület Állami Föld 0154/71"</f>
        <v>Külterület Állami Föld 0154/71</v>
      </c>
      <c r="B529" s="46">
        <v>16700</v>
      </c>
      <c r="C529" s="46"/>
      <c r="D529" s="49">
        <f t="shared" si="14"/>
        <v>16700</v>
      </c>
    </row>
    <row r="530" spans="1:4">
      <c r="A530" s="7" t="str">
        <f>"Külterület Állami Föld 0154/87"</f>
        <v>Külterület Állami Föld 0154/87</v>
      </c>
      <c r="B530" s="46">
        <v>46400</v>
      </c>
      <c r="C530" s="46"/>
      <c r="D530" s="49">
        <f t="shared" si="14"/>
        <v>46400</v>
      </c>
    </row>
    <row r="531" spans="1:4">
      <c r="A531" s="7" t="str">
        <f>"Külterület Állami Föld 0154/89"</f>
        <v>Külterület Állami Föld 0154/89</v>
      </c>
      <c r="B531" s="46">
        <v>310700</v>
      </c>
      <c r="C531" s="46"/>
      <c r="D531" s="49">
        <f t="shared" si="14"/>
        <v>310700</v>
      </c>
    </row>
    <row r="532" spans="1:4">
      <c r="A532" s="7" t="str">
        <f>"Ipolypart út 0154/107"</f>
        <v>Ipolypart út 0154/107</v>
      </c>
      <c r="B532" s="46">
        <v>8980000</v>
      </c>
      <c r="C532" s="46"/>
      <c r="D532" s="49">
        <f t="shared" si="14"/>
        <v>8980000</v>
      </c>
    </row>
    <row r="533" spans="1:4">
      <c r="A533" s="7" t="str">
        <f>"Közterület 1043/11"</f>
        <v>Közterület 1043/11</v>
      </c>
      <c r="B533" s="46">
        <v>2694000</v>
      </c>
      <c r="C533" s="46"/>
      <c r="D533" s="49">
        <f t="shared" si="14"/>
        <v>2694000</v>
      </c>
    </row>
    <row r="534" spans="1:4">
      <c r="A534" s="7" t="str">
        <f>"Polgármesteri Hiv.B épület 509/1"</f>
        <v>Polgármesteri Hiv.B épület 509/1</v>
      </c>
      <c r="B534" s="46">
        <v>1124000</v>
      </c>
      <c r="C534" s="46"/>
      <c r="D534" s="49">
        <f t="shared" si="14"/>
        <v>1124000</v>
      </c>
    </row>
    <row r="535" spans="1:4">
      <c r="A535" s="7" t="str">
        <f>"Körforgalom 1880/2 hrsz kivett 1874 hrsz"</f>
        <v>Körforgalom 1880/2 hrsz kivett 1874 hrsz</v>
      </c>
      <c r="B535" s="46">
        <v>250000</v>
      </c>
      <c r="C535" s="46"/>
      <c r="D535" s="49">
        <f t="shared" si="14"/>
        <v>250000</v>
      </c>
    </row>
    <row r="536" spans="1:4">
      <c r="A536" s="7" t="str">
        <f>"Rákóczi 6 Bontás 437/2"</f>
        <v>Rákóczi 6 Bontás 437/2</v>
      </c>
      <c r="B536" s="46">
        <v>3412000</v>
      </c>
      <c r="C536" s="46"/>
      <c r="D536" s="49">
        <f t="shared" si="14"/>
        <v>3412000</v>
      </c>
    </row>
    <row r="537" spans="1:4">
      <c r="A537" s="7" t="str">
        <f>"Nemzeti Földalap mérés 0154/102"</f>
        <v>Nemzeti Földalap mérés 0154/102</v>
      </c>
      <c r="B537" s="46">
        <v>1020000</v>
      </c>
      <c r="C537" s="46"/>
      <c r="D537" s="49">
        <f t="shared" si="14"/>
        <v>1020000</v>
      </c>
    </row>
    <row r="538" spans="1:4">
      <c r="A538" s="7" t="str">
        <f>"NFA 0154/103"</f>
        <v>NFA 0154/103</v>
      </c>
      <c r="B538" s="46">
        <v>2533739</v>
      </c>
      <c r="C538" s="46"/>
      <c r="D538" s="49">
        <f t="shared" si="14"/>
        <v>2533739</v>
      </c>
    </row>
    <row r="539" spans="1:4">
      <c r="A539" s="7" t="str">
        <f>"NFA 0154/104"</f>
        <v>NFA 0154/104</v>
      </c>
      <c r="B539" s="46">
        <v>445690</v>
      </c>
      <c r="C539" s="46"/>
      <c r="D539" s="49">
        <f t="shared" si="14"/>
        <v>445690</v>
      </c>
    </row>
    <row r="540" spans="1:4">
      <c r="A540" s="7" t="str">
        <f>"NFA 0154/105"</f>
        <v>NFA 0154/105</v>
      </c>
      <c r="B540" s="46">
        <v>1565838</v>
      </c>
      <c r="C540" s="46"/>
      <c r="D540" s="49">
        <f t="shared" si="14"/>
        <v>1565838</v>
      </c>
    </row>
    <row r="541" spans="1:4">
      <c r="A541" s="7" t="str">
        <f>"NFA 0154/106"</f>
        <v>NFA 0154/106</v>
      </c>
      <c r="B541" s="46">
        <v>440257</v>
      </c>
      <c r="C541" s="46"/>
      <c r="D541" s="49">
        <f t="shared" si="14"/>
        <v>440257</v>
      </c>
    </row>
    <row r="542" spans="1:4">
      <c r="A542" s="7" t="str">
        <f>"NFA 0154/107"</f>
        <v>NFA 0154/107</v>
      </c>
      <c r="B542" s="46">
        <v>1474923</v>
      </c>
      <c r="C542" s="46"/>
      <c r="D542" s="49">
        <f t="shared" si="14"/>
        <v>1474923</v>
      </c>
    </row>
    <row r="543" spans="1:4">
      <c r="A543" s="7" t="str">
        <f>"NFA 0154/108"</f>
        <v>NFA 0154/108</v>
      </c>
      <c r="B543" s="46">
        <v>16188555</v>
      </c>
      <c r="C543" s="46"/>
      <c r="D543" s="49">
        <f t="shared" si="14"/>
        <v>16188555</v>
      </c>
    </row>
    <row r="544" spans="1:4">
      <c r="A544" s="7" t="s">
        <v>236</v>
      </c>
      <c r="B544" s="46">
        <v>39387500</v>
      </c>
      <c r="C544" s="46"/>
      <c r="D544" s="49">
        <f t="shared" si="14"/>
        <v>39387500</v>
      </c>
    </row>
    <row r="545" spans="1:4">
      <c r="A545" s="7" t="s">
        <v>237</v>
      </c>
      <c r="B545" s="46">
        <v>6789600</v>
      </c>
      <c r="C545" s="46"/>
      <c r="D545" s="49">
        <f t="shared" si="14"/>
        <v>6789600</v>
      </c>
    </row>
    <row r="546" spans="1:4">
      <c r="A546" s="7" t="s">
        <v>238</v>
      </c>
      <c r="B546" s="46">
        <v>33534000</v>
      </c>
      <c r="C546" s="46"/>
      <c r="D546" s="49">
        <f t="shared" si="14"/>
        <v>33534000</v>
      </c>
    </row>
    <row r="547" spans="1:4">
      <c r="A547" s="7" t="str">
        <f>"Hunyadi lakótelep 1357/18"</f>
        <v>Hunyadi lakótelep 1357/18</v>
      </c>
      <c r="B547" s="46">
        <v>37425000</v>
      </c>
      <c r="C547" s="46"/>
      <c r="D547" s="49">
        <f t="shared" si="14"/>
        <v>37425000</v>
      </c>
    </row>
    <row r="548" spans="1:4">
      <c r="A548" s="7" t="str">
        <f>"Közterület Dózsa út         1062/46"</f>
        <v>Közterület Dózsa út         1062/46</v>
      </c>
      <c r="B548" s="46">
        <v>183000</v>
      </c>
      <c r="C548" s="46"/>
      <c r="D548" s="49">
        <f t="shared" ref="D548:D611" si="15">B548-C548</f>
        <v>183000</v>
      </c>
    </row>
    <row r="549" spans="1:4">
      <c r="A549" s="7" t="str">
        <f>"Közter.Szügyi tér páros o   1972/2"</f>
        <v>Közter.Szügyi tér páros o   1972/2</v>
      </c>
      <c r="B549" s="46">
        <v>7736180</v>
      </c>
      <c r="C549" s="46"/>
      <c r="D549" s="49">
        <f t="shared" si="15"/>
        <v>7736180</v>
      </c>
    </row>
    <row r="550" spans="1:4">
      <c r="A550" s="7" t="s">
        <v>346</v>
      </c>
      <c r="B550" s="46">
        <v>11486000</v>
      </c>
      <c r="C550" s="46"/>
      <c r="D550" s="49">
        <f t="shared" si="15"/>
        <v>11486000</v>
      </c>
    </row>
    <row r="551" spans="1:4">
      <c r="A551" s="7" t="str">
        <f>"Közter. Horváth E.út        2733/2"</f>
        <v>Közter. Horváth E.út        2733/2</v>
      </c>
      <c r="B551" s="46">
        <v>5396000</v>
      </c>
      <c r="C551" s="46"/>
      <c r="D551" s="49">
        <f t="shared" si="15"/>
        <v>5396000</v>
      </c>
    </row>
    <row r="552" spans="1:4">
      <c r="A552" s="7" t="str">
        <f>"Közter. Szügyi út           3148/3"</f>
        <v>Közter. Szügyi út           3148/3</v>
      </c>
      <c r="B552" s="46">
        <v>5529000</v>
      </c>
      <c r="C552" s="46"/>
      <c r="D552" s="49">
        <f t="shared" si="15"/>
        <v>5529000</v>
      </c>
    </row>
    <row r="553" spans="1:4">
      <c r="A553" s="7" t="str">
        <f>"Közter. Fáy A. út           3153/1"</f>
        <v>Közter. Fáy A. út           3153/1</v>
      </c>
      <c r="B553" s="46">
        <v>19661000</v>
      </c>
      <c r="C553" s="46"/>
      <c r="D553" s="49">
        <f t="shared" si="15"/>
        <v>19661000</v>
      </c>
    </row>
    <row r="554" spans="1:4">
      <c r="A554" s="7" t="str">
        <f>"Közter. Fáy A. út           3153/2"</f>
        <v>Közter. Fáy A. út           3153/2</v>
      </c>
      <c r="B554" s="46">
        <v>3345000</v>
      </c>
      <c r="C554" s="46"/>
      <c r="D554" s="49">
        <f t="shared" si="15"/>
        <v>3345000</v>
      </c>
    </row>
    <row r="555" spans="1:4">
      <c r="A555" s="7" t="s">
        <v>347</v>
      </c>
      <c r="B555" s="46">
        <v>705000</v>
      </c>
      <c r="C555" s="46"/>
      <c r="D555" s="49">
        <f t="shared" si="15"/>
        <v>705000</v>
      </c>
    </row>
    <row r="556" spans="1:4">
      <c r="A556" s="7" t="str">
        <f>"Közter. Nyirjes             5106/2"</f>
        <v>Közter. Nyirjes             5106/2</v>
      </c>
      <c r="B556" s="46">
        <v>683000</v>
      </c>
      <c r="C556" s="46"/>
      <c r="D556" s="49">
        <f t="shared" si="15"/>
        <v>683000</v>
      </c>
    </row>
    <row r="557" spans="1:4">
      <c r="A557" s="7" t="s">
        <v>348</v>
      </c>
      <c r="B557" s="46">
        <v>2832000</v>
      </c>
      <c r="C557" s="46"/>
      <c r="D557" s="49">
        <f t="shared" si="15"/>
        <v>2832000</v>
      </c>
    </row>
    <row r="558" spans="1:4">
      <c r="A558" s="7" t="str">
        <f>"Közter. Kóvári út           327/18"</f>
        <v>Közter. Kóvári út           327/18</v>
      </c>
      <c r="B558" s="46">
        <v>750000</v>
      </c>
      <c r="C558" s="46"/>
      <c r="D558" s="49">
        <f t="shared" si="15"/>
        <v>750000</v>
      </c>
    </row>
    <row r="559" spans="1:4">
      <c r="A559" s="7" t="str">
        <f>"Közter. Jópalócok           764/31"</f>
        <v>Közter. Jópalócok           764/31</v>
      </c>
      <c r="B559" s="46">
        <v>132000</v>
      </c>
      <c r="C559" s="46"/>
      <c r="D559" s="49">
        <f t="shared" si="15"/>
        <v>132000</v>
      </c>
    </row>
    <row r="560" spans="1:4">
      <c r="A560" s="7" t="str">
        <f>"Altalaj Markusovszky        1022/24"</f>
        <v>Altalaj Markusovszky        1022/24</v>
      </c>
      <c r="B560" s="46">
        <v>2224000</v>
      </c>
      <c r="C560" s="46"/>
      <c r="D560" s="49">
        <f t="shared" si="15"/>
        <v>2224000</v>
      </c>
    </row>
    <row r="561" spans="1:4">
      <c r="A561" s="7" t="str">
        <f>"Közter. Névtelen tér        1033/6"</f>
        <v>Közter. Névtelen tér        1033/6</v>
      </c>
      <c r="B561" s="46">
        <v>5288000</v>
      </c>
      <c r="C561" s="46"/>
      <c r="D561" s="49">
        <f t="shared" si="15"/>
        <v>5288000</v>
      </c>
    </row>
    <row r="562" spans="1:4">
      <c r="A562" s="7" t="str">
        <f>"közter. Achim A.út          1237/11"</f>
        <v>közter. Achim A.út          1237/11</v>
      </c>
      <c r="B562" s="46">
        <v>47090000</v>
      </c>
      <c r="C562" s="46"/>
      <c r="D562" s="49">
        <f t="shared" si="15"/>
        <v>47090000</v>
      </c>
    </row>
    <row r="563" spans="1:4">
      <c r="A563" s="7" t="str">
        <f>"Közter. Dózsa               1323/11"</f>
        <v>Közter. Dózsa               1323/11</v>
      </c>
      <c r="B563" s="46">
        <v>15000000</v>
      </c>
      <c r="C563" s="46"/>
      <c r="D563" s="49">
        <f t="shared" si="15"/>
        <v>15000000</v>
      </c>
    </row>
    <row r="564" spans="1:4">
      <c r="A564" s="7" t="s">
        <v>349</v>
      </c>
      <c r="B564" s="46">
        <v>2976000</v>
      </c>
      <c r="C564" s="46"/>
      <c r="D564" s="49">
        <f t="shared" si="15"/>
        <v>2976000</v>
      </c>
    </row>
    <row r="565" spans="1:4">
      <c r="A565" s="7" t="str">
        <f>"Közterület                  2910/64"</f>
        <v>Közterület                  2910/64</v>
      </c>
      <c r="B565" s="46">
        <v>1413000</v>
      </c>
      <c r="C565" s="46"/>
      <c r="D565" s="49">
        <f t="shared" si="15"/>
        <v>1413000</v>
      </c>
    </row>
    <row r="566" spans="1:4">
      <c r="A566" s="7" t="str">
        <f>"Közterület                  2910/74"</f>
        <v>Közterület                  2910/74</v>
      </c>
      <c r="B566" s="46">
        <v>688000</v>
      </c>
      <c r="C566" s="46"/>
      <c r="D566" s="49">
        <f t="shared" si="15"/>
        <v>688000</v>
      </c>
    </row>
    <row r="567" spans="1:4">
      <c r="A567" s="7" t="str">
        <f>"Közterület                  3134/94"</f>
        <v>Közterület                  3134/94</v>
      </c>
      <c r="B567" s="46">
        <v>936000</v>
      </c>
      <c r="C567" s="46"/>
      <c r="D567" s="49">
        <f t="shared" si="15"/>
        <v>936000</v>
      </c>
    </row>
    <row r="568" spans="1:4">
      <c r="A568" s="7" t="str">
        <f>"Közterület                  673/3"</f>
        <v>Közterület                  673/3</v>
      </c>
      <c r="B568" s="46">
        <v>10000000</v>
      </c>
      <c r="C568" s="46"/>
      <c r="D568" s="49">
        <f t="shared" si="15"/>
        <v>10000000</v>
      </c>
    </row>
    <row r="569" spans="1:4">
      <c r="A569" s="10" t="s">
        <v>2070</v>
      </c>
      <c r="B569" s="11">
        <f>SUM(B484:B568)</f>
        <v>572953991</v>
      </c>
      <c r="C569" s="11">
        <f t="shared" ref="C569:D569" si="16">SUM(C484:C568)</f>
        <v>0</v>
      </c>
      <c r="D569" s="52">
        <f t="shared" si="16"/>
        <v>572953991</v>
      </c>
    </row>
    <row r="570" spans="1:4">
      <c r="A570" s="7" t="s">
        <v>417</v>
      </c>
      <c r="B570" s="46">
        <v>1917000</v>
      </c>
      <c r="C570" s="46">
        <v>1092846</v>
      </c>
      <c r="D570" s="49">
        <f t="shared" si="15"/>
        <v>824154</v>
      </c>
    </row>
    <row r="571" spans="1:4">
      <c r="A571" s="7" t="s">
        <v>418</v>
      </c>
      <c r="B571" s="46">
        <v>6593000</v>
      </c>
      <c r="C571" s="46">
        <v>3758542</v>
      </c>
      <c r="D571" s="49">
        <f t="shared" si="15"/>
        <v>2834458</v>
      </c>
    </row>
    <row r="572" spans="1:4">
      <c r="A572" s="7" t="s">
        <v>419</v>
      </c>
      <c r="B572" s="46">
        <v>24017766</v>
      </c>
      <c r="C572" s="46">
        <v>9378271</v>
      </c>
      <c r="D572" s="49">
        <f t="shared" si="15"/>
        <v>14639495</v>
      </c>
    </row>
    <row r="573" spans="1:4">
      <c r="A573" s="7" t="s">
        <v>420</v>
      </c>
      <c r="B573" s="46">
        <v>1803000</v>
      </c>
      <c r="C573" s="46">
        <v>1027848</v>
      </c>
      <c r="D573" s="49">
        <f t="shared" si="15"/>
        <v>775152</v>
      </c>
    </row>
    <row r="574" spans="1:4">
      <c r="A574" s="7" t="s">
        <v>421</v>
      </c>
      <c r="B574" s="46">
        <v>2211000</v>
      </c>
      <c r="C574" s="46">
        <v>1260442</v>
      </c>
      <c r="D574" s="49">
        <f t="shared" si="15"/>
        <v>950558</v>
      </c>
    </row>
    <row r="575" spans="1:4">
      <c r="A575" s="7" t="s">
        <v>422</v>
      </c>
      <c r="B575" s="46">
        <v>21363000</v>
      </c>
      <c r="C575" s="46">
        <v>12178655</v>
      </c>
      <c r="D575" s="49">
        <f t="shared" si="15"/>
        <v>9184345</v>
      </c>
    </row>
    <row r="576" spans="1:4">
      <c r="A576" s="7" t="s">
        <v>423</v>
      </c>
      <c r="B576" s="46">
        <v>23618000</v>
      </c>
      <c r="C576" s="46">
        <v>13464189</v>
      </c>
      <c r="D576" s="49">
        <f t="shared" si="15"/>
        <v>10153811</v>
      </c>
    </row>
    <row r="577" spans="1:4">
      <c r="A577" s="7" t="s">
        <v>424</v>
      </c>
      <c r="B577" s="46">
        <v>19955000</v>
      </c>
      <c r="C577" s="46">
        <v>11375980</v>
      </c>
      <c r="D577" s="49">
        <f t="shared" si="15"/>
        <v>8579020</v>
      </c>
    </row>
    <row r="578" spans="1:4">
      <c r="A578" s="7" t="s">
        <v>425</v>
      </c>
      <c r="B578" s="46">
        <v>26049000</v>
      </c>
      <c r="C578" s="46">
        <v>14850056</v>
      </c>
      <c r="D578" s="49">
        <f t="shared" si="15"/>
        <v>11198944</v>
      </c>
    </row>
    <row r="579" spans="1:4">
      <c r="A579" s="7" t="s">
        <v>426</v>
      </c>
      <c r="B579" s="46">
        <v>17212396</v>
      </c>
      <c r="C579" s="46">
        <v>9282008</v>
      </c>
      <c r="D579" s="49">
        <f t="shared" si="15"/>
        <v>7930388</v>
      </c>
    </row>
    <row r="580" spans="1:4">
      <c r="A580" s="7" t="s">
        <v>427</v>
      </c>
      <c r="B580" s="46">
        <v>1052870</v>
      </c>
      <c r="C580" s="46">
        <v>255372</v>
      </c>
      <c r="D580" s="49">
        <f t="shared" si="15"/>
        <v>797498</v>
      </c>
    </row>
    <row r="581" spans="1:4">
      <c r="A581" s="7" t="s">
        <v>428</v>
      </c>
      <c r="B581" s="46">
        <v>3599080</v>
      </c>
      <c r="C581" s="46">
        <v>1988964</v>
      </c>
      <c r="D581" s="49">
        <f t="shared" si="15"/>
        <v>1610116</v>
      </c>
    </row>
    <row r="582" spans="1:4">
      <c r="A582" s="7" t="s">
        <v>429</v>
      </c>
      <c r="B582" s="46">
        <v>35433818</v>
      </c>
      <c r="C582" s="46">
        <v>19581923</v>
      </c>
      <c r="D582" s="49">
        <f t="shared" si="15"/>
        <v>15851895</v>
      </c>
    </row>
    <row r="583" spans="1:4">
      <c r="A583" s="7" t="str">
        <f>"Erdélyi J. út         298/17"</f>
        <v>Erdélyi J. út         298/17</v>
      </c>
      <c r="B583" s="46">
        <v>113850877</v>
      </c>
      <c r="C583" s="46">
        <v>62917861</v>
      </c>
      <c r="D583" s="49">
        <f t="shared" si="15"/>
        <v>50933016</v>
      </c>
    </row>
    <row r="584" spans="1:4">
      <c r="A584" s="7" t="s">
        <v>430</v>
      </c>
      <c r="B584" s="46">
        <v>174000</v>
      </c>
      <c r="C584" s="46">
        <v>99186</v>
      </c>
      <c r="D584" s="49">
        <f t="shared" si="15"/>
        <v>74814</v>
      </c>
    </row>
    <row r="585" spans="1:4">
      <c r="A585" s="7" t="s">
        <v>431</v>
      </c>
      <c r="B585" s="46">
        <v>10597000</v>
      </c>
      <c r="C585" s="46">
        <v>6041155</v>
      </c>
      <c r="D585" s="49">
        <f t="shared" si="15"/>
        <v>4555845</v>
      </c>
    </row>
    <row r="586" spans="1:4">
      <c r="A586" s="7" t="s">
        <v>432</v>
      </c>
      <c r="B586" s="46">
        <v>7552000</v>
      </c>
      <c r="C586" s="46">
        <v>4305261</v>
      </c>
      <c r="D586" s="49">
        <f t="shared" si="15"/>
        <v>3246739</v>
      </c>
    </row>
    <row r="587" spans="1:4">
      <c r="A587" s="7" t="s">
        <v>433</v>
      </c>
      <c r="B587" s="46">
        <v>46685000</v>
      </c>
      <c r="C587" s="46">
        <v>26614272</v>
      </c>
      <c r="D587" s="49">
        <f t="shared" si="15"/>
        <v>20070728</v>
      </c>
    </row>
    <row r="588" spans="1:4">
      <c r="A588" s="7" t="str">
        <f>"Opel szalon bekötő út 344/5"</f>
        <v>Opel szalon bekötő út 344/5</v>
      </c>
      <c r="B588" s="46">
        <v>5458600</v>
      </c>
      <c r="C588" s="46">
        <v>2545945</v>
      </c>
      <c r="D588" s="49">
        <f t="shared" si="15"/>
        <v>2912655</v>
      </c>
    </row>
    <row r="589" spans="1:4">
      <c r="A589" s="7" t="s">
        <v>434</v>
      </c>
      <c r="B589" s="46">
        <v>1838000</v>
      </c>
      <c r="C589" s="46">
        <v>1047798</v>
      </c>
      <c r="D589" s="49">
        <f t="shared" si="15"/>
        <v>790202</v>
      </c>
    </row>
    <row r="590" spans="1:4">
      <c r="A590" s="7" t="s">
        <v>435</v>
      </c>
      <c r="B590" s="46">
        <v>821000</v>
      </c>
      <c r="C590" s="46">
        <v>468031</v>
      </c>
      <c r="D590" s="49">
        <f t="shared" si="15"/>
        <v>352969</v>
      </c>
    </row>
    <row r="591" spans="1:4">
      <c r="A591" s="7" t="s">
        <v>436</v>
      </c>
      <c r="B591" s="46">
        <v>32299360</v>
      </c>
      <c r="C591" s="46">
        <v>15227987</v>
      </c>
      <c r="D591" s="49">
        <f t="shared" si="15"/>
        <v>17071373</v>
      </c>
    </row>
    <row r="592" spans="1:4">
      <c r="A592" s="7" t="s">
        <v>437</v>
      </c>
      <c r="B592" s="46">
        <v>11876324</v>
      </c>
      <c r="C592" s="46">
        <v>6082766</v>
      </c>
      <c r="D592" s="49">
        <f t="shared" si="15"/>
        <v>5793558</v>
      </c>
    </row>
    <row r="593" spans="1:4">
      <c r="A593" s="7" t="s">
        <v>438</v>
      </c>
      <c r="B593" s="46">
        <v>28557815</v>
      </c>
      <c r="C593" s="46">
        <v>13902597</v>
      </c>
      <c r="D593" s="49">
        <f t="shared" si="15"/>
        <v>14655218</v>
      </c>
    </row>
    <row r="594" spans="1:4">
      <c r="A594" s="7" t="s">
        <v>439</v>
      </c>
      <c r="B594" s="46">
        <v>25673000</v>
      </c>
      <c r="C594" s="46">
        <v>14635709</v>
      </c>
      <c r="D594" s="49">
        <f t="shared" si="15"/>
        <v>11037291</v>
      </c>
    </row>
    <row r="595" spans="1:4">
      <c r="A595" s="7" t="s">
        <v>440</v>
      </c>
      <c r="B595" s="46">
        <v>15718568</v>
      </c>
      <c r="C595" s="46">
        <v>8383045</v>
      </c>
      <c r="D595" s="49">
        <f t="shared" si="15"/>
        <v>7335523</v>
      </c>
    </row>
    <row r="596" spans="1:4">
      <c r="A596" s="7" t="s">
        <v>441</v>
      </c>
      <c r="B596" s="46">
        <v>11516750</v>
      </c>
      <c r="C596" s="46">
        <v>6555113</v>
      </c>
      <c r="D596" s="49">
        <f t="shared" si="15"/>
        <v>4961637</v>
      </c>
    </row>
    <row r="597" spans="1:4">
      <c r="A597" s="7" t="str">
        <f>"Összekötő út          1037/120"</f>
        <v>Összekötő út          1037/120</v>
      </c>
      <c r="B597" s="46">
        <v>3608000</v>
      </c>
      <c r="C597" s="46">
        <v>2056839</v>
      </c>
      <c r="D597" s="49">
        <f t="shared" si="15"/>
        <v>1551161</v>
      </c>
    </row>
    <row r="598" spans="1:4">
      <c r="A598" s="7" t="str">
        <f>"Sánta K. út           1037/121"</f>
        <v>Sánta K. út           1037/121</v>
      </c>
      <c r="B598" s="46">
        <v>21466944</v>
      </c>
      <c r="C598" s="46">
        <v>9509368</v>
      </c>
      <c r="D598" s="49">
        <f t="shared" si="15"/>
        <v>11957576</v>
      </c>
    </row>
    <row r="599" spans="1:4">
      <c r="A599" s="7" t="str">
        <f>"Sánta K. út           1037/217"</f>
        <v>Sánta K. út           1037/217</v>
      </c>
      <c r="B599" s="46">
        <v>51029000</v>
      </c>
      <c r="C599" s="46">
        <v>29090713</v>
      </c>
      <c r="D599" s="49">
        <f t="shared" si="15"/>
        <v>21938287</v>
      </c>
    </row>
    <row r="600" spans="1:4">
      <c r="A600" s="7" t="str">
        <f>"Közterület            1037/208"</f>
        <v>Közterület            1037/208</v>
      </c>
      <c r="B600" s="46">
        <v>65000</v>
      </c>
      <c r="C600" s="46">
        <v>37054</v>
      </c>
      <c r="D600" s="49">
        <f t="shared" si="15"/>
        <v>27946</v>
      </c>
    </row>
    <row r="601" spans="1:4">
      <c r="A601" s="7" t="str">
        <f>"Bejáró köz            1040/4"</f>
        <v>Bejáró köz            1040/4</v>
      </c>
      <c r="B601" s="46">
        <v>360000</v>
      </c>
      <c r="C601" s="46">
        <v>205225</v>
      </c>
      <c r="D601" s="49">
        <f t="shared" si="15"/>
        <v>154775</v>
      </c>
    </row>
    <row r="602" spans="1:4">
      <c r="A602" s="7" t="str">
        <f>"Közterület játszótér  1040/15"</f>
        <v>Közterület játszótér  1040/15</v>
      </c>
      <c r="B602" s="46">
        <v>10937000</v>
      </c>
      <c r="C602" s="46">
        <v>6234983</v>
      </c>
      <c r="D602" s="49">
        <f t="shared" si="15"/>
        <v>4702017</v>
      </c>
    </row>
    <row r="603" spans="1:4">
      <c r="A603" s="7" t="str">
        <f>"Bérczi K. út          1043/12"</f>
        <v>Bérczi K. út          1043/12</v>
      </c>
      <c r="B603" s="46">
        <v>14704580</v>
      </c>
      <c r="C603" s="46">
        <v>8480734</v>
      </c>
      <c r="D603" s="49">
        <f t="shared" si="15"/>
        <v>6223846</v>
      </c>
    </row>
    <row r="604" spans="1:4">
      <c r="A604" s="7" t="s">
        <v>442</v>
      </c>
      <c r="B604" s="46">
        <v>3777000</v>
      </c>
      <c r="C604" s="46">
        <v>2153181</v>
      </c>
      <c r="D604" s="49">
        <f t="shared" si="15"/>
        <v>1623819</v>
      </c>
    </row>
    <row r="605" spans="1:4">
      <c r="A605" s="7" t="s">
        <v>443</v>
      </c>
      <c r="B605" s="46">
        <v>46127562</v>
      </c>
      <c r="C605" s="46">
        <v>22783135</v>
      </c>
      <c r="D605" s="49">
        <f t="shared" si="15"/>
        <v>23344427</v>
      </c>
    </row>
    <row r="606" spans="1:4">
      <c r="A606" s="7" t="s">
        <v>444</v>
      </c>
      <c r="B606" s="46">
        <v>61225435</v>
      </c>
      <c r="C606" s="46">
        <v>29337550</v>
      </c>
      <c r="D606" s="49">
        <f t="shared" si="15"/>
        <v>31887885</v>
      </c>
    </row>
    <row r="607" spans="1:4">
      <c r="A607" s="7" t="str">
        <f>"Jókai-Arany J út      1205/12"</f>
        <v>Jókai-Arany J út      1205/12</v>
      </c>
      <c r="B607" s="46">
        <v>25434000</v>
      </c>
      <c r="C607" s="46">
        <v>14499458</v>
      </c>
      <c r="D607" s="49">
        <f t="shared" si="15"/>
        <v>10934542</v>
      </c>
    </row>
    <row r="608" spans="1:4">
      <c r="A608" s="7" t="str">
        <f>"Béri Balogh A. út     1236/30"</f>
        <v>Béri Balogh A. út     1236/30</v>
      </c>
      <c r="B608" s="46">
        <v>15732766</v>
      </c>
      <c r="C608" s="46">
        <v>8330465</v>
      </c>
      <c r="D608" s="49">
        <f t="shared" si="15"/>
        <v>7402301</v>
      </c>
    </row>
    <row r="609" spans="1:4">
      <c r="A609" s="7" t="s">
        <v>445</v>
      </c>
      <c r="B609" s="46">
        <v>44476955</v>
      </c>
      <c r="C609" s="46">
        <v>23550459</v>
      </c>
      <c r="D609" s="49">
        <f t="shared" si="15"/>
        <v>20926496</v>
      </c>
    </row>
    <row r="610" spans="1:4">
      <c r="A610" s="7" t="s">
        <v>446</v>
      </c>
      <c r="B610" s="46">
        <v>3226593</v>
      </c>
      <c r="C610" s="46">
        <v>1708459</v>
      </c>
      <c r="D610" s="49">
        <f t="shared" si="15"/>
        <v>1518134</v>
      </c>
    </row>
    <row r="611" spans="1:4">
      <c r="A611" s="7" t="s">
        <v>447</v>
      </c>
      <c r="B611" s="46">
        <v>5390161</v>
      </c>
      <c r="C611" s="46">
        <v>2854053</v>
      </c>
      <c r="D611" s="49">
        <f t="shared" si="15"/>
        <v>2536108</v>
      </c>
    </row>
    <row r="612" spans="1:4">
      <c r="A612" s="7" t="s">
        <v>448</v>
      </c>
      <c r="B612" s="46">
        <v>31126773</v>
      </c>
      <c r="C612" s="46">
        <v>17060978</v>
      </c>
      <c r="D612" s="49">
        <f t="shared" ref="D612:D675" si="17">B612-C612</f>
        <v>14065795</v>
      </c>
    </row>
    <row r="613" spans="1:4">
      <c r="A613" s="7" t="s">
        <v>449</v>
      </c>
      <c r="B613" s="46">
        <v>434000</v>
      </c>
      <c r="C613" s="46">
        <v>247408</v>
      </c>
      <c r="D613" s="49">
        <f t="shared" si="17"/>
        <v>186592</v>
      </c>
    </row>
    <row r="614" spans="1:4">
      <c r="A614" s="7" t="s">
        <v>450</v>
      </c>
      <c r="B614" s="46">
        <v>30263365</v>
      </c>
      <c r="C614" s="46">
        <v>14555985</v>
      </c>
      <c r="D614" s="49">
        <f t="shared" si="17"/>
        <v>15707380</v>
      </c>
    </row>
    <row r="615" spans="1:4">
      <c r="A615" s="7" t="s">
        <v>451</v>
      </c>
      <c r="B615" s="46">
        <v>38537445</v>
      </c>
      <c r="C615" s="46">
        <v>18835069</v>
      </c>
      <c r="D615" s="49">
        <f t="shared" si="17"/>
        <v>19702376</v>
      </c>
    </row>
    <row r="616" spans="1:4">
      <c r="A616" s="7" t="s">
        <v>452</v>
      </c>
      <c r="B616" s="46">
        <v>31575214</v>
      </c>
      <c r="C616" s="46">
        <v>13226064</v>
      </c>
      <c r="D616" s="49">
        <f t="shared" si="17"/>
        <v>18349150</v>
      </c>
    </row>
    <row r="617" spans="1:4">
      <c r="A617" s="7" t="s">
        <v>453</v>
      </c>
      <c r="B617" s="46">
        <v>1497032</v>
      </c>
      <c r="C617" s="46">
        <v>338106</v>
      </c>
      <c r="D617" s="49">
        <f t="shared" si="17"/>
        <v>1158926</v>
      </c>
    </row>
    <row r="618" spans="1:4">
      <c r="A618" s="7" t="str">
        <f>"Biztosító mögött      1516/7"</f>
        <v>Biztosító mögött      1516/7</v>
      </c>
      <c r="B618" s="46">
        <v>544000</v>
      </c>
      <c r="C618" s="46">
        <v>310125</v>
      </c>
      <c r="D618" s="49">
        <f t="shared" si="17"/>
        <v>233875</v>
      </c>
    </row>
    <row r="619" spans="1:4">
      <c r="A619" s="7" t="s">
        <v>454</v>
      </c>
      <c r="B619" s="46">
        <v>8070948</v>
      </c>
      <c r="C619" s="46">
        <v>2654534</v>
      </c>
      <c r="D619" s="49">
        <f t="shared" si="17"/>
        <v>5416414</v>
      </c>
    </row>
    <row r="620" spans="1:4">
      <c r="A620" s="7" t="s">
        <v>455</v>
      </c>
      <c r="B620" s="46">
        <v>5719000</v>
      </c>
      <c r="C620" s="46">
        <v>3260289</v>
      </c>
      <c r="D620" s="49">
        <f t="shared" si="17"/>
        <v>2458711</v>
      </c>
    </row>
    <row r="621" spans="1:4">
      <c r="A621" s="7" t="s">
        <v>456</v>
      </c>
      <c r="B621" s="46">
        <v>4203810</v>
      </c>
      <c r="C621" s="46">
        <v>1908645</v>
      </c>
      <c r="D621" s="49">
        <f t="shared" si="17"/>
        <v>2295165</v>
      </c>
    </row>
    <row r="622" spans="1:4">
      <c r="A622" s="7" t="s">
        <v>457</v>
      </c>
      <c r="B622" s="46">
        <v>5532000</v>
      </c>
      <c r="C622" s="46">
        <v>3153690</v>
      </c>
      <c r="D622" s="49">
        <f t="shared" si="17"/>
        <v>2378310</v>
      </c>
    </row>
    <row r="623" spans="1:4">
      <c r="A623" s="7" t="s">
        <v>458</v>
      </c>
      <c r="B623" s="46">
        <v>40975503</v>
      </c>
      <c r="C623" s="46">
        <v>22201165</v>
      </c>
      <c r="D623" s="49">
        <f t="shared" si="17"/>
        <v>18774338</v>
      </c>
    </row>
    <row r="624" spans="1:4">
      <c r="A624" s="7" t="s">
        <v>459</v>
      </c>
      <c r="B624" s="46">
        <v>52631200</v>
      </c>
      <c r="C624" s="46">
        <v>26732602</v>
      </c>
      <c r="D624" s="49">
        <f t="shared" si="17"/>
        <v>25898598</v>
      </c>
    </row>
    <row r="625" spans="1:4">
      <c r="A625" s="7" t="s">
        <v>460</v>
      </c>
      <c r="B625" s="46">
        <v>15908859</v>
      </c>
      <c r="C625" s="46">
        <v>5535816</v>
      </c>
      <c r="D625" s="49">
        <f t="shared" si="17"/>
        <v>10373043</v>
      </c>
    </row>
    <row r="626" spans="1:4">
      <c r="A626" s="7" t="str">
        <f>"Perczel M. út         2637/28"</f>
        <v>Perczel M. út         2637/28</v>
      </c>
      <c r="B626" s="46">
        <v>7634000</v>
      </c>
      <c r="C626" s="46">
        <v>4352008</v>
      </c>
      <c r="D626" s="49">
        <f t="shared" si="17"/>
        <v>3281992</v>
      </c>
    </row>
    <row r="627" spans="1:4">
      <c r="A627" s="7" t="s">
        <v>461</v>
      </c>
      <c r="B627" s="46">
        <v>13275000</v>
      </c>
      <c r="C627" s="46">
        <v>7567835</v>
      </c>
      <c r="D627" s="49">
        <f t="shared" si="17"/>
        <v>5707165</v>
      </c>
    </row>
    <row r="628" spans="1:4">
      <c r="A628" s="7" t="str">
        <f>"Bargár Ö út           2689/33"</f>
        <v>Bargár Ö út           2689/33</v>
      </c>
      <c r="B628" s="46">
        <v>30735011</v>
      </c>
      <c r="C628" s="46">
        <v>16942966</v>
      </c>
      <c r="D628" s="49">
        <f t="shared" si="17"/>
        <v>13792045</v>
      </c>
    </row>
    <row r="629" spans="1:4">
      <c r="A629" s="7" t="str">
        <f>"Horváth E. út         2689/82"</f>
        <v>Horváth E. út         2689/82</v>
      </c>
      <c r="B629" s="46">
        <v>49812177</v>
      </c>
      <c r="C629" s="46">
        <v>25762325</v>
      </c>
      <c r="D629" s="49">
        <f t="shared" si="17"/>
        <v>24049852</v>
      </c>
    </row>
    <row r="630" spans="1:4">
      <c r="A630" s="7" t="str">
        <f>"Horváth E. út         2689/40"</f>
        <v>Horváth E. út         2689/40</v>
      </c>
      <c r="B630" s="46">
        <v>9239765</v>
      </c>
      <c r="C630" s="46">
        <v>4778702</v>
      </c>
      <c r="D630" s="49">
        <f t="shared" si="17"/>
        <v>4461063</v>
      </c>
    </row>
    <row r="631" spans="1:4">
      <c r="A631" s="7" t="str">
        <f>"Horváth E. út         2689/81"</f>
        <v>Horváth E. út         2689/81</v>
      </c>
      <c r="B631" s="46">
        <v>10968876</v>
      </c>
      <c r="C631" s="46">
        <v>5672985</v>
      </c>
      <c r="D631" s="49">
        <f t="shared" si="17"/>
        <v>5295891</v>
      </c>
    </row>
    <row r="632" spans="1:4">
      <c r="A632" s="7" t="str">
        <f>"BUFI bejáró           2764/1"</f>
        <v>BUFI bejáró           2764/1</v>
      </c>
      <c r="B632" s="46">
        <v>2183000</v>
      </c>
      <c r="C632" s="46">
        <v>1244483</v>
      </c>
      <c r="D632" s="49">
        <f t="shared" si="17"/>
        <v>938517</v>
      </c>
    </row>
    <row r="633" spans="1:4">
      <c r="A633" s="7" t="s">
        <v>462</v>
      </c>
      <c r="B633" s="46">
        <v>225000</v>
      </c>
      <c r="C633" s="46">
        <v>128249</v>
      </c>
      <c r="D633" s="49">
        <f t="shared" si="17"/>
        <v>96751</v>
      </c>
    </row>
    <row r="634" spans="1:4">
      <c r="A634" s="7" t="s">
        <v>463</v>
      </c>
      <c r="B634" s="46">
        <v>21789115</v>
      </c>
      <c r="C634" s="46">
        <v>11549814</v>
      </c>
      <c r="D634" s="49">
        <f t="shared" si="17"/>
        <v>10239301</v>
      </c>
    </row>
    <row r="635" spans="1:4">
      <c r="A635" s="7" t="str">
        <f>"Liszt F. út           2910/25"</f>
        <v>Liszt F. út           2910/25</v>
      </c>
      <c r="B635" s="46">
        <v>39662076</v>
      </c>
      <c r="C635" s="46">
        <v>18300833</v>
      </c>
      <c r="D635" s="49">
        <f t="shared" si="17"/>
        <v>21361243</v>
      </c>
    </row>
    <row r="636" spans="1:4">
      <c r="A636" s="7" t="s">
        <v>464</v>
      </c>
      <c r="B636" s="46">
        <v>5530720</v>
      </c>
      <c r="C636" s="46">
        <v>1851417</v>
      </c>
      <c r="D636" s="49">
        <f t="shared" si="17"/>
        <v>3679303</v>
      </c>
    </row>
    <row r="637" spans="1:4">
      <c r="A637" s="7" t="s">
        <v>465</v>
      </c>
      <c r="B637" s="46">
        <v>25752962</v>
      </c>
      <c r="C637" s="46">
        <v>13888233</v>
      </c>
      <c r="D637" s="49">
        <f t="shared" si="17"/>
        <v>11864729</v>
      </c>
    </row>
    <row r="638" spans="1:4">
      <c r="A638" s="7" t="s">
        <v>466</v>
      </c>
      <c r="B638" s="46">
        <v>9216859</v>
      </c>
      <c r="C638" s="46">
        <v>3428900</v>
      </c>
      <c r="D638" s="49">
        <f t="shared" si="17"/>
        <v>5787959</v>
      </c>
    </row>
    <row r="639" spans="1:4">
      <c r="A639" s="7" t="s">
        <v>467</v>
      </c>
      <c r="B639" s="46">
        <v>2941000</v>
      </c>
      <c r="C639" s="46">
        <v>1676602</v>
      </c>
      <c r="D639" s="49">
        <f t="shared" si="17"/>
        <v>1264398</v>
      </c>
    </row>
    <row r="640" spans="1:4">
      <c r="A640" s="7" t="s">
        <v>468</v>
      </c>
      <c r="B640" s="46">
        <v>14944431</v>
      </c>
      <c r="C640" s="46">
        <v>8059329</v>
      </c>
      <c r="D640" s="49">
        <f t="shared" si="17"/>
        <v>6885102</v>
      </c>
    </row>
    <row r="641" spans="1:4">
      <c r="A641" s="7" t="s">
        <v>469</v>
      </c>
      <c r="B641" s="46">
        <v>5316000</v>
      </c>
      <c r="C641" s="46">
        <v>3030553</v>
      </c>
      <c r="D641" s="49">
        <f t="shared" si="17"/>
        <v>2285447</v>
      </c>
    </row>
    <row r="642" spans="1:4">
      <c r="A642" s="7" t="s">
        <v>470</v>
      </c>
      <c r="B642" s="46">
        <v>5319000</v>
      </c>
      <c r="C642" s="46">
        <v>3032252</v>
      </c>
      <c r="D642" s="49">
        <f t="shared" si="17"/>
        <v>2286748</v>
      </c>
    </row>
    <row r="643" spans="1:4">
      <c r="A643" s="7" t="str">
        <f>"Veres PÁlné út        3120/4"</f>
        <v>Veres PÁlné út        3120/4</v>
      </c>
      <c r="B643" s="46">
        <v>16086349</v>
      </c>
      <c r="C643" s="46">
        <v>8514529</v>
      </c>
      <c r="D643" s="49">
        <f t="shared" si="17"/>
        <v>7571820</v>
      </c>
    </row>
    <row r="644" spans="1:4">
      <c r="A644" s="7" t="s">
        <v>471</v>
      </c>
      <c r="B644" s="46">
        <v>5316000</v>
      </c>
      <c r="C644" s="46">
        <v>3030553</v>
      </c>
      <c r="D644" s="49">
        <f t="shared" si="17"/>
        <v>2285447</v>
      </c>
    </row>
    <row r="645" spans="1:4">
      <c r="A645" s="7" t="s">
        <v>472</v>
      </c>
      <c r="B645" s="46">
        <v>8674272</v>
      </c>
      <c r="C645" s="46">
        <v>4090364</v>
      </c>
      <c r="D645" s="49">
        <f t="shared" si="17"/>
        <v>4583908</v>
      </c>
    </row>
    <row r="646" spans="1:4">
      <c r="A646" s="7" t="str">
        <f>"Külter. 8620/8"</f>
        <v>Külter. 8620/8</v>
      </c>
      <c r="B646" s="46">
        <v>151000</v>
      </c>
      <c r="C646" s="46">
        <v>86068</v>
      </c>
      <c r="D646" s="49">
        <f t="shared" si="17"/>
        <v>64932</v>
      </c>
    </row>
    <row r="647" spans="1:4">
      <c r="A647" s="7" t="str">
        <f>"Külter. 8629/11"</f>
        <v>Külter. 8629/11</v>
      </c>
      <c r="B647" s="46">
        <v>210000</v>
      </c>
      <c r="C647" s="46">
        <v>119705</v>
      </c>
      <c r="D647" s="49">
        <f t="shared" si="17"/>
        <v>90295</v>
      </c>
    </row>
    <row r="648" spans="1:4">
      <c r="A648" s="7" t="str">
        <f>"Külter. 8659/24"</f>
        <v>Külter. 8659/24</v>
      </c>
      <c r="B648" s="46">
        <v>444000</v>
      </c>
      <c r="C648" s="46">
        <v>253099</v>
      </c>
      <c r="D648" s="49">
        <f t="shared" si="17"/>
        <v>190901</v>
      </c>
    </row>
    <row r="649" spans="1:4">
      <c r="A649" s="7" t="str">
        <f>"Külter. 8701/5"</f>
        <v>Külter. 8701/5</v>
      </c>
      <c r="B649" s="46">
        <v>106000</v>
      </c>
      <c r="C649" s="46">
        <v>60429</v>
      </c>
      <c r="D649" s="49">
        <f t="shared" si="17"/>
        <v>45571</v>
      </c>
    </row>
    <row r="650" spans="1:4">
      <c r="A650" s="7" t="s">
        <v>473</v>
      </c>
      <c r="B650" s="46">
        <v>387000</v>
      </c>
      <c r="C650" s="46">
        <v>220611</v>
      </c>
      <c r="D650" s="49">
        <f t="shared" si="17"/>
        <v>166389</v>
      </c>
    </row>
    <row r="651" spans="1:4">
      <c r="A651" s="7" t="str">
        <f>"Külter. 8720/6"</f>
        <v>Külter. 8720/6</v>
      </c>
      <c r="B651" s="46">
        <v>8000</v>
      </c>
      <c r="C651" s="46">
        <v>4543</v>
      </c>
      <c r="D651" s="49">
        <f t="shared" si="17"/>
        <v>3457</v>
      </c>
    </row>
    <row r="652" spans="1:4">
      <c r="A652" s="7" t="s">
        <v>474</v>
      </c>
      <c r="B652" s="46">
        <v>53000</v>
      </c>
      <c r="C652" s="46">
        <v>30204</v>
      </c>
      <c r="D652" s="49">
        <f t="shared" si="17"/>
        <v>22796</v>
      </c>
    </row>
    <row r="653" spans="1:4">
      <c r="A653" s="7" t="str">
        <f>"Külter. 8746/1"</f>
        <v>Külter. 8746/1</v>
      </c>
      <c r="B653" s="46">
        <v>8000</v>
      </c>
      <c r="C653" s="46">
        <v>4543</v>
      </c>
      <c r="D653" s="49">
        <f t="shared" si="17"/>
        <v>3457</v>
      </c>
    </row>
    <row r="654" spans="1:4">
      <c r="A654" s="7" t="str">
        <f>"Külter. 8746/8"</f>
        <v>Külter. 8746/8</v>
      </c>
      <c r="B654" s="46">
        <v>30000</v>
      </c>
      <c r="C654" s="46">
        <v>17090</v>
      </c>
      <c r="D654" s="49">
        <f t="shared" si="17"/>
        <v>12910</v>
      </c>
    </row>
    <row r="655" spans="1:4">
      <c r="A655" s="7" t="s">
        <v>475</v>
      </c>
      <c r="B655" s="46">
        <v>3966843</v>
      </c>
      <c r="C655" s="46">
        <v>2271855</v>
      </c>
      <c r="D655" s="49">
        <f t="shared" si="17"/>
        <v>1694988</v>
      </c>
    </row>
    <row r="656" spans="1:4">
      <c r="A656" s="7" t="s">
        <v>476</v>
      </c>
      <c r="B656" s="46">
        <v>2834000</v>
      </c>
      <c r="C656" s="46">
        <v>1615609</v>
      </c>
      <c r="D656" s="49">
        <f t="shared" si="17"/>
        <v>1218391</v>
      </c>
    </row>
    <row r="657" spans="1:4">
      <c r="A657" s="7" t="s">
        <v>477</v>
      </c>
      <c r="B657" s="46">
        <v>932000</v>
      </c>
      <c r="C657" s="46">
        <v>531299</v>
      </c>
      <c r="D657" s="49">
        <f t="shared" si="17"/>
        <v>400701</v>
      </c>
    </row>
    <row r="658" spans="1:4">
      <c r="A658" s="7" t="s">
        <v>478</v>
      </c>
      <c r="B658" s="46">
        <v>3209000</v>
      </c>
      <c r="C658" s="46">
        <v>1829383</v>
      </c>
      <c r="D658" s="49">
        <f t="shared" si="17"/>
        <v>1379617</v>
      </c>
    </row>
    <row r="659" spans="1:4">
      <c r="A659" s="7" t="s">
        <v>479</v>
      </c>
      <c r="B659" s="46">
        <v>2440000</v>
      </c>
      <c r="C659" s="46">
        <v>1390983</v>
      </c>
      <c r="D659" s="49">
        <f t="shared" si="17"/>
        <v>1049017</v>
      </c>
    </row>
    <row r="660" spans="1:4">
      <c r="A660" s="7" t="s">
        <v>480</v>
      </c>
      <c r="B660" s="46">
        <v>10000000</v>
      </c>
      <c r="C660" s="46">
        <v>5700815</v>
      </c>
      <c r="D660" s="49">
        <f t="shared" si="17"/>
        <v>4299185</v>
      </c>
    </row>
    <row r="661" spans="1:4">
      <c r="A661" s="7" t="s">
        <v>481</v>
      </c>
      <c r="B661" s="46">
        <v>543000</v>
      </c>
      <c r="C661" s="46">
        <v>309540</v>
      </c>
      <c r="D661" s="49">
        <f t="shared" si="17"/>
        <v>233460</v>
      </c>
    </row>
    <row r="662" spans="1:4">
      <c r="A662" s="7" t="s">
        <v>482</v>
      </c>
      <c r="B662" s="46">
        <v>3629000</v>
      </c>
      <c r="C662" s="46">
        <v>2068817</v>
      </c>
      <c r="D662" s="49">
        <f t="shared" si="17"/>
        <v>1560183</v>
      </c>
    </row>
    <row r="663" spans="1:4">
      <c r="A663" s="7" t="s">
        <v>41</v>
      </c>
      <c r="B663" s="46">
        <v>12852000</v>
      </c>
      <c r="C663" s="46">
        <v>7326687</v>
      </c>
      <c r="D663" s="49">
        <f t="shared" si="17"/>
        <v>5525313</v>
      </c>
    </row>
    <row r="664" spans="1:4">
      <c r="A664" s="7" t="s">
        <v>490</v>
      </c>
      <c r="B664" s="46">
        <v>21900</v>
      </c>
      <c r="C664" s="46">
        <v>12481</v>
      </c>
      <c r="D664" s="49">
        <f t="shared" si="17"/>
        <v>9419</v>
      </c>
    </row>
    <row r="665" spans="1:4">
      <c r="A665" s="7" t="s">
        <v>491</v>
      </c>
      <c r="B665" s="46">
        <v>1205400</v>
      </c>
      <c r="C665" s="46">
        <v>687171</v>
      </c>
      <c r="D665" s="49">
        <f t="shared" si="17"/>
        <v>518229</v>
      </c>
    </row>
    <row r="666" spans="1:4">
      <c r="A666" s="7" t="str">
        <f>"Névtelen utca  1036/37"</f>
        <v>Névtelen utca  1036/37</v>
      </c>
      <c r="B666" s="46">
        <v>2616000</v>
      </c>
      <c r="C666" s="46">
        <v>1177618</v>
      </c>
      <c r="D666" s="49">
        <f t="shared" si="17"/>
        <v>1438382</v>
      </c>
    </row>
    <row r="667" spans="1:4">
      <c r="A667" s="7" t="str">
        <f>"Névtelen utca  1036/38"</f>
        <v>Névtelen utca  1036/38</v>
      </c>
      <c r="B667" s="46">
        <v>536000</v>
      </c>
      <c r="C667" s="46">
        <v>241281</v>
      </c>
      <c r="D667" s="49">
        <f t="shared" si="17"/>
        <v>294719</v>
      </c>
    </row>
    <row r="668" spans="1:4">
      <c r="A668" s="7" t="str">
        <f>"Névtelen utca  1036/64"</f>
        <v>Névtelen utca  1036/64</v>
      </c>
      <c r="B668" s="46">
        <v>944000</v>
      </c>
      <c r="C668" s="46">
        <v>424951</v>
      </c>
      <c r="D668" s="49">
        <f t="shared" si="17"/>
        <v>519049</v>
      </c>
    </row>
    <row r="669" spans="1:4">
      <c r="A669" s="7" t="str">
        <f>"Közút 1037/47"</f>
        <v>Közút 1037/47</v>
      </c>
      <c r="B669" s="46">
        <v>1368000</v>
      </c>
      <c r="C669" s="46">
        <v>615811</v>
      </c>
      <c r="D669" s="49">
        <f t="shared" si="17"/>
        <v>752189</v>
      </c>
    </row>
    <row r="670" spans="1:4">
      <c r="A670" s="7" t="str">
        <f>"Névtelen út 1323/11"</f>
        <v>Névtelen út 1323/11</v>
      </c>
      <c r="B670" s="46">
        <v>20936000</v>
      </c>
      <c r="C670" s="46">
        <v>9424644</v>
      </c>
      <c r="D670" s="49">
        <f t="shared" si="17"/>
        <v>11511356</v>
      </c>
    </row>
    <row r="671" spans="1:4">
      <c r="A671" s="7" t="str">
        <f>"Névtelen út 1516/8"</f>
        <v>Névtelen út 1516/8</v>
      </c>
      <c r="B671" s="46">
        <v>880000</v>
      </c>
      <c r="C671" s="46">
        <v>396137</v>
      </c>
      <c r="D671" s="49">
        <f t="shared" si="17"/>
        <v>483863</v>
      </c>
    </row>
    <row r="672" spans="1:4">
      <c r="A672" s="7" t="str">
        <f>"Balassa ut 7. fsz. 1544/A/6"</f>
        <v>Balassa ut 7. fsz. 1544/A/6</v>
      </c>
      <c r="B672" s="46">
        <v>25000</v>
      </c>
      <c r="C672" s="46">
        <v>11247</v>
      </c>
      <c r="D672" s="49">
        <f t="shared" si="17"/>
        <v>13753</v>
      </c>
    </row>
    <row r="673" spans="1:4">
      <c r="A673" s="7" t="str">
        <f>"Rákóczi út 27. 1 em 1582/A/10"</f>
        <v>Rákóczi út 27. 1 em 1582/A/10</v>
      </c>
      <c r="B673" s="46">
        <v>30000</v>
      </c>
      <c r="C673" s="46">
        <v>13495</v>
      </c>
      <c r="D673" s="49">
        <f t="shared" si="17"/>
        <v>16505</v>
      </c>
    </row>
    <row r="674" spans="1:4">
      <c r="A674" s="7" t="s">
        <v>492</v>
      </c>
      <c r="B674" s="46">
        <v>14553000</v>
      </c>
      <c r="C674" s="46">
        <v>6551236</v>
      </c>
      <c r="D674" s="49">
        <f t="shared" si="17"/>
        <v>8001764</v>
      </c>
    </row>
    <row r="675" spans="1:4">
      <c r="A675" s="7" t="str">
        <f>"Járda 1817/2"</f>
        <v>Járda 1817/2</v>
      </c>
      <c r="B675" s="46">
        <v>5208106</v>
      </c>
      <c r="C675" s="46">
        <v>1261562</v>
      </c>
      <c r="D675" s="49">
        <f t="shared" si="17"/>
        <v>3946544</v>
      </c>
    </row>
    <row r="676" spans="1:4">
      <c r="A676" s="7" t="s">
        <v>493</v>
      </c>
      <c r="B676" s="46">
        <v>3077000</v>
      </c>
      <c r="C676" s="46">
        <v>1385143</v>
      </c>
      <c r="D676" s="49">
        <f t="shared" ref="D676:D739" si="18">B676-C676</f>
        <v>1691857</v>
      </c>
    </row>
    <row r="677" spans="1:4">
      <c r="A677" s="7" t="str">
        <f>"Kondor E.út 2910/73"</f>
        <v>Kondor E.út 2910/73</v>
      </c>
      <c r="B677" s="46">
        <v>83518965</v>
      </c>
      <c r="C677" s="46">
        <v>33612200</v>
      </c>
      <c r="D677" s="49">
        <f t="shared" si="18"/>
        <v>49906765</v>
      </c>
    </row>
    <row r="678" spans="1:4">
      <c r="A678" s="7" t="str">
        <f>"Saját használatú út 3134/18"</f>
        <v>Saját használatú út 3134/18</v>
      </c>
      <c r="B678" s="46">
        <v>1170000</v>
      </c>
      <c r="C678" s="46">
        <v>526685</v>
      </c>
      <c r="D678" s="49">
        <f t="shared" si="18"/>
        <v>643315</v>
      </c>
    </row>
    <row r="679" spans="1:4">
      <c r="A679" s="7" t="str">
        <f>"Saját használatú út 3134/20"</f>
        <v>Saját használatú út 3134/20</v>
      </c>
      <c r="B679" s="46">
        <v>1215000</v>
      </c>
      <c r="C679" s="46">
        <v>546942</v>
      </c>
      <c r="D679" s="49">
        <f t="shared" si="18"/>
        <v>668058</v>
      </c>
    </row>
    <row r="680" spans="1:4">
      <c r="A680" s="7" t="str">
        <f>"Út 5009/5"</f>
        <v>Út 5009/5</v>
      </c>
      <c r="B680" s="46">
        <v>3366000</v>
      </c>
      <c r="C680" s="46">
        <v>1515237</v>
      </c>
      <c r="D680" s="49">
        <f t="shared" si="18"/>
        <v>1850763</v>
      </c>
    </row>
    <row r="681" spans="1:4">
      <c r="A681" s="7" t="str">
        <f>"Út 5106/4"</f>
        <v>Út 5106/4</v>
      </c>
      <c r="B681" s="46">
        <v>10227000</v>
      </c>
      <c r="C681" s="46">
        <v>4603821</v>
      </c>
      <c r="D681" s="49">
        <f t="shared" si="18"/>
        <v>5623179</v>
      </c>
    </row>
    <row r="682" spans="1:4">
      <c r="A682" s="7" t="str">
        <f>"Út 5106/5"</f>
        <v>Út 5106/5</v>
      </c>
      <c r="B682" s="46">
        <v>4616000</v>
      </c>
      <c r="C682" s="46">
        <v>2077961</v>
      </c>
      <c r="D682" s="49">
        <f t="shared" si="18"/>
        <v>2538039</v>
      </c>
    </row>
    <row r="683" spans="1:4">
      <c r="A683" s="7" t="s">
        <v>494</v>
      </c>
      <c r="B683" s="46">
        <v>163200</v>
      </c>
      <c r="C683" s="46">
        <v>73463</v>
      </c>
      <c r="D683" s="49">
        <f t="shared" si="18"/>
        <v>89737</v>
      </c>
    </row>
    <row r="684" spans="1:4">
      <c r="A684" s="7" t="s">
        <v>495</v>
      </c>
      <c r="B684" s="46">
        <v>273300</v>
      </c>
      <c r="C684" s="46">
        <v>123035</v>
      </c>
      <c r="D684" s="49">
        <f t="shared" si="18"/>
        <v>150265</v>
      </c>
    </row>
    <row r="685" spans="1:4">
      <c r="A685" s="7" t="str">
        <f>"Árok 016/2"</f>
        <v>Árok 016/2</v>
      </c>
      <c r="B685" s="46">
        <v>2362800</v>
      </c>
      <c r="C685" s="46">
        <v>1063642</v>
      </c>
      <c r="D685" s="49">
        <f t="shared" si="18"/>
        <v>1299158</v>
      </c>
    </row>
    <row r="686" spans="1:4">
      <c r="A686" s="7" t="str">
        <f>"Saját használatú út 049/3"</f>
        <v>Saját használatú út 049/3</v>
      </c>
      <c r="B686" s="46">
        <v>4335000</v>
      </c>
      <c r="C686" s="46">
        <v>1951456</v>
      </c>
      <c r="D686" s="49">
        <f t="shared" si="18"/>
        <v>2383544</v>
      </c>
    </row>
    <row r="687" spans="1:4">
      <c r="A687" s="7" t="str">
        <f>"Saját használatú út061/3"</f>
        <v>Saját használatú út061/3</v>
      </c>
      <c r="B687" s="46">
        <v>5016000</v>
      </c>
      <c r="C687" s="46">
        <v>2258017</v>
      </c>
      <c r="D687" s="49">
        <f t="shared" si="18"/>
        <v>2757983</v>
      </c>
    </row>
    <row r="688" spans="1:4">
      <c r="A688" s="7" t="s">
        <v>496</v>
      </c>
      <c r="B688" s="46">
        <v>7590000</v>
      </c>
      <c r="C688" s="46">
        <v>3416741</v>
      </c>
      <c r="D688" s="49">
        <f t="shared" si="18"/>
        <v>4173259</v>
      </c>
    </row>
    <row r="689" spans="1:4">
      <c r="A689" s="7" t="str">
        <f>"Út 169/10"</f>
        <v>Út 169/10</v>
      </c>
      <c r="B689" s="46">
        <v>7965000</v>
      </c>
      <c r="C689" s="46">
        <v>3585543</v>
      </c>
      <c r="D689" s="49">
        <f t="shared" si="18"/>
        <v>4379457</v>
      </c>
    </row>
    <row r="690" spans="1:4">
      <c r="A690" s="7" t="s">
        <v>497</v>
      </c>
      <c r="B690" s="46">
        <v>557700</v>
      </c>
      <c r="C690" s="46">
        <v>251047</v>
      </c>
      <c r="D690" s="49">
        <f t="shared" si="18"/>
        <v>306653</v>
      </c>
    </row>
    <row r="691" spans="1:4">
      <c r="A691" s="7" t="s">
        <v>498</v>
      </c>
      <c r="B691" s="46">
        <v>567000</v>
      </c>
      <c r="C691" s="46">
        <v>255227</v>
      </c>
      <c r="D691" s="49">
        <f t="shared" si="18"/>
        <v>311773</v>
      </c>
    </row>
    <row r="692" spans="1:4">
      <c r="A692" s="7" t="s">
        <v>499</v>
      </c>
      <c r="B692" s="46">
        <v>27833000</v>
      </c>
      <c r="C692" s="46">
        <v>15658916</v>
      </c>
      <c r="D692" s="49">
        <f t="shared" si="18"/>
        <v>12174084</v>
      </c>
    </row>
    <row r="693" spans="1:4">
      <c r="A693" s="7" t="s">
        <v>500</v>
      </c>
      <c r="B693" s="46">
        <v>7319711</v>
      </c>
      <c r="C693" s="46">
        <v>3506294</v>
      </c>
      <c r="D693" s="49">
        <f t="shared" si="18"/>
        <v>3813417</v>
      </c>
    </row>
    <row r="694" spans="1:4">
      <c r="A694" s="7" t="s">
        <v>501</v>
      </c>
      <c r="B694" s="46">
        <v>4019000</v>
      </c>
      <c r="C694" s="46">
        <v>2261093</v>
      </c>
      <c r="D694" s="49">
        <f t="shared" si="18"/>
        <v>1757907</v>
      </c>
    </row>
    <row r="695" spans="1:4">
      <c r="A695" s="7" t="s">
        <v>502</v>
      </c>
      <c r="B695" s="46">
        <v>14471997</v>
      </c>
      <c r="C695" s="46">
        <v>4992551</v>
      </c>
      <c r="D695" s="49">
        <f t="shared" si="18"/>
        <v>9479446</v>
      </c>
    </row>
    <row r="696" spans="1:4">
      <c r="A696" s="7" t="s">
        <v>503</v>
      </c>
      <c r="B696" s="46">
        <v>5269000</v>
      </c>
      <c r="C696" s="46">
        <v>2964340</v>
      </c>
      <c r="D696" s="49">
        <f t="shared" si="18"/>
        <v>2304660</v>
      </c>
    </row>
    <row r="697" spans="1:4">
      <c r="A697" s="7" t="s">
        <v>504</v>
      </c>
      <c r="B697" s="46">
        <v>12712644</v>
      </c>
      <c r="C697" s="46">
        <v>6513389</v>
      </c>
      <c r="D697" s="49">
        <f t="shared" si="18"/>
        <v>6199255</v>
      </c>
    </row>
    <row r="698" spans="1:4">
      <c r="A698" s="7" t="str">
        <f>"Böjtös út               1835/9"</f>
        <v>Böjtös út               1835/9</v>
      </c>
      <c r="B698" s="46">
        <v>5105500</v>
      </c>
      <c r="C698" s="46">
        <v>2872357</v>
      </c>
      <c r="D698" s="49">
        <f t="shared" si="18"/>
        <v>2233143</v>
      </c>
    </row>
    <row r="699" spans="1:4">
      <c r="A699" s="7" t="str">
        <f>"Böjtös út               1835/56"</f>
        <v>Böjtös út               1835/56</v>
      </c>
      <c r="B699" s="46">
        <v>11400090</v>
      </c>
      <c r="C699" s="46">
        <v>6413676</v>
      </c>
      <c r="D699" s="49">
        <f t="shared" si="18"/>
        <v>4986414</v>
      </c>
    </row>
    <row r="700" spans="1:4">
      <c r="A700" s="7" t="s">
        <v>505</v>
      </c>
      <c r="B700" s="46">
        <v>5843600</v>
      </c>
      <c r="C700" s="46">
        <v>3287619</v>
      </c>
      <c r="D700" s="49">
        <f t="shared" si="18"/>
        <v>2555981</v>
      </c>
    </row>
    <row r="701" spans="1:4">
      <c r="A701" s="7" t="str">
        <f>"Váci M. út              1835/24"</f>
        <v>Váci M. út              1835/24</v>
      </c>
      <c r="B701" s="46">
        <v>4716600</v>
      </c>
      <c r="C701" s="46">
        <v>2653566</v>
      </c>
      <c r="D701" s="49">
        <f t="shared" si="18"/>
        <v>2063034</v>
      </c>
    </row>
    <row r="702" spans="1:4">
      <c r="A702" s="7" t="str">
        <f>"Váci M. út              1835/81"</f>
        <v>Váci M. út              1835/81</v>
      </c>
      <c r="B702" s="46">
        <v>10217800</v>
      </c>
      <c r="C702" s="46">
        <v>5748555</v>
      </c>
      <c r="D702" s="49">
        <f t="shared" si="18"/>
        <v>4469245</v>
      </c>
    </row>
    <row r="703" spans="1:4">
      <c r="A703" s="7" t="str">
        <f>"Böjtös mögötti önk.út   1835/1"</f>
        <v>Böjtös mögötti önk.út   1835/1</v>
      </c>
      <c r="B703" s="46">
        <v>4814600</v>
      </c>
      <c r="C703" s="46">
        <v>2708700</v>
      </c>
      <c r="D703" s="49">
        <f t="shared" si="18"/>
        <v>2105900</v>
      </c>
    </row>
    <row r="704" spans="1:4">
      <c r="A704" s="7" t="str">
        <f>"Böjtös mögötti önk.út   1835/43"</f>
        <v>Böjtös mögötti önk.út   1835/43</v>
      </c>
      <c r="B704" s="46">
        <v>7125600</v>
      </c>
      <c r="C704" s="46">
        <v>4008875</v>
      </c>
      <c r="D704" s="49">
        <f t="shared" si="18"/>
        <v>3116725</v>
      </c>
    </row>
    <row r="705" spans="1:4">
      <c r="A705" s="7" t="s">
        <v>506</v>
      </c>
      <c r="B705" s="46">
        <v>7510800</v>
      </c>
      <c r="C705" s="46">
        <v>4225588</v>
      </c>
      <c r="D705" s="49">
        <f t="shared" si="18"/>
        <v>3285212</v>
      </c>
    </row>
    <row r="706" spans="1:4">
      <c r="A706" s="7" t="str">
        <f>"Bartók B.út             1840/13"</f>
        <v>Bartók B.út             1840/13</v>
      </c>
      <c r="B706" s="46">
        <v>1198300</v>
      </c>
      <c r="C706" s="46">
        <v>674160</v>
      </c>
      <c r="D706" s="49">
        <f t="shared" si="18"/>
        <v>524140</v>
      </c>
    </row>
    <row r="707" spans="1:4">
      <c r="A707" s="7" t="str">
        <f>"Bartók B.út             1840/66"</f>
        <v>Bartók B.út             1840/66</v>
      </c>
      <c r="B707" s="46">
        <v>2241400</v>
      </c>
      <c r="C707" s="46">
        <v>1261012</v>
      </c>
      <c r="D707" s="49">
        <f t="shared" si="18"/>
        <v>980388</v>
      </c>
    </row>
    <row r="708" spans="1:4">
      <c r="A708" s="7" t="s">
        <v>507</v>
      </c>
      <c r="B708" s="46">
        <v>5846003</v>
      </c>
      <c r="C708" s="46">
        <v>1430776</v>
      </c>
      <c r="D708" s="49">
        <f t="shared" si="18"/>
        <v>4415227</v>
      </c>
    </row>
    <row r="709" spans="1:4">
      <c r="A709" s="7" t="s">
        <v>508</v>
      </c>
      <c r="B709" s="46">
        <v>2413900</v>
      </c>
      <c r="C709" s="46">
        <v>1358059</v>
      </c>
      <c r="D709" s="49">
        <f t="shared" si="18"/>
        <v>1055841</v>
      </c>
    </row>
    <row r="710" spans="1:4">
      <c r="A710" s="7" t="str">
        <f>"Böjtös-Veres Pálné út      1835/83"</f>
        <v>Böjtös-Veres Pálné út      1835/83</v>
      </c>
      <c r="B710" s="46">
        <v>826400</v>
      </c>
      <c r="C710" s="46">
        <v>464929</v>
      </c>
      <c r="D710" s="49">
        <f t="shared" si="18"/>
        <v>361471</v>
      </c>
    </row>
    <row r="711" spans="1:4">
      <c r="A711" s="7" t="str">
        <f>"Böjtös-Veres Pálné út      1835/96"</f>
        <v>Böjtös-Veres Pálné út      1835/96</v>
      </c>
      <c r="B711" s="46">
        <v>3814870</v>
      </c>
      <c r="C711" s="46">
        <v>403360</v>
      </c>
      <c r="D711" s="49">
        <f t="shared" si="18"/>
        <v>3411510</v>
      </c>
    </row>
    <row r="712" spans="1:4">
      <c r="A712" s="7" t="str">
        <f>"Böjtös-Veres Pálné út      1838/13"</f>
        <v>Böjtös-Veres Pálné út      1838/13</v>
      </c>
      <c r="B712" s="46">
        <v>881500</v>
      </c>
      <c r="C712" s="46">
        <v>495934</v>
      </c>
      <c r="D712" s="49">
        <f t="shared" si="18"/>
        <v>385566</v>
      </c>
    </row>
    <row r="713" spans="1:4">
      <c r="A713" s="7" t="str">
        <f>"Böjtös-Veres Pálné út      1835/97"</f>
        <v>Böjtös-Veres Pálné út      1835/97</v>
      </c>
      <c r="B713" s="46">
        <v>826400</v>
      </c>
      <c r="C713" s="46">
        <v>464929</v>
      </c>
      <c r="D713" s="49">
        <f t="shared" si="18"/>
        <v>361471</v>
      </c>
    </row>
    <row r="714" spans="1:4">
      <c r="A714" s="7" t="str">
        <f>"Böjtös-Veres Pálné út      1838/26"</f>
        <v>Böjtös-Veres Pálné út      1838/26</v>
      </c>
      <c r="B714" s="46">
        <v>909000</v>
      </c>
      <c r="C714" s="46">
        <v>511409</v>
      </c>
      <c r="D714" s="49">
        <f t="shared" si="18"/>
        <v>397591</v>
      </c>
    </row>
    <row r="715" spans="1:4">
      <c r="A715" s="7" t="str">
        <f>"Böjtös-Veres Pálné út      1838/59"</f>
        <v>Böjtös-Veres Pálné út      1838/59</v>
      </c>
      <c r="B715" s="46">
        <v>949500</v>
      </c>
      <c r="C715" s="46">
        <v>408322</v>
      </c>
      <c r="D715" s="49">
        <f t="shared" si="18"/>
        <v>541178</v>
      </c>
    </row>
    <row r="716" spans="1:4">
      <c r="A716" s="7" t="s">
        <v>509</v>
      </c>
      <c r="B716" s="46">
        <v>251900</v>
      </c>
      <c r="C716" s="46">
        <v>141718</v>
      </c>
      <c r="D716" s="49">
        <f t="shared" si="18"/>
        <v>110182</v>
      </c>
    </row>
    <row r="717" spans="1:4">
      <c r="A717" s="7" t="str">
        <f>"Móra F.út                  2910/8"</f>
        <v>Móra F.út                  2910/8</v>
      </c>
      <c r="B717" s="46">
        <v>3279760</v>
      </c>
      <c r="C717" s="46">
        <v>1565200</v>
      </c>
      <c r="D717" s="49">
        <f t="shared" si="18"/>
        <v>1714560</v>
      </c>
    </row>
    <row r="718" spans="1:4">
      <c r="A718" s="7" t="str">
        <f>"Móra F.út                  2910/34"</f>
        <v>Móra F.út                  2910/34</v>
      </c>
      <c r="B718" s="46">
        <v>397700</v>
      </c>
      <c r="C718" s="46">
        <v>223739</v>
      </c>
      <c r="D718" s="49">
        <f t="shared" si="18"/>
        <v>173961</v>
      </c>
    </row>
    <row r="719" spans="1:4">
      <c r="A719" s="7" t="s">
        <v>510</v>
      </c>
      <c r="B719" s="46">
        <v>19926960</v>
      </c>
      <c r="C719" s="46">
        <v>10225610</v>
      </c>
      <c r="D719" s="49">
        <f t="shared" si="18"/>
        <v>9701350</v>
      </c>
    </row>
    <row r="720" spans="1:4">
      <c r="A720" s="7" t="str">
        <f>"Daróczi G.út             2689/26"</f>
        <v>Daróczi G.út             2689/26</v>
      </c>
      <c r="B720" s="46">
        <v>1789600</v>
      </c>
      <c r="C720" s="46">
        <v>1006822</v>
      </c>
      <c r="D720" s="49">
        <f t="shared" si="18"/>
        <v>782778</v>
      </c>
    </row>
    <row r="721" spans="1:4">
      <c r="A721" s="7" t="s">
        <v>511</v>
      </c>
      <c r="B721" s="46">
        <v>6094166</v>
      </c>
      <c r="C721" s="46">
        <v>3151845</v>
      </c>
      <c r="D721" s="49">
        <f t="shared" si="18"/>
        <v>2942321</v>
      </c>
    </row>
    <row r="722" spans="1:4">
      <c r="A722" s="7" t="s">
        <v>512</v>
      </c>
      <c r="B722" s="46">
        <v>7014946</v>
      </c>
      <c r="C722" s="46">
        <v>3628082</v>
      </c>
      <c r="D722" s="49">
        <f t="shared" si="18"/>
        <v>3386864</v>
      </c>
    </row>
    <row r="723" spans="1:4">
      <c r="A723" s="7" t="s">
        <v>513</v>
      </c>
      <c r="B723" s="46">
        <v>18706400</v>
      </c>
      <c r="C723" s="46">
        <v>10524264</v>
      </c>
      <c r="D723" s="49">
        <f t="shared" si="18"/>
        <v>8182136</v>
      </c>
    </row>
    <row r="724" spans="1:4">
      <c r="A724" s="7" t="s">
        <v>514</v>
      </c>
      <c r="B724" s="46">
        <v>5364600</v>
      </c>
      <c r="C724" s="46">
        <v>3018126</v>
      </c>
      <c r="D724" s="49">
        <f t="shared" si="18"/>
        <v>2346474</v>
      </c>
    </row>
    <row r="725" spans="1:4">
      <c r="A725" s="7" t="str">
        <f>"Mészáros L.út            2638/1"</f>
        <v>Mészáros L.út            2638/1</v>
      </c>
      <c r="B725" s="46">
        <v>5597325</v>
      </c>
      <c r="C725" s="46">
        <v>3163930</v>
      </c>
      <c r="D725" s="49">
        <f t="shared" si="18"/>
        <v>2433395</v>
      </c>
    </row>
    <row r="726" spans="1:4">
      <c r="A726" s="7" t="str">
        <f>"Mészáros L.út            3172/29"</f>
        <v>Mészáros L.út            3172/29</v>
      </c>
      <c r="B726" s="46">
        <v>4020388</v>
      </c>
      <c r="C726" s="46">
        <v>2272581</v>
      </c>
      <c r="D726" s="49">
        <f t="shared" si="18"/>
        <v>1747807</v>
      </c>
    </row>
    <row r="727" spans="1:4">
      <c r="A727" s="7" t="str">
        <f>"Török I.út               2638/32"</f>
        <v>Török I.út               2638/32</v>
      </c>
      <c r="B727" s="46">
        <v>13195800</v>
      </c>
      <c r="C727" s="46">
        <v>7480489</v>
      </c>
      <c r="D727" s="49">
        <f t="shared" si="18"/>
        <v>5715311</v>
      </c>
    </row>
    <row r="728" spans="1:4">
      <c r="A728" s="7" t="str">
        <f>"Török I.út               3172/47"</f>
        <v>Török I.út               3172/47</v>
      </c>
      <c r="B728" s="46">
        <v>9712200</v>
      </c>
      <c r="C728" s="46">
        <v>5505693</v>
      </c>
      <c r="D728" s="49">
        <f t="shared" si="18"/>
        <v>4206507</v>
      </c>
    </row>
    <row r="729" spans="1:4">
      <c r="A729" s="7" t="str">
        <f>"Irányi D.út              2639/21"</f>
        <v>Irányi D.út              2639/21</v>
      </c>
      <c r="B729" s="46">
        <v>19546300</v>
      </c>
      <c r="C729" s="46">
        <v>11051948</v>
      </c>
      <c r="D729" s="49">
        <f t="shared" si="18"/>
        <v>8494352</v>
      </c>
    </row>
    <row r="730" spans="1:4">
      <c r="A730" s="7" t="str">
        <f>"Irányi D.út               3172/11"</f>
        <v>Irányi D.út               3172/11</v>
      </c>
      <c r="B730" s="46">
        <v>14717700</v>
      </c>
      <c r="C730" s="46">
        <v>8322053</v>
      </c>
      <c r="D730" s="49">
        <f t="shared" si="18"/>
        <v>6395647</v>
      </c>
    </row>
    <row r="731" spans="1:4">
      <c r="A731" s="7" t="s">
        <v>515</v>
      </c>
      <c r="B731" s="46">
        <v>13366200</v>
      </c>
      <c r="C731" s="46">
        <v>7519844</v>
      </c>
      <c r="D731" s="49">
        <f t="shared" si="18"/>
        <v>5846356</v>
      </c>
    </row>
    <row r="732" spans="1:4">
      <c r="A732" s="7" t="s">
        <v>516</v>
      </c>
      <c r="B732" s="46">
        <v>4510844</v>
      </c>
      <c r="C732" s="46">
        <v>1954977</v>
      </c>
      <c r="D732" s="49">
        <f t="shared" si="18"/>
        <v>2555867</v>
      </c>
    </row>
    <row r="733" spans="1:4">
      <c r="A733" s="7" t="s">
        <v>517</v>
      </c>
      <c r="B733" s="46">
        <v>8994600</v>
      </c>
      <c r="C733" s="46">
        <v>5060377</v>
      </c>
      <c r="D733" s="49">
        <f t="shared" si="18"/>
        <v>3934223</v>
      </c>
    </row>
    <row r="734" spans="1:4">
      <c r="A734" s="7" t="str">
        <f>"Komjáthy út               3120/20"</f>
        <v>Komjáthy út               3120/20</v>
      </c>
      <c r="B734" s="46">
        <v>2258400</v>
      </c>
      <c r="C734" s="46">
        <v>1270576</v>
      </c>
      <c r="D734" s="49">
        <f t="shared" si="18"/>
        <v>987824</v>
      </c>
    </row>
    <row r="735" spans="1:4">
      <c r="A735" s="7" t="s">
        <v>518</v>
      </c>
      <c r="B735" s="46">
        <v>9168900</v>
      </c>
      <c r="C735" s="46">
        <v>5144560</v>
      </c>
      <c r="D735" s="49">
        <f t="shared" si="18"/>
        <v>4024340</v>
      </c>
    </row>
    <row r="736" spans="1:4">
      <c r="A736" s="7" t="str">
        <f>"Gárdonyi G.út             1840/40"</f>
        <v>Gárdonyi G.út             1840/40</v>
      </c>
      <c r="B736" s="46">
        <v>6246062</v>
      </c>
      <c r="C736" s="46">
        <v>3504576</v>
      </c>
      <c r="D736" s="49">
        <f t="shared" si="18"/>
        <v>2741486</v>
      </c>
    </row>
    <row r="737" spans="1:4">
      <c r="A737" s="7" t="str">
        <f>"Veres Pálné út           1835/39"</f>
        <v>Veres Pálné út           1835/39</v>
      </c>
      <c r="B737" s="46">
        <v>5765300</v>
      </c>
      <c r="C737" s="46">
        <v>3243558</v>
      </c>
      <c r="D737" s="49">
        <f t="shared" si="18"/>
        <v>2521742</v>
      </c>
    </row>
    <row r="738" spans="1:4">
      <c r="A738" s="7" t="str">
        <f>"Veres Pálné út           1838/39"</f>
        <v>Veres Pálné út           1838/39</v>
      </c>
      <c r="B738" s="46">
        <v>16581700</v>
      </c>
      <c r="C738" s="46">
        <v>9328899</v>
      </c>
      <c r="D738" s="49">
        <f t="shared" si="18"/>
        <v>7252801</v>
      </c>
    </row>
    <row r="739" spans="1:4">
      <c r="A739" s="7" t="str">
        <f>"Névtelen út /Kóvár/      5008"</f>
        <v>Névtelen út /Kóvár/      5008</v>
      </c>
      <c r="B739" s="46">
        <v>6664000</v>
      </c>
      <c r="C739" s="46">
        <v>3749176</v>
      </c>
      <c r="D739" s="49">
        <f t="shared" si="18"/>
        <v>2914824</v>
      </c>
    </row>
    <row r="740" spans="1:4">
      <c r="A740" s="7" t="str">
        <f>"Névtelen út /Kóvár/      5029"</f>
        <v>Névtelen út /Kóvár/      5029</v>
      </c>
      <c r="B740" s="46">
        <v>4729000</v>
      </c>
      <c r="C740" s="46">
        <v>2660542</v>
      </c>
      <c r="D740" s="49">
        <f t="shared" ref="D740:D803" si="19">B740-C740</f>
        <v>2068458</v>
      </c>
    </row>
    <row r="741" spans="1:4">
      <c r="A741" s="7" t="s">
        <v>519</v>
      </c>
      <c r="B741" s="46">
        <v>1922000</v>
      </c>
      <c r="C741" s="46">
        <v>1081316</v>
      </c>
      <c r="D741" s="49">
        <f t="shared" si="19"/>
        <v>840684</v>
      </c>
    </row>
    <row r="742" spans="1:4">
      <c r="A742" s="7" t="s">
        <v>520</v>
      </c>
      <c r="B742" s="46">
        <v>6527000</v>
      </c>
      <c r="C742" s="46">
        <v>2780411</v>
      </c>
      <c r="D742" s="49">
        <f t="shared" si="19"/>
        <v>3746589</v>
      </c>
    </row>
    <row r="743" spans="1:4">
      <c r="A743" s="7" t="s">
        <v>521</v>
      </c>
      <c r="B743" s="46">
        <v>9104005</v>
      </c>
      <c r="C743" s="46">
        <v>4124452</v>
      </c>
      <c r="D743" s="49">
        <f t="shared" si="19"/>
        <v>4979553</v>
      </c>
    </row>
    <row r="744" spans="1:4">
      <c r="A744" s="7" t="s">
        <v>522</v>
      </c>
      <c r="B744" s="46">
        <v>1344000</v>
      </c>
      <c r="C744" s="46">
        <v>756130</v>
      </c>
      <c r="D744" s="49">
        <f t="shared" si="19"/>
        <v>587870</v>
      </c>
    </row>
    <row r="745" spans="1:4">
      <c r="A745" s="7" t="s">
        <v>523</v>
      </c>
      <c r="B745" s="46">
        <v>2332000</v>
      </c>
      <c r="C745" s="46">
        <v>1311985</v>
      </c>
      <c r="D745" s="49">
        <f t="shared" si="19"/>
        <v>1020015</v>
      </c>
    </row>
    <row r="746" spans="1:4">
      <c r="A746" s="7" t="s">
        <v>524</v>
      </c>
      <c r="B746" s="46">
        <v>8180288</v>
      </c>
      <c r="C746" s="46">
        <v>1404239</v>
      </c>
      <c r="D746" s="49">
        <f t="shared" si="19"/>
        <v>6776049</v>
      </c>
    </row>
    <row r="747" spans="1:4">
      <c r="A747" s="7" t="str">
        <f>"Esze T.út                  1235/12"</f>
        <v>Esze T.út                  1235/12</v>
      </c>
      <c r="B747" s="46">
        <v>3000000</v>
      </c>
      <c r="C747" s="46">
        <v>1687799</v>
      </c>
      <c r="D747" s="49">
        <f t="shared" si="19"/>
        <v>1312201</v>
      </c>
    </row>
    <row r="748" spans="1:4">
      <c r="A748" s="7" t="str">
        <f>"Névtelen út Biró J.        765/11"</f>
        <v>Névtelen út Biró J.        765/11</v>
      </c>
      <c r="B748" s="46">
        <v>15963369</v>
      </c>
      <c r="C748" s="46">
        <v>6884376</v>
      </c>
      <c r="D748" s="49">
        <f t="shared" si="19"/>
        <v>9078993</v>
      </c>
    </row>
    <row r="749" spans="1:4">
      <c r="A749" s="7" t="str">
        <f>"Névtelen út Biró J.        765/43"</f>
        <v>Névtelen út Biró J.        765/43</v>
      </c>
      <c r="B749" s="46">
        <v>2498994</v>
      </c>
      <c r="C749" s="46">
        <v>1077726</v>
      </c>
      <c r="D749" s="49">
        <f t="shared" si="19"/>
        <v>1421268</v>
      </c>
    </row>
    <row r="750" spans="1:4">
      <c r="A750" s="7" t="str">
        <f>"Névtelen út Biró J.        765/31"</f>
        <v>Névtelen út Biró J.        765/31</v>
      </c>
      <c r="B750" s="46">
        <v>1345612</v>
      </c>
      <c r="C750" s="46">
        <v>580302</v>
      </c>
      <c r="D750" s="49">
        <f t="shared" si="19"/>
        <v>765310</v>
      </c>
    </row>
    <row r="751" spans="1:4">
      <c r="A751" s="7" t="str">
        <f>"Névtelen út Biró J.        765/13"</f>
        <v>Névtelen út Biró J.        765/13</v>
      </c>
      <c r="B751" s="46">
        <v>1615678</v>
      </c>
      <c r="C751" s="46">
        <v>696770</v>
      </c>
      <c r="D751" s="49">
        <f t="shared" si="19"/>
        <v>918908</v>
      </c>
    </row>
    <row r="752" spans="1:4">
      <c r="A752" s="7" t="str">
        <f>"Névtelen út Biró J.        765/12"</f>
        <v>Névtelen út Biró J.        765/12</v>
      </c>
      <c r="B752" s="46">
        <v>4495594</v>
      </c>
      <c r="C752" s="46">
        <v>1938772</v>
      </c>
      <c r="D752" s="49">
        <f t="shared" si="19"/>
        <v>2556822</v>
      </c>
    </row>
    <row r="753" spans="1:4">
      <c r="A753" s="7" t="s">
        <v>525</v>
      </c>
      <c r="B753" s="46">
        <v>5015451</v>
      </c>
      <c r="C753" s="46">
        <v>2934701</v>
      </c>
      <c r="D753" s="49">
        <f t="shared" si="19"/>
        <v>2080750</v>
      </c>
    </row>
    <row r="754" spans="1:4">
      <c r="A754" s="7" t="s">
        <v>526</v>
      </c>
      <c r="B754" s="46">
        <v>6297693</v>
      </c>
      <c r="C754" s="46">
        <v>2646065</v>
      </c>
      <c r="D754" s="49">
        <f t="shared" si="19"/>
        <v>3651628</v>
      </c>
    </row>
    <row r="755" spans="1:4">
      <c r="A755" s="7" t="str">
        <f>"Játszótér-Béri B.u.  1236/29"</f>
        <v>Játszótér-Béri B.u.  1236/29</v>
      </c>
      <c r="B755" s="46">
        <v>715000</v>
      </c>
      <c r="C755" s="46">
        <v>300421</v>
      </c>
      <c r="D755" s="49">
        <f t="shared" si="19"/>
        <v>414579</v>
      </c>
    </row>
    <row r="756" spans="1:4">
      <c r="A756" s="7" t="str">
        <f>"Madách L.utak 298/17"</f>
        <v>Madách L.utak 298/17</v>
      </c>
      <c r="B756" s="46">
        <v>56639830</v>
      </c>
      <c r="C756" s="46">
        <v>28172155</v>
      </c>
      <c r="D756" s="49">
        <f t="shared" si="19"/>
        <v>28467675</v>
      </c>
    </row>
    <row r="757" spans="1:4">
      <c r="A757" s="7" t="str">
        <f>"Fülemüle u. 5215/2"</f>
        <v>Fülemüle u. 5215/2</v>
      </c>
      <c r="B757" s="46">
        <v>704000</v>
      </c>
      <c r="C757" s="46">
        <v>312025</v>
      </c>
      <c r="D757" s="49">
        <f t="shared" si="19"/>
        <v>391975</v>
      </c>
    </row>
    <row r="758" spans="1:4">
      <c r="A758" s="7" t="str">
        <f>"Gyalog u.  2635/8"</f>
        <v>Gyalog u.  2635/8</v>
      </c>
      <c r="B758" s="46">
        <v>880000</v>
      </c>
      <c r="C758" s="46">
        <v>390033</v>
      </c>
      <c r="D758" s="49">
        <f t="shared" si="19"/>
        <v>489967</v>
      </c>
    </row>
    <row r="759" spans="1:4">
      <c r="A759" s="7" t="str">
        <f>"Ipari Park u. 3166/11"</f>
        <v>Ipari Park u. 3166/11</v>
      </c>
      <c r="B759" s="46">
        <v>4136000</v>
      </c>
      <c r="C759" s="46">
        <v>1830940</v>
      </c>
      <c r="D759" s="49">
        <f t="shared" si="19"/>
        <v>2305060</v>
      </c>
    </row>
    <row r="760" spans="1:4">
      <c r="A760" s="7" t="str">
        <f>"Névtelen u. 3183/6"</f>
        <v>Névtelen u. 3183/6</v>
      </c>
      <c r="B760" s="46">
        <v>440000</v>
      </c>
      <c r="C760" s="46">
        <v>194776</v>
      </c>
      <c r="D760" s="49">
        <f t="shared" si="19"/>
        <v>245224</v>
      </c>
    </row>
    <row r="761" spans="1:4">
      <c r="A761" s="7" t="str">
        <f>"Névtelen u. 3183/12"</f>
        <v>Névtelen u. 3183/12</v>
      </c>
      <c r="B761" s="46">
        <v>440000</v>
      </c>
      <c r="C761" s="46">
        <v>194776</v>
      </c>
      <c r="D761" s="49">
        <f t="shared" si="19"/>
        <v>245224</v>
      </c>
    </row>
    <row r="762" spans="1:4">
      <c r="A762" s="7" t="s">
        <v>527</v>
      </c>
      <c r="B762" s="46">
        <v>968000</v>
      </c>
      <c r="C762" s="46">
        <v>428523</v>
      </c>
      <c r="D762" s="49">
        <f t="shared" si="19"/>
        <v>539477</v>
      </c>
    </row>
    <row r="763" spans="1:4">
      <c r="A763" s="7" t="str">
        <f>"Névtelen u. 351/24 Fiatnál"</f>
        <v>Névtelen u. 351/24 Fiatnál</v>
      </c>
      <c r="B763" s="46">
        <v>9679000</v>
      </c>
      <c r="C763" s="46">
        <v>4284744</v>
      </c>
      <c r="D763" s="49">
        <f t="shared" si="19"/>
        <v>5394256</v>
      </c>
    </row>
    <row r="764" spans="1:4">
      <c r="A764" s="7" t="str">
        <f>"Névtelen u. 3134/13"</f>
        <v>Névtelen u. 3134/13</v>
      </c>
      <c r="B764" s="46">
        <v>308000</v>
      </c>
      <c r="C764" s="46">
        <v>136340</v>
      </c>
      <c r="D764" s="49">
        <f t="shared" si="19"/>
        <v>171660</v>
      </c>
    </row>
    <row r="765" spans="1:4">
      <c r="A765" s="7" t="str">
        <f>"Névtelen u. 2910/24"</f>
        <v>Névtelen u. 2910/24</v>
      </c>
      <c r="B765" s="46">
        <v>1584000</v>
      </c>
      <c r="C765" s="46">
        <v>701208</v>
      </c>
      <c r="D765" s="49">
        <f t="shared" si="19"/>
        <v>882792</v>
      </c>
    </row>
    <row r="766" spans="1:4">
      <c r="A766" s="7" t="s">
        <v>528</v>
      </c>
      <c r="B766" s="46">
        <v>9767000</v>
      </c>
      <c r="C766" s="46">
        <v>4323707</v>
      </c>
      <c r="D766" s="49">
        <f t="shared" si="19"/>
        <v>5443293</v>
      </c>
    </row>
    <row r="767" spans="1:4">
      <c r="A767" s="7" t="str">
        <f>"Homoki szőlő 8615/7"</f>
        <v>Homoki szőlő 8615/7</v>
      </c>
      <c r="B767" s="46">
        <v>1760000</v>
      </c>
      <c r="C767" s="46">
        <v>779111</v>
      </c>
      <c r="D767" s="49">
        <f t="shared" si="19"/>
        <v>980889</v>
      </c>
    </row>
    <row r="768" spans="1:4">
      <c r="A768" s="7" t="str">
        <f>"Homoki szőlő 8751/22"</f>
        <v>Homoki szőlő 8751/22</v>
      </c>
      <c r="B768" s="46">
        <v>1056000</v>
      </c>
      <c r="C768" s="46">
        <v>467472</v>
      </c>
      <c r="D768" s="49">
        <f t="shared" si="19"/>
        <v>588528</v>
      </c>
    </row>
    <row r="769" spans="1:4">
      <c r="A769" s="7" t="str">
        <f>"Homoki szőlő 8751/23"</f>
        <v>Homoki szőlő 8751/23</v>
      </c>
      <c r="B769" s="46">
        <v>264000</v>
      </c>
      <c r="C769" s="46">
        <v>116863</v>
      </c>
      <c r="D769" s="49">
        <f t="shared" si="19"/>
        <v>147137</v>
      </c>
    </row>
    <row r="770" spans="1:4">
      <c r="A770" s="7" t="str">
        <f>"Névtelen u. 2910/1"</f>
        <v>Névtelen u. 2910/1</v>
      </c>
      <c r="B770" s="46">
        <v>660000</v>
      </c>
      <c r="C770" s="46">
        <v>292168</v>
      </c>
      <c r="D770" s="49">
        <f t="shared" si="19"/>
        <v>367832</v>
      </c>
    </row>
    <row r="771" spans="1:4">
      <c r="A771" s="7" t="s">
        <v>529</v>
      </c>
      <c r="B771" s="46">
        <v>450000</v>
      </c>
      <c r="C771" s="46">
        <v>151911</v>
      </c>
      <c r="D771" s="49">
        <f t="shared" si="19"/>
        <v>298089</v>
      </c>
    </row>
    <row r="772" spans="1:4">
      <c r="A772" s="7" t="s">
        <v>530</v>
      </c>
      <c r="B772" s="46">
        <v>478000</v>
      </c>
      <c r="C772" s="46">
        <v>161346</v>
      </c>
      <c r="D772" s="49">
        <f t="shared" si="19"/>
        <v>316654</v>
      </c>
    </row>
    <row r="773" spans="1:4">
      <c r="A773" s="7" t="s">
        <v>531</v>
      </c>
      <c r="B773" s="46">
        <v>533000</v>
      </c>
      <c r="C773" s="46">
        <v>179920</v>
      </c>
      <c r="D773" s="49">
        <f t="shared" si="19"/>
        <v>353080</v>
      </c>
    </row>
    <row r="774" spans="1:4">
      <c r="A774" s="7" t="s">
        <v>532</v>
      </c>
      <c r="B774" s="46">
        <v>273000</v>
      </c>
      <c r="C774" s="46">
        <v>92146</v>
      </c>
      <c r="D774" s="49">
        <f t="shared" si="19"/>
        <v>180854</v>
      </c>
    </row>
    <row r="775" spans="1:4">
      <c r="A775" s="7" t="s">
        <v>533</v>
      </c>
      <c r="B775" s="46">
        <v>315000</v>
      </c>
      <c r="C775" s="46">
        <v>106332</v>
      </c>
      <c r="D775" s="49">
        <f t="shared" si="19"/>
        <v>208668</v>
      </c>
    </row>
    <row r="776" spans="1:4">
      <c r="A776" s="7" t="str">
        <f>"Belterületi lakóút 1835/108"</f>
        <v>Belterületi lakóút 1835/108</v>
      </c>
      <c r="B776" s="46">
        <v>743200</v>
      </c>
      <c r="C776" s="46">
        <v>250884</v>
      </c>
      <c r="D776" s="49">
        <f t="shared" si="19"/>
        <v>492316</v>
      </c>
    </row>
    <row r="777" spans="1:4">
      <c r="A777" s="7" t="s">
        <v>534</v>
      </c>
      <c r="B777" s="46">
        <v>225000</v>
      </c>
      <c r="C777" s="46">
        <v>75943</v>
      </c>
      <c r="D777" s="49">
        <f t="shared" si="19"/>
        <v>149057</v>
      </c>
    </row>
    <row r="778" spans="1:4">
      <c r="A778" s="7" t="str">
        <f>"Kecske liget 205/4"</f>
        <v>Kecske liget 205/4</v>
      </c>
      <c r="B778" s="46">
        <v>1514622</v>
      </c>
      <c r="C778" s="46">
        <v>511285</v>
      </c>
      <c r="D778" s="49">
        <f t="shared" si="19"/>
        <v>1003337</v>
      </c>
    </row>
    <row r="779" spans="1:4">
      <c r="A779" s="7" t="str">
        <f>"Beépített terület 298/17"</f>
        <v>Beépített terület 298/17</v>
      </c>
      <c r="B779" s="46">
        <v>6502766</v>
      </c>
      <c r="C779" s="46">
        <v>2195090</v>
      </c>
      <c r="D779" s="49">
        <f t="shared" si="19"/>
        <v>4307676</v>
      </c>
    </row>
    <row r="780" spans="1:4">
      <c r="A780" s="7" t="s">
        <v>535</v>
      </c>
      <c r="B780" s="46">
        <v>298000</v>
      </c>
      <c r="C780" s="46">
        <v>100585</v>
      </c>
      <c r="D780" s="49">
        <f t="shared" si="19"/>
        <v>197415</v>
      </c>
    </row>
    <row r="781" spans="1:4">
      <c r="A781" s="7" t="str">
        <f>"Közterület 946/17"</f>
        <v>Közterület 946/17</v>
      </c>
      <c r="B781" s="46">
        <v>41253750</v>
      </c>
      <c r="C781" s="46">
        <v>13925579</v>
      </c>
      <c r="D781" s="49">
        <f t="shared" si="19"/>
        <v>27328171</v>
      </c>
    </row>
    <row r="782" spans="1:4">
      <c r="A782" s="7" t="str">
        <f>"Külterület állami föld 0154/63"</f>
        <v>Külterület állami föld 0154/63</v>
      </c>
      <c r="B782" s="46">
        <v>11000</v>
      </c>
      <c r="C782" s="46">
        <v>3705</v>
      </c>
      <c r="D782" s="49">
        <f t="shared" si="19"/>
        <v>7295</v>
      </c>
    </row>
    <row r="783" spans="1:4">
      <c r="A783" s="7" t="str">
        <f>"Külterület állami föld 0154/66"</f>
        <v>Külterület állami föld 0154/66</v>
      </c>
      <c r="B783" s="46">
        <v>663000</v>
      </c>
      <c r="C783" s="46">
        <v>223795</v>
      </c>
      <c r="D783" s="49">
        <f t="shared" si="19"/>
        <v>439205</v>
      </c>
    </row>
    <row r="784" spans="1:4">
      <c r="A784" s="7" t="str">
        <f>"Külterület állami föld 0154/67"</f>
        <v>Külterület állami föld 0154/67</v>
      </c>
      <c r="B784" s="46">
        <v>24000</v>
      </c>
      <c r="C784" s="46">
        <v>8101</v>
      </c>
      <c r="D784" s="49">
        <f t="shared" si="19"/>
        <v>15899</v>
      </c>
    </row>
    <row r="785" spans="1:4">
      <c r="A785" s="7" t="str">
        <f>"Külterület állami föld 0154/68"</f>
        <v>Külterület állami föld 0154/68</v>
      </c>
      <c r="B785" s="46">
        <v>326000</v>
      </c>
      <c r="C785" s="46">
        <v>110045</v>
      </c>
      <c r="D785" s="49">
        <f t="shared" si="19"/>
        <v>215955</v>
      </c>
    </row>
    <row r="786" spans="1:4">
      <c r="A786" s="7" t="str">
        <f>"Külterület állami föld 0154/71"</f>
        <v>Külterület állami föld 0154/71</v>
      </c>
      <c r="B786" s="46">
        <v>105000</v>
      </c>
      <c r="C786" s="46">
        <v>35444</v>
      </c>
      <c r="D786" s="49">
        <f t="shared" si="19"/>
        <v>69556</v>
      </c>
    </row>
    <row r="787" spans="1:4">
      <c r="A787" s="7" t="str">
        <f>"Külterület állami föld 0154/87"</f>
        <v>Külterület állami föld 0154/87</v>
      </c>
      <c r="B787" s="46">
        <v>234000</v>
      </c>
      <c r="C787" s="46">
        <v>78981</v>
      </c>
      <c r="D787" s="49">
        <f t="shared" si="19"/>
        <v>155019</v>
      </c>
    </row>
    <row r="788" spans="1:4">
      <c r="A788" s="7" t="str">
        <f>"Külterület állami föld 0154/89"</f>
        <v>Külterület állami föld 0154/89</v>
      </c>
      <c r="B788" s="46">
        <v>2102000</v>
      </c>
      <c r="C788" s="46">
        <v>709563</v>
      </c>
      <c r="D788" s="49">
        <f t="shared" si="19"/>
        <v>1392437</v>
      </c>
    </row>
    <row r="789" spans="1:4">
      <c r="A789" s="7" t="s">
        <v>538</v>
      </c>
      <c r="B789" s="46">
        <v>81714325</v>
      </c>
      <c r="C789" s="46">
        <v>16768229</v>
      </c>
      <c r="D789" s="49">
        <f t="shared" si="19"/>
        <v>64946096</v>
      </c>
    </row>
    <row r="790" spans="1:4">
      <c r="A790" s="7" t="s">
        <v>539</v>
      </c>
      <c r="B790" s="46">
        <v>22348552</v>
      </c>
      <c r="C790" s="46">
        <v>6198264</v>
      </c>
      <c r="D790" s="49">
        <f t="shared" si="19"/>
        <v>16150288</v>
      </c>
    </row>
    <row r="791" spans="1:4">
      <c r="A791" s="7" t="str">
        <f>"Saját használatú út 049/7"</f>
        <v>Saját használatú út 049/7</v>
      </c>
      <c r="B791" s="46">
        <v>585000</v>
      </c>
      <c r="C791" s="46">
        <v>157998</v>
      </c>
      <c r="D791" s="49">
        <f t="shared" si="19"/>
        <v>427002</v>
      </c>
    </row>
    <row r="792" spans="1:4">
      <c r="A792" s="7" t="str">
        <f>"Saját használatú út 049/26"</f>
        <v>Saját használatú út 049/26</v>
      </c>
      <c r="B792" s="46">
        <v>770000</v>
      </c>
      <c r="C792" s="46">
        <v>207956</v>
      </c>
      <c r="D792" s="49">
        <f t="shared" si="19"/>
        <v>562044</v>
      </c>
    </row>
    <row r="793" spans="1:4">
      <c r="A793" s="7" t="s">
        <v>207</v>
      </c>
      <c r="B793" s="46">
        <v>445000</v>
      </c>
      <c r="C793" s="46">
        <v>120186</v>
      </c>
      <c r="D793" s="49">
        <f t="shared" si="19"/>
        <v>324814</v>
      </c>
    </row>
    <row r="794" spans="1:4">
      <c r="A794" s="7" t="str">
        <f>"Saját használatú út 071/21"</f>
        <v>Saját használatú út 071/21</v>
      </c>
      <c r="B794" s="46">
        <v>234000</v>
      </c>
      <c r="C794" s="46">
        <v>63192</v>
      </c>
      <c r="D794" s="49">
        <f t="shared" si="19"/>
        <v>170808</v>
      </c>
    </row>
    <row r="795" spans="1:4">
      <c r="A795" s="7" t="str">
        <f>"Saját használatú út 078/3"</f>
        <v>Saját használatú út 078/3</v>
      </c>
      <c r="B795" s="46">
        <v>259000</v>
      </c>
      <c r="C795" s="46">
        <v>69944</v>
      </c>
      <c r="D795" s="49">
        <f t="shared" si="19"/>
        <v>189056</v>
      </c>
    </row>
    <row r="796" spans="1:4">
      <c r="A796" s="7" t="str">
        <f>"Saját használatú út 078/6"</f>
        <v>Saját használatú út 078/6</v>
      </c>
      <c r="B796" s="46">
        <v>819000</v>
      </c>
      <c r="C796" s="46">
        <v>221197</v>
      </c>
      <c r="D796" s="49">
        <f t="shared" si="19"/>
        <v>597803</v>
      </c>
    </row>
    <row r="797" spans="1:4">
      <c r="A797" s="7" t="s">
        <v>208</v>
      </c>
      <c r="B797" s="46">
        <v>583000</v>
      </c>
      <c r="C797" s="46">
        <v>157458</v>
      </c>
      <c r="D797" s="49">
        <f t="shared" si="19"/>
        <v>425542</v>
      </c>
    </row>
    <row r="798" spans="1:4">
      <c r="A798" s="7" t="str">
        <f>"Saját használatú út 0127/5"</f>
        <v>Saját használatú út 0127/5</v>
      </c>
      <c r="B798" s="46">
        <v>702000</v>
      </c>
      <c r="C798" s="46">
        <v>189598</v>
      </c>
      <c r="D798" s="49">
        <f t="shared" si="19"/>
        <v>512402</v>
      </c>
    </row>
    <row r="799" spans="1:4">
      <c r="A799" s="7" t="str">
        <f>"Saját használatú út 0152/10"</f>
        <v>Saját használatú út 0152/10</v>
      </c>
      <c r="B799" s="46">
        <v>277000</v>
      </c>
      <c r="C799" s="46">
        <v>74820</v>
      </c>
      <c r="D799" s="49">
        <f t="shared" si="19"/>
        <v>202180</v>
      </c>
    </row>
    <row r="800" spans="1:4">
      <c r="A800" s="7" t="str">
        <f>"Saját használatú út 0160/10"</f>
        <v>Saját használatú út 0160/10</v>
      </c>
      <c r="B800" s="46">
        <v>167000</v>
      </c>
      <c r="C800" s="46">
        <v>45104</v>
      </c>
      <c r="D800" s="49">
        <f t="shared" si="19"/>
        <v>121896</v>
      </c>
    </row>
    <row r="801" spans="1:4">
      <c r="A801" s="7" t="s">
        <v>541</v>
      </c>
      <c r="B801" s="46">
        <v>717440</v>
      </c>
      <c r="C801" s="46">
        <v>188398</v>
      </c>
      <c r="D801" s="49">
        <f t="shared" si="19"/>
        <v>529042</v>
      </c>
    </row>
    <row r="802" spans="1:4">
      <c r="A802" s="7" t="s">
        <v>542</v>
      </c>
      <c r="B802" s="46">
        <v>6610980</v>
      </c>
      <c r="C802" s="46">
        <v>1736063</v>
      </c>
      <c r="D802" s="49">
        <f t="shared" si="19"/>
        <v>4874917</v>
      </c>
    </row>
    <row r="803" spans="1:4">
      <c r="A803" s="7" t="s">
        <v>543</v>
      </c>
      <c r="B803" s="46">
        <v>1495000</v>
      </c>
      <c r="C803" s="46">
        <v>392598</v>
      </c>
      <c r="D803" s="49">
        <f t="shared" si="19"/>
        <v>1102402</v>
      </c>
    </row>
    <row r="804" spans="1:4">
      <c r="A804" s="7" t="s">
        <v>544</v>
      </c>
      <c r="B804" s="46">
        <v>189000</v>
      </c>
      <c r="C804" s="46">
        <v>46805</v>
      </c>
      <c r="D804" s="49">
        <f t="shared" ref="D804:D866" si="20">B804-C804</f>
        <v>142195</v>
      </c>
    </row>
    <row r="805" spans="1:4">
      <c r="A805" s="7" t="s">
        <v>546</v>
      </c>
      <c r="B805" s="46">
        <v>100000</v>
      </c>
      <c r="C805" s="46">
        <v>22118</v>
      </c>
      <c r="D805" s="49">
        <f t="shared" si="20"/>
        <v>77882</v>
      </c>
    </row>
    <row r="806" spans="1:4">
      <c r="A806" s="7" t="str">
        <f>"Átvett állami út 335/5"</f>
        <v>Átvett állami út 335/5</v>
      </c>
      <c r="B806" s="46">
        <v>164767029</v>
      </c>
      <c r="C806" s="46">
        <v>35765735</v>
      </c>
      <c r="D806" s="49">
        <f t="shared" si="20"/>
        <v>129001294</v>
      </c>
    </row>
    <row r="807" spans="1:4">
      <c r="A807" s="7" t="s">
        <v>547</v>
      </c>
      <c r="B807" s="46">
        <v>90186152</v>
      </c>
      <c r="C807" s="46">
        <v>18635633</v>
      </c>
      <c r="D807" s="49">
        <f t="shared" si="20"/>
        <v>71550519</v>
      </c>
    </row>
    <row r="808" spans="1:4">
      <c r="A808" s="7" t="str">
        <f>"Piac parkoló 1425/2"</f>
        <v>Piac parkoló 1425/2</v>
      </c>
      <c r="B808" s="46">
        <v>1061120</v>
      </c>
      <c r="C808" s="46">
        <v>127423</v>
      </c>
      <c r="D808" s="49">
        <f t="shared" si="20"/>
        <v>933697</v>
      </c>
    </row>
    <row r="809" spans="1:4">
      <c r="A809" s="7" t="str">
        <f>"Patakpart u. 5234/3"</f>
        <v>Patakpart u. 5234/3</v>
      </c>
      <c r="B809" s="46">
        <v>3034000</v>
      </c>
      <c r="C809" s="46">
        <v>1341771</v>
      </c>
      <c r="D809" s="49">
        <f t="shared" si="20"/>
        <v>1692229</v>
      </c>
    </row>
    <row r="810" spans="1:4">
      <c r="A810" s="7" t="str">
        <f>"Külterületi út 025/8"</f>
        <v>Külterületi út 025/8</v>
      </c>
      <c r="B810" s="46">
        <v>195000</v>
      </c>
      <c r="C810" s="46">
        <v>77522</v>
      </c>
      <c r="D810" s="49">
        <f t="shared" si="20"/>
        <v>117478</v>
      </c>
    </row>
    <row r="811" spans="1:4">
      <c r="A811" s="7" t="str">
        <f>"Veres Pálné 2004év 1835/111"</f>
        <v>Veres Pálné 2004év 1835/111</v>
      </c>
      <c r="B811" s="46">
        <v>49001413</v>
      </c>
      <c r="C811" s="46">
        <v>19166930</v>
      </c>
      <c r="D811" s="49">
        <f t="shared" si="20"/>
        <v>29834483</v>
      </c>
    </row>
    <row r="812" spans="1:4">
      <c r="A812" s="7" t="s">
        <v>612</v>
      </c>
      <c r="B812" s="46">
        <v>313000</v>
      </c>
      <c r="C812" s="46">
        <v>105657</v>
      </c>
      <c r="D812" s="49">
        <f t="shared" si="20"/>
        <v>207343</v>
      </c>
    </row>
    <row r="813" spans="1:4">
      <c r="A813" s="7" t="s">
        <v>613</v>
      </c>
      <c r="B813" s="46">
        <v>516000</v>
      </c>
      <c r="C813" s="46">
        <v>174182</v>
      </c>
      <c r="D813" s="49">
        <f t="shared" si="20"/>
        <v>341818</v>
      </c>
    </row>
    <row r="814" spans="1:4">
      <c r="A814" s="7" t="s">
        <v>614</v>
      </c>
      <c r="B814" s="46">
        <v>777000</v>
      </c>
      <c r="C814" s="46">
        <v>262285</v>
      </c>
      <c r="D814" s="49">
        <f t="shared" si="20"/>
        <v>514715</v>
      </c>
    </row>
    <row r="815" spans="1:4">
      <c r="A815" s="7" t="s">
        <v>615</v>
      </c>
      <c r="B815" s="46">
        <v>419000</v>
      </c>
      <c r="C815" s="46">
        <v>141430</v>
      </c>
      <c r="D815" s="49">
        <f t="shared" si="20"/>
        <v>277570</v>
      </c>
    </row>
    <row r="816" spans="1:4">
      <c r="A816" s="7" t="s">
        <v>616</v>
      </c>
      <c r="B816" s="46">
        <v>1432000</v>
      </c>
      <c r="C816" s="46">
        <v>483388</v>
      </c>
      <c r="D816" s="49">
        <f t="shared" si="20"/>
        <v>948612</v>
      </c>
    </row>
    <row r="817" spans="1:4">
      <c r="A817" s="7" t="s">
        <v>617</v>
      </c>
      <c r="B817" s="46">
        <v>428000</v>
      </c>
      <c r="C817" s="46">
        <v>144468</v>
      </c>
      <c r="D817" s="49">
        <f t="shared" si="20"/>
        <v>283532</v>
      </c>
    </row>
    <row r="818" spans="1:4">
      <c r="A818" s="7" t="s">
        <v>618</v>
      </c>
      <c r="B818" s="46">
        <v>1201000</v>
      </c>
      <c r="C818" s="46">
        <v>405420</v>
      </c>
      <c r="D818" s="49">
        <f t="shared" si="20"/>
        <v>795580</v>
      </c>
    </row>
    <row r="819" spans="1:4">
      <c r="A819" s="7" t="s">
        <v>619</v>
      </c>
      <c r="B819" s="46">
        <v>243000</v>
      </c>
      <c r="C819" s="46">
        <v>82027</v>
      </c>
      <c r="D819" s="49">
        <f t="shared" si="20"/>
        <v>160973</v>
      </c>
    </row>
    <row r="820" spans="1:4">
      <c r="A820" s="7" t="s">
        <v>620</v>
      </c>
      <c r="B820" s="46">
        <v>99000</v>
      </c>
      <c r="C820" s="46">
        <v>33419</v>
      </c>
      <c r="D820" s="49">
        <f t="shared" si="20"/>
        <v>65581</v>
      </c>
    </row>
    <row r="821" spans="1:4">
      <c r="A821" s="7" t="s">
        <v>621</v>
      </c>
      <c r="B821" s="46">
        <v>227000</v>
      </c>
      <c r="C821" s="46">
        <v>76618</v>
      </c>
      <c r="D821" s="49">
        <f t="shared" si="20"/>
        <v>150382</v>
      </c>
    </row>
    <row r="822" spans="1:4">
      <c r="A822" s="7" t="s">
        <v>622</v>
      </c>
      <c r="B822" s="46">
        <v>508000</v>
      </c>
      <c r="C822" s="46">
        <v>171481</v>
      </c>
      <c r="D822" s="49">
        <f t="shared" si="20"/>
        <v>336519</v>
      </c>
    </row>
    <row r="823" spans="1:4">
      <c r="A823" s="7" t="s">
        <v>623</v>
      </c>
      <c r="B823" s="46">
        <v>240000</v>
      </c>
      <c r="C823" s="46">
        <v>81015</v>
      </c>
      <c r="D823" s="49">
        <f t="shared" si="20"/>
        <v>158985</v>
      </c>
    </row>
    <row r="824" spans="1:4">
      <c r="A824" s="7" t="s">
        <v>624</v>
      </c>
      <c r="B824" s="46">
        <v>530000</v>
      </c>
      <c r="C824" s="46">
        <v>178916</v>
      </c>
      <c r="D824" s="49">
        <f t="shared" si="20"/>
        <v>351084</v>
      </c>
    </row>
    <row r="825" spans="1:4">
      <c r="A825" s="7" t="s">
        <v>625</v>
      </c>
      <c r="B825" s="46">
        <v>1221000</v>
      </c>
      <c r="C825" s="46">
        <v>412163</v>
      </c>
      <c r="D825" s="49">
        <f t="shared" si="20"/>
        <v>808837</v>
      </c>
    </row>
    <row r="826" spans="1:4">
      <c r="A826" s="7" t="s">
        <v>626</v>
      </c>
      <c r="B826" s="46">
        <v>395000</v>
      </c>
      <c r="C826" s="46">
        <v>133337</v>
      </c>
      <c r="D826" s="49">
        <f t="shared" si="20"/>
        <v>261663</v>
      </c>
    </row>
    <row r="827" spans="1:4">
      <c r="A827" s="7" t="s">
        <v>627</v>
      </c>
      <c r="B827" s="46">
        <v>564000</v>
      </c>
      <c r="C827" s="46">
        <v>190385</v>
      </c>
      <c r="D827" s="49">
        <f t="shared" si="20"/>
        <v>373615</v>
      </c>
    </row>
    <row r="828" spans="1:4">
      <c r="A828" s="7" t="s">
        <v>628</v>
      </c>
      <c r="B828" s="46">
        <v>125000</v>
      </c>
      <c r="C828" s="46">
        <v>42195</v>
      </c>
      <c r="D828" s="49">
        <f t="shared" si="20"/>
        <v>82805</v>
      </c>
    </row>
    <row r="829" spans="1:4">
      <c r="A829" s="7" t="s">
        <v>629</v>
      </c>
      <c r="B829" s="46">
        <v>63000</v>
      </c>
      <c r="C829" s="46">
        <v>21258</v>
      </c>
      <c r="D829" s="49">
        <f t="shared" si="20"/>
        <v>41742</v>
      </c>
    </row>
    <row r="830" spans="1:4">
      <c r="A830" s="7" t="s">
        <v>630</v>
      </c>
      <c r="B830" s="46">
        <v>266000</v>
      </c>
      <c r="C830" s="46">
        <v>89791</v>
      </c>
      <c r="D830" s="49">
        <f t="shared" si="20"/>
        <v>176209</v>
      </c>
    </row>
    <row r="831" spans="1:4">
      <c r="A831" s="7" t="s">
        <v>631</v>
      </c>
      <c r="B831" s="46">
        <v>1210000</v>
      </c>
      <c r="C831" s="46">
        <v>408458</v>
      </c>
      <c r="D831" s="49">
        <f t="shared" si="20"/>
        <v>801542</v>
      </c>
    </row>
    <row r="832" spans="1:4">
      <c r="A832" s="7" t="s">
        <v>632</v>
      </c>
      <c r="B832" s="46">
        <v>761000</v>
      </c>
      <c r="C832" s="46">
        <v>256876</v>
      </c>
      <c r="D832" s="49">
        <f t="shared" si="20"/>
        <v>504124</v>
      </c>
    </row>
    <row r="833" spans="1:4">
      <c r="A833" s="7" t="str">
        <f>"Sajáthasználatú út 0314/2"</f>
        <v>Sajáthasználatú út 0314/2</v>
      </c>
      <c r="B833" s="46">
        <v>1393000</v>
      </c>
      <c r="C833" s="46">
        <v>418007</v>
      </c>
      <c r="D833" s="49">
        <f t="shared" si="20"/>
        <v>974993</v>
      </c>
    </row>
    <row r="834" spans="1:4">
      <c r="A834" s="7" t="str">
        <f>"Kóvári út autóbusz öböl 335/2,335/3,3354"</f>
        <v>Kóvári út autóbusz öböl 335/2,335/3,3354</v>
      </c>
      <c r="B834" s="46">
        <v>11196300</v>
      </c>
      <c r="C834" s="46">
        <v>3115683</v>
      </c>
      <c r="D834" s="49">
        <f t="shared" si="20"/>
        <v>8080617</v>
      </c>
    </row>
    <row r="835" spans="1:4">
      <c r="A835" s="7" t="s">
        <v>230</v>
      </c>
      <c r="B835" s="46">
        <v>644000</v>
      </c>
      <c r="C835" s="46">
        <v>173940</v>
      </c>
      <c r="D835" s="49">
        <f t="shared" si="20"/>
        <v>470060</v>
      </c>
    </row>
    <row r="836" spans="1:4">
      <c r="A836" s="7" t="str">
        <f>"Árok 028/1"</f>
        <v>Árok 028/1</v>
      </c>
      <c r="B836" s="46">
        <v>840000</v>
      </c>
      <c r="C836" s="46">
        <v>226876</v>
      </c>
      <c r="D836" s="49">
        <f t="shared" si="20"/>
        <v>613124</v>
      </c>
    </row>
    <row r="837" spans="1:4">
      <c r="A837" s="7" t="str">
        <f>"Töltés 028/2"</f>
        <v>Töltés 028/2</v>
      </c>
      <c r="B837" s="46">
        <v>6300000</v>
      </c>
      <c r="C837" s="46">
        <v>1701516</v>
      </c>
      <c r="D837" s="49">
        <f t="shared" si="20"/>
        <v>4598484</v>
      </c>
    </row>
    <row r="838" spans="1:4">
      <c r="A838" s="7" t="str">
        <f>"Árok 028/3"</f>
        <v>Árok 028/3</v>
      </c>
      <c r="B838" s="46">
        <v>7095000</v>
      </c>
      <c r="C838" s="46">
        <v>1916239</v>
      </c>
      <c r="D838" s="49">
        <f t="shared" si="20"/>
        <v>5178761</v>
      </c>
    </row>
    <row r="839" spans="1:4">
      <c r="A839" s="7" t="str">
        <f>"Saját használatú út 029/5"</f>
        <v>Saját használatú út 029/5</v>
      </c>
      <c r="B839" s="46">
        <v>518000</v>
      </c>
      <c r="C839" s="46">
        <v>139902</v>
      </c>
      <c r="D839" s="49">
        <f t="shared" si="20"/>
        <v>378098</v>
      </c>
    </row>
    <row r="840" spans="1:4">
      <c r="A840" s="7" t="str">
        <f>"Árok 029/6"</f>
        <v>Árok 029/6</v>
      </c>
      <c r="B840" s="46">
        <v>900000</v>
      </c>
      <c r="C840" s="46">
        <v>243074</v>
      </c>
      <c r="D840" s="49">
        <f t="shared" si="20"/>
        <v>656926</v>
      </c>
    </row>
    <row r="841" spans="1:4">
      <c r="A841" s="7" t="str">
        <f>"Árok 029/10"</f>
        <v>Árok 029/10</v>
      </c>
      <c r="B841" s="46">
        <v>663000</v>
      </c>
      <c r="C841" s="46">
        <v>179057</v>
      </c>
      <c r="D841" s="49">
        <f t="shared" si="20"/>
        <v>483943</v>
      </c>
    </row>
    <row r="842" spans="1:4">
      <c r="A842" s="7" t="str">
        <f>"Árok 029/14"</f>
        <v>Árok 029/14</v>
      </c>
      <c r="B842" s="46">
        <v>720000</v>
      </c>
      <c r="C842" s="46">
        <v>194452</v>
      </c>
      <c r="D842" s="49">
        <f t="shared" si="20"/>
        <v>525548</v>
      </c>
    </row>
    <row r="843" spans="1:4">
      <c r="A843" s="7" t="str">
        <f>"Saját használatú út 029/16"</f>
        <v>Saját használatú út 029/16</v>
      </c>
      <c r="B843" s="46">
        <v>159000</v>
      </c>
      <c r="C843" s="46">
        <v>42936</v>
      </c>
      <c r="D843" s="49">
        <f t="shared" si="20"/>
        <v>116064</v>
      </c>
    </row>
    <row r="844" spans="1:4">
      <c r="A844" s="7" t="str">
        <f>"Saját használatú út 029/29"</f>
        <v>Saját használatú út 029/29</v>
      </c>
      <c r="B844" s="46">
        <v>567000</v>
      </c>
      <c r="C844" s="46">
        <v>153129</v>
      </c>
      <c r="D844" s="49">
        <f t="shared" si="20"/>
        <v>413871</v>
      </c>
    </row>
    <row r="845" spans="1:4">
      <c r="A845" s="7" t="str">
        <f>"Saját használatú út 029/32"</f>
        <v>Saját használatú út 029/32</v>
      </c>
      <c r="B845" s="46">
        <v>601000</v>
      </c>
      <c r="C845" s="46">
        <v>162326</v>
      </c>
      <c r="D845" s="49">
        <f t="shared" si="20"/>
        <v>438674</v>
      </c>
    </row>
    <row r="846" spans="1:4">
      <c r="A846" s="7" t="str">
        <f>"Saját használatú út 029/33"</f>
        <v>Saját használatú út 029/33</v>
      </c>
      <c r="B846" s="46">
        <v>140000</v>
      </c>
      <c r="C846" s="46">
        <v>37818</v>
      </c>
      <c r="D846" s="49">
        <f t="shared" si="20"/>
        <v>102182</v>
      </c>
    </row>
    <row r="847" spans="1:4">
      <c r="A847" s="7" t="str">
        <f>"Saját használatú út 041/1"</f>
        <v>Saját használatú út 041/1</v>
      </c>
      <c r="B847" s="46">
        <v>1521000</v>
      </c>
      <c r="C847" s="46">
        <v>410788</v>
      </c>
      <c r="D847" s="49">
        <f t="shared" si="20"/>
        <v>1110212</v>
      </c>
    </row>
    <row r="848" spans="1:4">
      <c r="A848" s="7" t="str">
        <f>"Saját használatú út 041/14"</f>
        <v>Saját használatú út 041/14</v>
      </c>
      <c r="B848" s="46">
        <v>788000</v>
      </c>
      <c r="C848" s="46">
        <v>212832</v>
      </c>
      <c r="D848" s="49">
        <f t="shared" si="20"/>
        <v>575168</v>
      </c>
    </row>
    <row r="849" spans="1:4">
      <c r="A849" s="7" t="str">
        <f>"Saját használatú út 041/25"</f>
        <v>Saját használatú út 041/25</v>
      </c>
      <c r="B849" s="46">
        <v>731000</v>
      </c>
      <c r="C849" s="46">
        <v>197430</v>
      </c>
      <c r="D849" s="49">
        <f t="shared" si="20"/>
        <v>533570</v>
      </c>
    </row>
    <row r="850" spans="1:4">
      <c r="A850" s="7" t="str">
        <f>"Saját használatú út 043/9"</f>
        <v>Saját használatú út 043/9</v>
      </c>
      <c r="B850" s="46">
        <v>702000</v>
      </c>
      <c r="C850" s="46">
        <v>189598</v>
      </c>
      <c r="D850" s="49">
        <f t="shared" si="20"/>
        <v>512402</v>
      </c>
    </row>
    <row r="851" spans="1:4">
      <c r="A851" s="7" t="str">
        <f>"Saját használatú út 045/2"</f>
        <v>Saját használatú út 045/2</v>
      </c>
      <c r="B851" s="46">
        <v>106000</v>
      </c>
      <c r="C851" s="46">
        <v>28636</v>
      </c>
      <c r="D851" s="49">
        <f t="shared" si="20"/>
        <v>77364</v>
      </c>
    </row>
    <row r="852" spans="1:4">
      <c r="A852" s="7" t="str">
        <f>"Saját használatú út 045/25"</f>
        <v>Saját használatú út 045/25</v>
      </c>
      <c r="B852" s="46">
        <v>594000</v>
      </c>
      <c r="C852" s="46">
        <v>160436</v>
      </c>
      <c r="D852" s="49">
        <f t="shared" si="20"/>
        <v>433564</v>
      </c>
    </row>
    <row r="853" spans="1:4">
      <c r="A853" s="7" t="str">
        <f>"Saját használatú út 045/27"</f>
        <v>Saját használatú út 045/27</v>
      </c>
      <c r="B853" s="46">
        <v>1112000</v>
      </c>
      <c r="C853" s="46">
        <v>300338</v>
      </c>
      <c r="D853" s="49">
        <f t="shared" si="20"/>
        <v>811662</v>
      </c>
    </row>
    <row r="854" spans="1:4">
      <c r="A854" s="7" t="str">
        <f>"Saját használatú út 045/28"</f>
        <v>Saját használatú út 045/28</v>
      </c>
      <c r="B854" s="46">
        <v>778000</v>
      </c>
      <c r="C854" s="46">
        <v>210124</v>
      </c>
      <c r="D854" s="49">
        <f t="shared" si="20"/>
        <v>567876</v>
      </c>
    </row>
    <row r="855" spans="1:4">
      <c r="A855" s="7" t="str">
        <f>"Saját használatú út 045/35"</f>
        <v>Saját használatú út 045/35</v>
      </c>
      <c r="B855" s="46">
        <v>806000</v>
      </c>
      <c r="C855" s="46">
        <v>217686</v>
      </c>
      <c r="D855" s="49">
        <f t="shared" si="20"/>
        <v>588314</v>
      </c>
    </row>
    <row r="856" spans="1:4">
      <c r="A856" s="7" t="str">
        <f>"Saját használatú út 045/36"</f>
        <v>Saját használatú út 045/36</v>
      </c>
      <c r="B856" s="46">
        <v>644000</v>
      </c>
      <c r="C856" s="46">
        <v>173940</v>
      </c>
      <c r="D856" s="49">
        <f t="shared" si="20"/>
        <v>470060</v>
      </c>
    </row>
    <row r="857" spans="1:4">
      <c r="A857" s="7" t="s">
        <v>206</v>
      </c>
      <c r="B857" s="46">
        <v>1777000</v>
      </c>
      <c r="C857" s="46">
        <v>479936</v>
      </c>
      <c r="D857" s="49">
        <f t="shared" si="20"/>
        <v>1297064</v>
      </c>
    </row>
    <row r="858" spans="1:4">
      <c r="A858" s="7" t="s">
        <v>685</v>
      </c>
      <c r="B858" s="46">
        <v>251440</v>
      </c>
      <c r="C858" s="46">
        <v>236356</v>
      </c>
      <c r="D858" s="49">
        <f t="shared" si="20"/>
        <v>15084</v>
      </c>
    </row>
    <row r="859" spans="1:4">
      <c r="A859" s="7" t="s">
        <v>687</v>
      </c>
      <c r="B859" s="46">
        <v>13405466</v>
      </c>
      <c r="C859" s="46">
        <v>7958879</v>
      </c>
      <c r="D859" s="49">
        <f t="shared" si="20"/>
        <v>5446587</v>
      </c>
    </row>
    <row r="860" spans="1:4">
      <c r="A860" s="7" t="s">
        <v>688</v>
      </c>
      <c r="B860" s="46">
        <v>225216</v>
      </c>
      <c r="C860" s="46">
        <v>175670</v>
      </c>
      <c r="D860" s="49">
        <f t="shared" si="20"/>
        <v>49546</v>
      </c>
    </row>
    <row r="861" spans="1:4">
      <c r="A861" s="7" t="s">
        <v>689</v>
      </c>
      <c r="B861" s="46">
        <v>1302754</v>
      </c>
      <c r="C861" s="46">
        <v>475020</v>
      </c>
      <c r="D861" s="49">
        <f t="shared" si="20"/>
        <v>827734</v>
      </c>
    </row>
    <row r="862" spans="1:4">
      <c r="A862" s="7" t="s">
        <v>690</v>
      </c>
      <c r="B862" s="46">
        <v>96040</v>
      </c>
      <c r="C862" s="46">
        <v>57178</v>
      </c>
      <c r="D862" s="49">
        <f t="shared" si="20"/>
        <v>38862</v>
      </c>
    </row>
    <row r="863" spans="1:4">
      <c r="A863" s="7" t="str">
        <f>"Járda Váci M. út      1835/24"</f>
        <v>Járda Váci M. út      1835/24</v>
      </c>
      <c r="B863" s="46">
        <v>185400</v>
      </c>
      <c r="C863" s="46">
        <v>110093</v>
      </c>
      <c r="D863" s="49">
        <f t="shared" si="20"/>
        <v>75307</v>
      </c>
    </row>
    <row r="864" spans="1:4">
      <c r="A864" s="7" t="str">
        <f>"Járda Liszt F. út     2910/25"</f>
        <v>Járda Liszt F. út     2910/25</v>
      </c>
      <c r="B864" s="46">
        <v>282375</v>
      </c>
      <c r="C864" s="46">
        <v>166949</v>
      </c>
      <c r="D864" s="49">
        <f t="shared" si="20"/>
        <v>115426</v>
      </c>
    </row>
    <row r="865" spans="1:4">
      <c r="A865" s="7" t="str">
        <f>"Járda Veres P. út     1835/39"</f>
        <v>Járda Veres P. út     1835/39</v>
      </c>
      <c r="B865" s="46">
        <v>62400</v>
      </c>
      <c r="C865" s="46">
        <v>36721</v>
      </c>
      <c r="D865" s="49">
        <f t="shared" si="20"/>
        <v>25679</v>
      </c>
    </row>
    <row r="866" spans="1:4">
      <c r="A866" s="7" t="s">
        <v>691</v>
      </c>
      <c r="B866" s="46">
        <v>3977000</v>
      </c>
      <c r="C866" s="46">
        <v>2386521</v>
      </c>
      <c r="D866" s="49">
        <f t="shared" si="20"/>
        <v>1590479</v>
      </c>
    </row>
    <row r="867" spans="1:4">
      <c r="A867" s="7" t="s">
        <v>692</v>
      </c>
      <c r="B867" s="46">
        <v>3644400</v>
      </c>
      <c r="C867" s="46">
        <v>1865906</v>
      </c>
      <c r="D867" s="49">
        <f t="shared" ref="D867:D930" si="21">B867-C867</f>
        <v>1778494</v>
      </c>
    </row>
    <row r="868" spans="1:4">
      <c r="A868" s="7" t="s">
        <v>693</v>
      </c>
      <c r="B868" s="46">
        <v>816000</v>
      </c>
      <c r="C868" s="46">
        <v>465174</v>
      </c>
      <c r="D868" s="49">
        <f t="shared" si="21"/>
        <v>350826</v>
      </c>
    </row>
    <row r="869" spans="1:4">
      <c r="A869" s="7" t="s">
        <v>694</v>
      </c>
      <c r="B869" s="46">
        <v>1584000</v>
      </c>
      <c r="C869" s="46">
        <v>903002</v>
      </c>
      <c r="D869" s="49">
        <f t="shared" si="21"/>
        <v>680998</v>
      </c>
    </row>
    <row r="870" spans="1:4">
      <c r="A870" s="7" t="s">
        <v>695</v>
      </c>
      <c r="B870" s="46">
        <v>1902000</v>
      </c>
      <c r="C870" s="46">
        <v>1084287</v>
      </c>
      <c r="D870" s="49">
        <f t="shared" si="21"/>
        <v>817713</v>
      </c>
    </row>
    <row r="871" spans="1:4">
      <c r="A871" s="7" t="s">
        <v>699</v>
      </c>
      <c r="B871" s="46">
        <v>15613369</v>
      </c>
      <c r="C871" s="46">
        <v>7203717</v>
      </c>
      <c r="D871" s="49">
        <f t="shared" si="21"/>
        <v>8409652</v>
      </c>
    </row>
    <row r="872" spans="1:4">
      <c r="A872" s="7" t="s">
        <v>700</v>
      </c>
      <c r="B872" s="46">
        <v>2132000</v>
      </c>
      <c r="C872" s="46">
        <v>1215398</v>
      </c>
      <c r="D872" s="49">
        <f t="shared" si="21"/>
        <v>916602</v>
      </c>
    </row>
    <row r="873" spans="1:4">
      <c r="A873" s="7" t="s">
        <v>701</v>
      </c>
      <c r="B873" s="46">
        <v>22229000</v>
      </c>
      <c r="C873" s="46">
        <v>12672351</v>
      </c>
      <c r="D873" s="49">
        <f t="shared" si="21"/>
        <v>9556649</v>
      </c>
    </row>
    <row r="874" spans="1:4">
      <c r="A874" s="7" t="s">
        <v>702</v>
      </c>
      <c r="B874" s="46">
        <v>1175000</v>
      </c>
      <c r="C874" s="46">
        <v>669832</v>
      </c>
      <c r="D874" s="49">
        <f t="shared" si="21"/>
        <v>505168</v>
      </c>
    </row>
    <row r="875" spans="1:4">
      <c r="A875" s="7" t="str">
        <f>"Szerb út              599/3"</f>
        <v>Szerb út              599/3</v>
      </c>
      <c r="B875" s="46">
        <v>6179236</v>
      </c>
      <c r="C875" s="46">
        <v>1937255</v>
      </c>
      <c r="D875" s="49">
        <f t="shared" si="21"/>
        <v>4241981</v>
      </c>
    </row>
    <row r="876" spans="1:4">
      <c r="A876" s="7" t="s">
        <v>703</v>
      </c>
      <c r="B876" s="46">
        <v>9976963</v>
      </c>
      <c r="C876" s="46">
        <v>5796941</v>
      </c>
      <c r="D876" s="49">
        <f t="shared" si="21"/>
        <v>4180022</v>
      </c>
    </row>
    <row r="877" spans="1:4">
      <c r="A877" s="7" t="s">
        <v>704</v>
      </c>
      <c r="B877" s="46">
        <v>6627861</v>
      </c>
      <c r="C877" s="46">
        <v>1823628</v>
      </c>
      <c r="D877" s="49">
        <f t="shared" si="21"/>
        <v>4804233</v>
      </c>
    </row>
    <row r="878" spans="1:4">
      <c r="A878" s="7" t="s">
        <v>705</v>
      </c>
      <c r="B878" s="46">
        <v>6354000</v>
      </c>
      <c r="C878" s="46">
        <v>3622294</v>
      </c>
      <c r="D878" s="49">
        <f t="shared" si="21"/>
        <v>2731706</v>
      </c>
    </row>
    <row r="879" spans="1:4">
      <c r="A879" s="7" t="s">
        <v>706</v>
      </c>
      <c r="B879" s="46">
        <v>5256000</v>
      </c>
      <c r="C879" s="46">
        <v>2996352</v>
      </c>
      <c r="D879" s="49">
        <f t="shared" si="21"/>
        <v>2259648</v>
      </c>
    </row>
    <row r="880" spans="1:4">
      <c r="A880" s="7" t="str">
        <f>"Ipoly nyíló           676/4"</f>
        <v>Ipoly nyíló           676/4</v>
      </c>
      <c r="B880" s="46">
        <v>255000</v>
      </c>
      <c r="C880" s="46">
        <v>145356</v>
      </c>
      <c r="D880" s="49">
        <f t="shared" si="21"/>
        <v>109644</v>
      </c>
    </row>
    <row r="881" spans="1:4">
      <c r="A881" s="7" t="s">
        <v>707</v>
      </c>
      <c r="B881" s="46">
        <v>10056155</v>
      </c>
      <c r="C881" s="46">
        <v>4805675</v>
      </c>
      <c r="D881" s="49">
        <f t="shared" si="21"/>
        <v>5250480</v>
      </c>
    </row>
    <row r="882" spans="1:4">
      <c r="A882" s="7" t="s">
        <v>708</v>
      </c>
      <c r="B882" s="46">
        <v>19966686</v>
      </c>
      <c r="C882" s="46">
        <v>11390542</v>
      </c>
      <c r="D882" s="49">
        <f t="shared" si="21"/>
        <v>8576144</v>
      </c>
    </row>
    <row r="883" spans="1:4">
      <c r="A883" s="7" t="s">
        <v>709</v>
      </c>
      <c r="B883" s="46">
        <v>13499927</v>
      </c>
      <c r="C883" s="46">
        <v>6371403</v>
      </c>
      <c r="D883" s="49">
        <f t="shared" si="21"/>
        <v>7128524</v>
      </c>
    </row>
    <row r="884" spans="1:4">
      <c r="A884" s="7" t="s">
        <v>710</v>
      </c>
      <c r="B884" s="46">
        <v>25849783</v>
      </c>
      <c r="C884" s="46">
        <v>13018945</v>
      </c>
      <c r="D884" s="49">
        <f t="shared" si="21"/>
        <v>12830838</v>
      </c>
    </row>
    <row r="885" spans="1:4">
      <c r="A885" s="7" t="str">
        <f>"Markusovszky út       1022/1"</f>
        <v>Markusovszky út       1022/1</v>
      </c>
      <c r="B885" s="46">
        <v>8125000</v>
      </c>
      <c r="C885" s="46">
        <v>4631907</v>
      </c>
      <c r="D885" s="49">
        <f t="shared" si="21"/>
        <v>3493093</v>
      </c>
    </row>
    <row r="886" spans="1:4">
      <c r="A886" s="7" t="str">
        <f>"Szontágh P. út        1036/65"</f>
        <v>Szontágh P. út        1036/65</v>
      </c>
      <c r="B886" s="46">
        <v>8056407</v>
      </c>
      <c r="C886" s="46">
        <v>3893626</v>
      </c>
      <c r="D886" s="49">
        <f t="shared" si="21"/>
        <v>4162781</v>
      </c>
    </row>
    <row r="887" spans="1:4">
      <c r="A887" s="7" t="str">
        <f>"Szontágh P. út        1036/15"</f>
        <v>Szontágh P. út        1036/15</v>
      </c>
      <c r="B887" s="46">
        <v>2983530</v>
      </c>
      <c r="C887" s="46">
        <v>1441910</v>
      </c>
      <c r="D887" s="49">
        <f t="shared" si="21"/>
        <v>1541620</v>
      </c>
    </row>
    <row r="888" spans="1:4">
      <c r="A888" s="7" t="str">
        <f>"Szontágh P. út        1036/24"</f>
        <v>Szontágh P. út        1036/24</v>
      </c>
      <c r="B888" s="46">
        <v>2546063</v>
      </c>
      <c r="C888" s="46">
        <v>1230487</v>
      </c>
      <c r="D888" s="49">
        <f t="shared" si="21"/>
        <v>1315576</v>
      </c>
    </row>
    <row r="889" spans="1:4">
      <c r="A889" s="7" t="str">
        <f>"Szontágh P. út        1037/3"</f>
        <v>Szontágh P. út        1037/3</v>
      </c>
      <c r="B889" s="46">
        <v>8215645</v>
      </c>
      <c r="C889" s="46">
        <v>3970588</v>
      </c>
      <c r="D889" s="49">
        <f t="shared" si="21"/>
        <v>4245057</v>
      </c>
    </row>
    <row r="890" spans="1:4">
      <c r="A890" s="7" t="str">
        <f>"Szontágh P. út        1037/23"</f>
        <v>Szontágh P. út        1037/23</v>
      </c>
      <c r="B890" s="46">
        <v>2897787</v>
      </c>
      <c r="C890" s="46">
        <v>1400485</v>
      </c>
      <c r="D890" s="49">
        <f t="shared" si="21"/>
        <v>1497302</v>
      </c>
    </row>
    <row r="891" spans="1:4">
      <c r="A891" s="7" t="str">
        <f>"Szontágh P. út        1037/44"</f>
        <v>Szontágh P. út        1037/44</v>
      </c>
      <c r="B891" s="46">
        <v>5345856</v>
      </c>
      <c r="C891" s="46">
        <v>2583612</v>
      </c>
      <c r="D891" s="49">
        <f t="shared" si="21"/>
        <v>2762244</v>
      </c>
    </row>
    <row r="892" spans="1:4">
      <c r="A892" s="7" t="str">
        <f>"Szontágh P. út        1037/46"</f>
        <v>Szontágh P. út        1037/46</v>
      </c>
      <c r="B892" s="46">
        <v>2588059</v>
      </c>
      <c r="C892" s="46">
        <v>1250791</v>
      </c>
      <c r="D892" s="49">
        <f t="shared" si="21"/>
        <v>1337268</v>
      </c>
    </row>
    <row r="893" spans="1:4">
      <c r="A893" s="7" t="s">
        <v>711</v>
      </c>
      <c r="B893" s="46">
        <v>45567000</v>
      </c>
      <c r="C893" s="46">
        <v>25976913</v>
      </c>
      <c r="D893" s="49">
        <f t="shared" si="21"/>
        <v>19590087</v>
      </c>
    </row>
    <row r="894" spans="1:4">
      <c r="A894" s="7" t="str">
        <f>"Kenessey út           1037/72"</f>
        <v>Kenessey út           1037/72</v>
      </c>
      <c r="B894" s="46">
        <v>3763000</v>
      </c>
      <c r="C894" s="46">
        <v>2160431</v>
      </c>
      <c r="D894" s="49">
        <f t="shared" si="21"/>
        <v>1602569</v>
      </c>
    </row>
    <row r="895" spans="1:4">
      <c r="A895" s="7" t="str">
        <f>"Bartha E. út          1037/90"</f>
        <v>Bartha E. út          1037/90</v>
      </c>
      <c r="B895" s="46">
        <v>2564000</v>
      </c>
      <c r="C895" s="46">
        <v>1495354</v>
      </c>
      <c r="D895" s="49">
        <f t="shared" si="21"/>
        <v>1068646</v>
      </c>
    </row>
    <row r="896" spans="1:4">
      <c r="A896" s="7" t="s">
        <v>712</v>
      </c>
      <c r="B896" s="46">
        <v>15798914</v>
      </c>
      <c r="C896" s="46">
        <v>7963909</v>
      </c>
      <c r="D896" s="49">
        <f t="shared" si="21"/>
        <v>7835005</v>
      </c>
    </row>
    <row r="897" spans="1:4">
      <c r="A897" s="7" t="s">
        <v>713</v>
      </c>
      <c r="B897" s="46">
        <v>1673453</v>
      </c>
      <c r="C897" s="46">
        <v>968720</v>
      </c>
      <c r="D897" s="49">
        <f t="shared" si="21"/>
        <v>704733</v>
      </c>
    </row>
    <row r="898" spans="1:4">
      <c r="A898" s="7" t="s">
        <v>714</v>
      </c>
      <c r="B898" s="46">
        <v>23892000</v>
      </c>
      <c r="C898" s="46">
        <v>13620396</v>
      </c>
      <c r="D898" s="49">
        <f t="shared" si="21"/>
        <v>10271604</v>
      </c>
    </row>
    <row r="899" spans="1:4">
      <c r="A899" s="7" t="s">
        <v>715</v>
      </c>
      <c r="B899" s="46">
        <v>6155000</v>
      </c>
      <c r="C899" s="46">
        <v>3508846</v>
      </c>
      <c r="D899" s="49">
        <f t="shared" si="21"/>
        <v>2646154</v>
      </c>
    </row>
    <row r="900" spans="1:4">
      <c r="A900" s="7" t="s">
        <v>716</v>
      </c>
      <c r="B900" s="46">
        <v>14347630</v>
      </c>
      <c r="C900" s="46">
        <v>8214504</v>
      </c>
      <c r="D900" s="49">
        <f t="shared" si="21"/>
        <v>6133126</v>
      </c>
    </row>
    <row r="901" spans="1:4">
      <c r="A901" s="7" t="s">
        <v>717</v>
      </c>
      <c r="B901" s="46">
        <v>24001852</v>
      </c>
      <c r="C901" s="46">
        <v>12698853</v>
      </c>
      <c r="D901" s="49">
        <f t="shared" si="21"/>
        <v>11302999</v>
      </c>
    </row>
    <row r="902" spans="1:4">
      <c r="A902" s="7" t="s">
        <v>718</v>
      </c>
      <c r="B902" s="46">
        <v>24555522</v>
      </c>
      <c r="C902" s="46">
        <v>9063380</v>
      </c>
      <c r="D902" s="49">
        <f t="shared" si="21"/>
        <v>15492142</v>
      </c>
    </row>
    <row r="903" spans="1:4">
      <c r="A903" s="7" t="s">
        <v>719</v>
      </c>
      <c r="B903" s="46">
        <v>30819245</v>
      </c>
      <c r="C903" s="46">
        <v>17657793</v>
      </c>
      <c r="D903" s="49">
        <f t="shared" si="21"/>
        <v>13161452</v>
      </c>
    </row>
    <row r="904" spans="1:4">
      <c r="A904" s="7" t="s">
        <v>720</v>
      </c>
      <c r="B904" s="46">
        <v>7262690</v>
      </c>
      <c r="C904" s="46">
        <v>3888000</v>
      </c>
      <c r="D904" s="49">
        <f t="shared" si="21"/>
        <v>3374690</v>
      </c>
    </row>
    <row r="905" spans="1:4">
      <c r="A905" s="7" t="str">
        <f>"Máv Fűtóház mellett 1817/1"</f>
        <v>Máv Fűtóház mellett 1817/1</v>
      </c>
      <c r="B905" s="46">
        <v>8158000</v>
      </c>
      <c r="C905" s="46">
        <v>4650718</v>
      </c>
      <c r="D905" s="49">
        <f t="shared" si="21"/>
        <v>3507282</v>
      </c>
    </row>
    <row r="906" spans="1:4">
      <c r="A906" s="7" t="str">
        <f>"Táncsics köz          1835/41"</f>
        <v>Táncsics köz          1835/41</v>
      </c>
      <c r="B906" s="46">
        <v>16206000</v>
      </c>
      <c r="C906" s="46">
        <v>9238752</v>
      </c>
      <c r="D906" s="49">
        <f t="shared" si="21"/>
        <v>6967248</v>
      </c>
    </row>
    <row r="907" spans="1:4">
      <c r="A907" s="7" t="str">
        <f>"Összekötő út          1835/104"</f>
        <v>Összekötő út          1835/104</v>
      </c>
      <c r="B907" s="46">
        <v>4821000</v>
      </c>
      <c r="C907" s="46">
        <v>2748356</v>
      </c>
      <c r="D907" s="49">
        <f t="shared" si="21"/>
        <v>2072644</v>
      </c>
    </row>
    <row r="908" spans="1:4">
      <c r="A908" s="7" t="str">
        <f>"Önkormányzati út      1838/40"</f>
        <v>Önkormányzati út      1838/40</v>
      </c>
      <c r="B908" s="46">
        <v>5780000</v>
      </c>
      <c r="C908" s="46">
        <v>3295062</v>
      </c>
      <c r="D908" s="49">
        <f t="shared" si="21"/>
        <v>2484938</v>
      </c>
    </row>
    <row r="909" spans="1:4">
      <c r="A909" s="7" t="str">
        <f>"Közterület            1839/2"</f>
        <v>Közterület            1839/2</v>
      </c>
      <c r="B909" s="46">
        <v>4340000</v>
      </c>
      <c r="C909" s="46">
        <v>2474157</v>
      </c>
      <c r="D909" s="49">
        <f t="shared" si="21"/>
        <v>1865843</v>
      </c>
    </row>
    <row r="910" spans="1:4">
      <c r="A910" s="7" t="str">
        <f>"Csokonai út           1840/42"</f>
        <v>Csokonai út           1840/42</v>
      </c>
      <c r="B910" s="46">
        <v>15884863</v>
      </c>
      <c r="C910" s="46">
        <v>8392842</v>
      </c>
      <c r="D910" s="49">
        <f t="shared" si="21"/>
        <v>7492021</v>
      </c>
    </row>
    <row r="911" spans="1:4">
      <c r="A911" s="7" t="s">
        <v>721</v>
      </c>
      <c r="B911" s="46">
        <v>12421500</v>
      </c>
      <c r="C911" s="46">
        <v>7147666</v>
      </c>
      <c r="D911" s="49">
        <f t="shared" si="21"/>
        <v>5273834</v>
      </c>
    </row>
    <row r="912" spans="1:4">
      <c r="A912" s="7" t="s">
        <v>722</v>
      </c>
      <c r="B912" s="46">
        <v>12305066</v>
      </c>
      <c r="C912" s="46">
        <v>5545494</v>
      </c>
      <c r="D912" s="49">
        <f t="shared" si="21"/>
        <v>6759572</v>
      </c>
    </row>
    <row r="913" spans="1:4">
      <c r="A913" s="7" t="s">
        <v>723</v>
      </c>
      <c r="B913" s="46">
        <v>3521000</v>
      </c>
      <c r="C913" s="46">
        <v>2007258</v>
      </c>
      <c r="D913" s="49">
        <f t="shared" si="21"/>
        <v>1513742</v>
      </c>
    </row>
    <row r="914" spans="1:4">
      <c r="A914" s="7" t="s">
        <v>724</v>
      </c>
      <c r="B914" s="46">
        <v>28458358</v>
      </c>
      <c r="C914" s="46">
        <v>15493229</v>
      </c>
      <c r="D914" s="49">
        <f t="shared" si="21"/>
        <v>12965129</v>
      </c>
    </row>
    <row r="915" spans="1:4">
      <c r="A915" s="7" t="s">
        <v>725</v>
      </c>
      <c r="B915" s="46">
        <v>1562000</v>
      </c>
      <c r="C915" s="46">
        <v>890459</v>
      </c>
      <c r="D915" s="49">
        <f t="shared" si="21"/>
        <v>671541</v>
      </c>
    </row>
    <row r="916" spans="1:4">
      <c r="A916" s="7" t="str">
        <f>"Névtelen út/Szügyi tér/ 1975"</f>
        <v>Névtelen út/Szügyi tér/ 1975</v>
      </c>
      <c r="B916" s="46">
        <v>38332936</v>
      </c>
      <c r="C916" s="46">
        <v>18618510</v>
      </c>
      <c r="D916" s="49">
        <f t="shared" si="21"/>
        <v>19714426</v>
      </c>
    </row>
    <row r="917" spans="1:4">
      <c r="A917" s="7" t="s">
        <v>726</v>
      </c>
      <c r="B917" s="46">
        <v>26983452</v>
      </c>
      <c r="C917" s="46">
        <v>14690263</v>
      </c>
      <c r="D917" s="49">
        <f t="shared" si="21"/>
        <v>12293189</v>
      </c>
    </row>
    <row r="918" spans="1:4">
      <c r="A918" s="7" t="s">
        <v>727</v>
      </c>
      <c r="B918" s="46">
        <v>7168000</v>
      </c>
      <c r="C918" s="46">
        <v>4086345</v>
      </c>
      <c r="D918" s="49">
        <f t="shared" si="21"/>
        <v>3081655</v>
      </c>
    </row>
    <row r="919" spans="1:4">
      <c r="A919" s="7" t="s">
        <v>728</v>
      </c>
      <c r="B919" s="46">
        <v>18652000</v>
      </c>
      <c r="C919" s="46">
        <v>10633169</v>
      </c>
      <c r="D919" s="49">
        <f t="shared" si="21"/>
        <v>8018831</v>
      </c>
    </row>
    <row r="920" spans="1:4">
      <c r="A920" s="7" t="s">
        <v>729</v>
      </c>
      <c r="B920" s="46">
        <v>21152236</v>
      </c>
      <c r="C920" s="46">
        <v>10939716</v>
      </c>
      <c r="D920" s="49">
        <f t="shared" si="21"/>
        <v>10212520</v>
      </c>
    </row>
    <row r="921" spans="1:4">
      <c r="A921" s="7" t="str">
        <f>"Közút TV torony       3134/8"</f>
        <v>Közút TV torony       3134/8</v>
      </c>
      <c r="B921" s="46">
        <v>615000</v>
      </c>
      <c r="C921" s="46">
        <v>350581</v>
      </c>
      <c r="D921" s="49">
        <f t="shared" si="21"/>
        <v>264419</v>
      </c>
    </row>
    <row r="922" spans="1:4">
      <c r="A922" s="7" t="s">
        <v>730</v>
      </c>
      <c r="B922" s="46">
        <v>12610000</v>
      </c>
      <c r="C922" s="46">
        <v>7188719</v>
      </c>
      <c r="D922" s="49">
        <f t="shared" si="21"/>
        <v>5421281</v>
      </c>
    </row>
    <row r="923" spans="1:4">
      <c r="A923" s="7" t="str">
        <f>"Önkormányzati út      3172/48"</f>
        <v>Önkormányzati út      3172/48</v>
      </c>
      <c r="B923" s="46">
        <v>10743000</v>
      </c>
      <c r="C923" s="46">
        <v>6124387</v>
      </c>
      <c r="D923" s="49">
        <f t="shared" si="21"/>
        <v>4618613</v>
      </c>
    </row>
    <row r="924" spans="1:4">
      <c r="A924" s="7" t="s">
        <v>731</v>
      </c>
      <c r="B924" s="46">
        <v>5777240</v>
      </c>
      <c r="C924" s="46">
        <v>993073</v>
      </c>
      <c r="D924" s="49">
        <f t="shared" si="21"/>
        <v>4784167</v>
      </c>
    </row>
    <row r="925" spans="1:4">
      <c r="A925" s="7" t="s">
        <v>732</v>
      </c>
      <c r="B925" s="46">
        <v>10198860</v>
      </c>
      <c r="C925" s="46">
        <v>2367076</v>
      </c>
      <c r="D925" s="49">
        <f t="shared" si="21"/>
        <v>7831784</v>
      </c>
    </row>
    <row r="926" spans="1:4">
      <c r="A926" s="7" t="s">
        <v>733</v>
      </c>
      <c r="B926" s="46">
        <v>13604860</v>
      </c>
      <c r="C926" s="46">
        <v>4308778</v>
      </c>
      <c r="D926" s="49">
        <f t="shared" si="21"/>
        <v>9296082</v>
      </c>
    </row>
    <row r="927" spans="1:4">
      <c r="A927" s="7" t="s">
        <v>734</v>
      </c>
      <c r="B927" s="46">
        <v>893000</v>
      </c>
      <c r="C927" s="46">
        <v>509082</v>
      </c>
      <c r="D927" s="49">
        <f t="shared" si="21"/>
        <v>383918</v>
      </c>
    </row>
    <row r="928" spans="1:4">
      <c r="A928" s="7" t="s">
        <v>735</v>
      </c>
      <c r="B928" s="46">
        <v>806000</v>
      </c>
      <c r="C928" s="46">
        <v>459478</v>
      </c>
      <c r="D928" s="49">
        <f t="shared" si="21"/>
        <v>346522</v>
      </c>
    </row>
    <row r="929" spans="1:4">
      <c r="A929" s="7" t="s">
        <v>736</v>
      </c>
      <c r="B929" s="46">
        <v>16974915</v>
      </c>
      <c r="C929" s="46">
        <v>8834359</v>
      </c>
      <c r="D929" s="49">
        <f t="shared" si="21"/>
        <v>8140556</v>
      </c>
    </row>
    <row r="930" spans="1:4">
      <c r="A930" s="7" t="s">
        <v>737</v>
      </c>
      <c r="B930" s="46">
        <v>200000</v>
      </c>
      <c r="C930" s="46">
        <v>114001</v>
      </c>
      <c r="D930" s="49">
        <f t="shared" si="21"/>
        <v>85999</v>
      </c>
    </row>
    <row r="931" spans="1:4">
      <c r="A931" s="7" t="s">
        <v>738</v>
      </c>
      <c r="B931" s="46">
        <v>1823000</v>
      </c>
      <c r="C931" s="46">
        <v>1039250</v>
      </c>
      <c r="D931" s="49">
        <f t="shared" ref="D931:D994" si="22">B931-C931</f>
        <v>783750</v>
      </c>
    </row>
    <row r="932" spans="1:4">
      <c r="A932" s="7" t="s">
        <v>739</v>
      </c>
      <c r="B932" s="46">
        <v>761000</v>
      </c>
      <c r="C932" s="46">
        <v>433813</v>
      </c>
      <c r="D932" s="49">
        <f t="shared" si="22"/>
        <v>327187</v>
      </c>
    </row>
    <row r="933" spans="1:4">
      <c r="A933" s="7" t="s">
        <v>740</v>
      </c>
      <c r="B933" s="46">
        <v>935000</v>
      </c>
      <c r="C933" s="46">
        <v>533012</v>
      </c>
      <c r="D933" s="49">
        <f t="shared" si="22"/>
        <v>401988</v>
      </c>
    </row>
    <row r="934" spans="1:4">
      <c r="A934" s="7" t="s">
        <v>741</v>
      </c>
      <c r="B934" s="46">
        <v>407000</v>
      </c>
      <c r="C934" s="46">
        <v>232022</v>
      </c>
      <c r="D934" s="49">
        <f t="shared" si="22"/>
        <v>174978</v>
      </c>
    </row>
    <row r="935" spans="1:4">
      <c r="A935" s="7" t="s">
        <v>742</v>
      </c>
      <c r="B935" s="46">
        <v>533000</v>
      </c>
      <c r="C935" s="46">
        <v>303843</v>
      </c>
      <c r="D935" s="49">
        <f t="shared" si="22"/>
        <v>229157</v>
      </c>
    </row>
    <row r="936" spans="1:4">
      <c r="A936" s="7" t="s">
        <v>743</v>
      </c>
      <c r="B936" s="46">
        <v>523000</v>
      </c>
      <c r="C936" s="46">
        <v>298147</v>
      </c>
      <c r="D936" s="49">
        <f t="shared" si="22"/>
        <v>224853</v>
      </c>
    </row>
    <row r="937" spans="1:4">
      <c r="A937" s="7" t="s">
        <v>744</v>
      </c>
      <c r="B937" s="46">
        <v>1432000</v>
      </c>
      <c r="C937" s="46">
        <v>816349</v>
      </c>
      <c r="D937" s="49">
        <f t="shared" si="22"/>
        <v>615651</v>
      </c>
    </row>
    <row r="938" spans="1:4">
      <c r="A938" s="7" t="s">
        <v>745</v>
      </c>
      <c r="B938" s="46">
        <v>508000</v>
      </c>
      <c r="C938" s="46">
        <v>289593</v>
      </c>
      <c r="D938" s="49">
        <f t="shared" si="22"/>
        <v>218407</v>
      </c>
    </row>
    <row r="939" spans="1:4">
      <c r="A939" s="7" t="str">
        <f>"Külter. 0146/1"</f>
        <v>Külter. 0146/1</v>
      </c>
      <c r="B939" s="46">
        <v>140000</v>
      </c>
      <c r="C939" s="46">
        <v>79812</v>
      </c>
      <c r="D939" s="49">
        <f t="shared" si="22"/>
        <v>60188</v>
      </c>
    </row>
    <row r="940" spans="1:4">
      <c r="A940" s="7" t="str">
        <f>"Külter. 0151/23"</f>
        <v>Külter. 0151/23</v>
      </c>
      <c r="B940" s="46">
        <v>116000</v>
      </c>
      <c r="C940" s="46">
        <v>66125</v>
      </c>
      <c r="D940" s="49">
        <f t="shared" si="22"/>
        <v>49875</v>
      </c>
    </row>
    <row r="941" spans="1:4">
      <c r="A941" s="7" t="str">
        <f>"Külter. 0203/30"</f>
        <v>Külter. 0203/30</v>
      </c>
      <c r="B941" s="46">
        <v>183000</v>
      </c>
      <c r="C941" s="46">
        <v>104319</v>
      </c>
      <c r="D941" s="49">
        <f t="shared" si="22"/>
        <v>78681</v>
      </c>
    </row>
    <row r="942" spans="1:4">
      <c r="A942" s="7" t="s">
        <v>746</v>
      </c>
      <c r="B942" s="46">
        <v>1261000</v>
      </c>
      <c r="C942" s="46">
        <v>718863</v>
      </c>
      <c r="D942" s="49">
        <f t="shared" si="22"/>
        <v>542137</v>
      </c>
    </row>
    <row r="943" spans="1:4">
      <c r="A943" s="7" t="s">
        <v>747</v>
      </c>
      <c r="B943" s="46">
        <v>381000</v>
      </c>
      <c r="C943" s="46">
        <v>217187</v>
      </c>
      <c r="D943" s="49">
        <f t="shared" si="22"/>
        <v>163813</v>
      </c>
    </row>
    <row r="944" spans="1:4">
      <c r="A944" s="7" t="str">
        <f>"Külter. 8601/31"</f>
        <v>Külter. 8601/31</v>
      </c>
      <c r="B944" s="46">
        <v>382000</v>
      </c>
      <c r="C944" s="46">
        <v>217772</v>
      </c>
      <c r="D944" s="49">
        <f t="shared" si="22"/>
        <v>164228</v>
      </c>
    </row>
    <row r="945" spans="1:4">
      <c r="A945" s="7" t="str">
        <f>"Külter. 8615/7"</f>
        <v>Külter. 8615/7</v>
      </c>
      <c r="B945" s="46">
        <v>139000</v>
      </c>
      <c r="C945" s="46">
        <v>79235</v>
      </c>
      <c r="D945" s="49">
        <f t="shared" si="22"/>
        <v>59765</v>
      </c>
    </row>
    <row r="946" spans="1:4">
      <c r="A946" s="7" t="s">
        <v>748</v>
      </c>
      <c r="B946" s="46">
        <v>21550</v>
      </c>
      <c r="C946" s="46">
        <v>12273</v>
      </c>
      <c r="D946" s="49">
        <f t="shared" si="22"/>
        <v>9277</v>
      </c>
    </row>
    <row r="947" spans="1:4">
      <c r="A947" s="7" t="s">
        <v>749</v>
      </c>
      <c r="B947" s="46">
        <v>7761959</v>
      </c>
      <c r="C947" s="46">
        <v>2057099</v>
      </c>
      <c r="D947" s="49">
        <f t="shared" si="22"/>
        <v>5704860</v>
      </c>
    </row>
    <row r="948" spans="1:4">
      <c r="A948" s="7" t="str">
        <f>"Május 1 út játszótér   3120/21"</f>
        <v>Május 1 út játszótér   3120/21</v>
      </c>
      <c r="B948" s="46">
        <v>4448974</v>
      </c>
      <c r="C948" s="46">
        <v>1393046</v>
      </c>
      <c r="D948" s="49">
        <f t="shared" si="22"/>
        <v>3055928</v>
      </c>
    </row>
    <row r="949" spans="1:4">
      <c r="A949" s="7" t="s">
        <v>750</v>
      </c>
      <c r="B949" s="46">
        <v>297090</v>
      </c>
      <c r="C949" s="46">
        <v>169560</v>
      </c>
      <c r="D949" s="49">
        <f t="shared" si="22"/>
        <v>127530</v>
      </c>
    </row>
    <row r="950" spans="1:4">
      <c r="A950" s="7" t="s">
        <v>751</v>
      </c>
      <c r="B950" s="46">
        <v>392910</v>
      </c>
      <c r="C950" s="46">
        <v>223982</v>
      </c>
      <c r="D950" s="49">
        <f t="shared" si="22"/>
        <v>168928</v>
      </c>
    </row>
    <row r="951" spans="1:4">
      <c r="A951" s="7" t="s">
        <v>752</v>
      </c>
      <c r="B951" s="46">
        <v>3724216</v>
      </c>
      <c r="C951" s="46">
        <v>1786012</v>
      </c>
      <c r="D951" s="49">
        <f t="shared" si="22"/>
        <v>1938204</v>
      </c>
    </row>
    <row r="952" spans="1:4">
      <c r="A952" s="7" t="s">
        <v>758</v>
      </c>
      <c r="B952" s="46">
        <v>1092500</v>
      </c>
      <c r="C952" s="46">
        <v>532681</v>
      </c>
      <c r="D952" s="49">
        <f t="shared" si="22"/>
        <v>559819</v>
      </c>
    </row>
    <row r="953" spans="1:4">
      <c r="A953" s="7" t="s">
        <v>759</v>
      </c>
      <c r="B953" s="46">
        <v>6875966</v>
      </c>
      <c r="C953" s="46">
        <v>3088752</v>
      </c>
      <c r="D953" s="49">
        <f t="shared" si="22"/>
        <v>3787214</v>
      </c>
    </row>
    <row r="954" spans="1:4">
      <c r="A954" s="7" t="s">
        <v>761</v>
      </c>
      <c r="B954" s="46">
        <v>221600</v>
      </c>
      <c r="C954" s="46">
        <v>99750</v>
      </c>
      <c r="D954" s="49">
        <f t="shared" si="22"/>
        <v>121850</v>
      </c>
    </row>
    <row r="955" spans="1:4">
      <c r="A955" s="7" t="str">
        <f>"Névtelen utca 344/9"</f>
        <v>Névtelen utca 344/9</v>
      </c>
      <c r="B955" s="46">
        <v>3489000</v>
      </c>
      <c r="C955" s="46">
        <v>1570625</v>
      </c>
      <c r="D955" s="49">
        <f t="shared" si="22"/>
        <v>1918375</v>
      </c>
    </row>
    <row r="956" spans="1:4">
      <c r="A956" s="7" t="s">
        <v>762</v>
      </c>
      <c r="B956" s="46">
        <v>15804000</v>
      </c>
      <c r="C956" s="46">
        <v>7114385</v>
      </c>
      <c r="D956" s="49">
        <f t="shared" si="22"/>
        <v>8689615</v>
      </c>
    </row>
    <row r="957" spans="1:4">
      <c r="A957" s="7" t="str">
        <f>"Árok 903/1"</f>
        <v>Árok 903/1</v>
      </c>
      <c r="B957" s="46">
        <v>89700</v>
      </c>
      <c r="C957" s="46">
        <v>40369</v>
      </c>
      <c r="D957" s="49">
        <f t="shared" si="22"/>
        <v>49331</v>
      </c>
    </row>
    <row r="958" spans="1:4">
      <c r="A958" s="7" t="str">
        <f>"Névtelen utca közt. 761/4"</f>
        <v>Névtelen utca közt. 761/4</v>
      </c>
      <c r="B958" s="46">
        <v>525000</v>
      </c>
      <c r="C958" s="46">
        <v>236335</v>
      </c>
      <c r="D958" s="49">
        <f t="shared" si="22"/>
        <v>288665</v>
      </c>
    </row>
    <row r="959" spans="1:4">
      <c r="A959" s="7" t="str">
        <f>"Közterület 765/71"</f>
        <v>Közterület 765/71</v>
      </c>
      <c r="B959" s="46">
        <v>31383000</v>
      </c>
      <c r="C959" s="46">
        <v>14127505</v>
      </c>
      <c r="D959" s="49">
        <f t="shared" si="22"/>
        <v>17255495</v>
      </c>
    </row>
    <row r="960" spans="1:4">
      <c r="A960" s="7" t="str">
        <f>"Út 8727/41"</f>
        <v>Út 8727/41</v>
      </c>
      <c r="B960" s="46">
        <v>1254000</v>
      </c>
      <c r="C960" s="46">
        <v>564494</v>
      </c>
      <c r="D960" s="49">
        <f t="shared" si="22"/>
        <v>689506</v>
      </c>
    </row>
    <row r="961" spans="1:4">
      <c r="A961" s="7" t="str">
        <f>"Közterület 673/3"</f>
        <v>Közterület 673/3</v>
      </c>
      <c r="B961" s="46">
        <v>7679000</v>
      </c>
      <c r="C961" s="46">
        <v>3456813</v>
      </c>
      <c r="D961" s="49">
        <f t="shared" si="22"/>
        <v>4222187</v>
      </c>
    </row>
    <row r="962" spans="1:4">
      <c r="A962" s="7" t="str">
        <f>"Út 8719/3"</f>
        <v>Út 8719/3</v>
      </c>
      <c r="B962" s="46">
        <v>576000</v>
      </c>
      <c r="C962" s="46">
        <v>259297</v>
      </c>
      <c r="D962" s="49">
        <f t="shared" si="22"/>
        <v>316703</v>
      </c>
    </row>
    <row r="963" spans="1:4">
      <c r="A963" s="7" t="s">
        <v>763</v>
      </c>
      <c r="B963" s="46">
        <v>1133125</v>
      </c>
      <c r="C963" s="46">
        <v>507383</v>
      </c>
      <c r="D963" s="49">
        <f t="shared" si="22"/>
        <v>625742</v>
      </c>
    </row>
    <row r="964" spans="1:4">
      <c r="A964" s="7" t="s">
        <v>764</v>
      </c>
      <c r="B964" s="46">
        <v>1284375</v>
      </c>
      <c r="C964" s="46">
        <v>576580</v>
      </c>
      <c r="D964" s="49">
        <f t="shared" si="22"/>
        <v>707795</v>
      </c>
    </row>
    <row r="965" spans="1:4">
      <c r="A965" s="7" t="s">
        <v>768</v>
      </c>
      <c r="B965" s="46">
        <v>32904130</v>
      </c>
      <c r="C965" s="46">
        <v>15273964</v>
      </c>
      <c r="D965" s="49">
        <f t="shared" si="22"/>
        <v>17630166</v>
      </c>
    </row>
    <row r="966" spans="1:4">
      <c r="A966" s="7" t="s">
        <v>769</v>
      </c>
      <c r="B966" s="46">
        <v>68140694</v>
      </c>
      <c r="C966" s="46">
        <v>37191112</v>
      </c>
      <c r="D966" s="49">
        <f t="shared" si="22"/>
        <v>30949582</v>
      </c>
    </row>
    <row r="967" spans="1:4">
      <c r="A967" s="7" t="s">
        <v>770</v>
      </c>
      <c r="B967" s="46">
        <v>25044000</v>
      </c>
      <c r="C967" s="46">
        <v>14089814</v>
      </c>
      <c r="D967" s="49">
        <f t="shared" si="22"/>
        <v>10954186</v>
      </c>
    </row>
    <row r="968" spans="1:4">
      <c r="A968" s="7" t="s">
        <v>771</v>
      </c>
      <c r="B968" s="46">
        <v>34434652</v>
      </c>
      <c r="C968" s="46">
        <v>14398240</v>
      </c>
      <c r="D968" s="49">
        <f t="shared" si="22"/>
        <v>20036412</v>
      </c>
    </row>
    <row r="969" spans="1:4">
      <c r="A969" s="7" t="s">
        <v>772</v>
      </c>
      <c r="B969" s="46">
        <v>2216000</v>
      </c>
      <c r="C969" s="46">
        <v>1246723</v>
      </c>
      <c r="D969" s="49">
        <f t="shared" si="22"/>
        <v>969277</v>
      </c>
    </row>
    <row r="970" spans="1:4">
      <c r="A970" s="7" t="s">
        <v>773</v>
      </c>
      <c r="B970" s="46">
        <v>2364000</v>
      </c>
      <c r="C970" s="46">
        <v>1329988</v>
      </c>
      <c r="D970" s="49">
        <f t="shared" si="22"/>
        <v>1034012</v>
      </c>
    </row>
    <row r="971" spans="1:4">
      <c r="A971" s="7" t="s">
        <v>774</v>
      </c>
      <c r="B971" s="46">
        <v>2600000</v>
      </c>
      <c r="C971" s="46">
        <v>1462761</v>
      </c>
      <c r="D971" s="49">
        <f t="shared" si="22"/>
        <v>1137239</v>
      </c>
    </row>
    <row r="972" spans="1:4">
      <c r="A972" s="7" t="s">
        <v>775</v>
      </c>
      <c r="B972" s="46">
        <v>14476420</v>
      </c>
      <c r="C972" s="46">
        <v>5006970</v>
      </c>
      <c r="D972" s="49">
        <f t="shared" si="22"/>
        <v>9469450</v>
      </c>
    </row>
    <row r="973" spans="1:4">
      <c r="A973" s="7" t="s">
        <v>776</v>
      </c>
      <c r="B973" s="46">
        <v>20042590</v>
      </c>
      <c r="C973" s="46">
        <v>10256575</v>
      </c>
      <c r="D973" s="49">
        <f t="shared" si="22"/>
        <v>9786015</v>
      </c>
    </row>
    <row r="974" spans="1:4">
      <c r="A974" s="7" t="s">
        <v>777</v>
      </c>
      <c r="B974" s="46">
        <v>33406148</v>
      </c>
      <c r="C974" s="46">
        <v>17095224</v>
      </c>
      <c r="D974" s="49">
        <f t="shared" si="22"/>
        <v>16310924</v>
      </c>
    </row>
    <row r="975" spans="1:4">
      <c r="A975" s="7" t="str">
        <f>"Régimalom út            351/28"</f>
        <v>Régimalom út            351/28</v>
      </c>
      <c r="B975" s="46">
        <v>16048835</v>
      </c>
      <c r="C975" s="46">
        <v>8583941</v>
      </c>
      <c r="D975" s="49">
        <f t="shared" si="22"/>
        <v>7464894</v>
      </c>
    </row>
    <row r="976" spans="1:4">
      <c r="A976" s="7" t="s">
        <v>778</v>
      </c>
      <c r="B976" s="46">
        <v>10726000</v>
      </c>
      <c r="C976" s="46">
        <v>6034469</v>
      </c>
      <c r="D976" s="49">
        <f t="shared" si="22"/>
        <v>4691531</v>
      </c>
    </row>
    <row r="977" spans="1:4">
      <c r="A977" s="7" t="str">
        <f>"Ipolypart út            384/1"</f>
        <v>Ipolypart út            384/1</v>
      </c>
      <c r="B977" s="46">
        <v>49434359</v>
      </c>
      <c r="C977" s="46">
        <v>20910898</v>
      </c>
      <c r="D977" s="49">
        <f t="shared" si="22"/>
        <v>28523461</v>
      </c>
    </row>
    <row r="978" spans="1:4">
      <c r="A978" s="7" t="str">
        <f>"Ipolypart út            658/2"</f>
        <v>Ipolypart út            658/2</v>
      </c>
      <c r="B978" s="46">
        <v>7718000</v>
      </c>
      <c r="C978" s="46">
        <v>4379721</v>
      </c>
      <c r="D978" s="49">
        <f t="shared" si="22"/>
        <v>3338279</v>
      </c>
    </row>
    <row r="979" spans="1:4">
      <c r="A979" s="7" t="s">
        <v>779</v>
      </c>
      <c r="B979" s="46">
        <v>5145000</v>
      </c>
      <c r="C979" s="46">
        <v>2919623</v>
      </c>
      <c r="D979" s="49">
        <f t="shared" si="22"/>
        <v>2225377</v>
      </c>
    </row>
    <row r="980" spans="1:4">
      <c r="A980" s="7" t="s">
        <v>780</v>
      </c>
      <c r="B980" s="46">
        <v>3957000</v>
      </c>
      <c r="C980" s="46">
        <v>2226205</v>
      </c>
      <c r="D980" s="49">
        <f t="shared" si="22"/>
        <v>1730795</v>
      </c>
    </row>
    <row r="981" spans="1:4">
      <c r="A981" s="7" t="s">
        <v>781</v>
      </c>
      <c r="B981" s="46">
        <v>4942000</v>
      </c>
      <c r="C981" s="46">
        <v>2780378</v>
      </c>
      <c r="D981" s="49">
        <f t="shared" si="22"/>
        <v>2161622</v>
      </c>
    </row>
    <row r="982" spans="1:4">
      <c r="A982" s="7" t="str">
        <f>"Móra F.út                  1840/101"</f>
        <v>Móra F.út                  1840/101</v>
      </c>
      <c r="B982" s="46">
        <v>15286166</v>
      </c>
      <c r="C982" s="46">
        <v>8685623</v>
      </c>
      <c r="D982" s="49">
        <f t="shared" si="22"/>
        <v>6600543</v>
      </c>
    </row>
    <row r="983" spans="1:4">
      <c r="A983" s="7" t="str">
        <f>"Pozsonyi utca              1841/2"</f>
        <v>Pozsonyi utca              1841/2</v>
      </c>
      <c r="B983" s="46">
        <v>6803000</v>
      </c>
      <c r="C983" s="46">
        <v>3827385</v>
      </c>
      <c r="D983" s="49">
        <f t="shared" si="22"/>
        <v>2975615</v>
      </c>
    </row>
    <row r="984" spans="1:4">
      <c r="A984" s="7" t="str">
        <f>"Kerámia mögötti út         1842/3"</f>
        <v>Kerámia mögötti út         1842/3</v>
      </c>
      <c r="B984" s="46">
        <v>4878000</v>
      </c>
      <c r="C984" s="46">
        <v>2744375</v>
      </c>
      <c r="D984" s="49">
        <f t="shared" si="22"/>
        <v>2133625</v>
      </c>
    </row>
    <row r="985" spans="1:4">
      <c r="A985" s="7" t="s">
        <v>782</v>
      </c>
      <c r="B985" s="46">
        <v>2403600</v>
      </c>
      <c r="C985" s="46">
        <v>1352266</v>
      </c>
      <c r="D985" s="49">
        <f t="shared" si="22"/>
        <v>1051334</v>
      </c>
    </row>
    <row r="986" spans="1:4">
      <c r="A986" s="7" t="s">
        <v>783</v>
      </c>
      <c r="B986" s="46">
        <v>3320150</v>
      </c>
      <c r="C986" s="46">
        <v>1880197</v>
      </c>
      <c r="D986" s="49">
        <f t="shared" si="22"/>
        <v>1439953</v>
      </c>
    </row>
    <row r="987" spans="1:4">
      <c r="A987" s="7" t="s">
        <v>784</v>
      </c>
      <c r="B987" s="46">
        <v>43683792</v>
      </c>
      <c r="C987" s="46">
        <v>22741689</v>
      </c>
      <c r="D987" s="49">
        <f t="shared" si="22"/>
        <v>20942103</v>
      </c>
    </row>
    <row r="988" spans="1:4">
      <c r="A988" s="7" t="str">
        <f>"Május 1. út                1840/41"</f>
        <v>Május 1. út                1840/41</v>
      </c>
      <c r="B988" s="46">
        <v>13352001</v>
      </c>
      <c r="C988" s="46">
        <v>6975307</v>
      </c>
      <c r="D988" s="49">
        <f t="shared" si="22"/>
        <v>6376694</v>
      </c>
    </row>
    <row r="989" spans="1:4">
      <c r="A989" s="7" t="s">
        <v>785</v>
      </c>
      <c r="B989" s="46">
        <v>16011821</v>
      </c>
      <c r="C989" s="46">
        <v>8364852</v>
      </c>
      <c r="D989" s="49">
        <f t="shared" si="22"/>
        <v>7646969</v>
      </c>
    </row>
    <row r="990" spans="1:4">
      <c r="A990" s="7" t="s">
        <v>786</v>
      </c>
      <c r="B990" s="46">
        <v>9287959</v>
      </c>
      <c r="C990" s="46">
        <v>4852174</v>
      </c>
      <c r="D990" s="49">
        <f t="shared" si="22"/>
        <v>4435785</v>
      </c>
    </row>
    <row r="991" spans="1:4">
      <c r="A991" s="7" t="s">
        <v>787</v>
      </c>
      <c r="B991" s="46">
        <v>6437900</v>
      </c>
      <c r="C991" s="46">
        <v>3621970</v>
      </c>
      <c r="D991" s="49">
        <f t="shared" si="22"/>
        <v>2815930</v>
      </c>
    </row>
    <row r="992" spans="1:4">
      <c r="A992" s="7" t="s">
        <v>788</v>
      </c>
      <c r="B992" s="46">
        <v>3770000</v>
      </c>
      <c r="C992" s="46">
        <v>1991439</v>
      </c>
      <c r="D992" s="49">
        <f t="shared" si="22"/>
        <v>1778561</v>
      </c>
    </row>
    <row r="993" spans="1:4">
      <c r="A993" s="7" t="s">
        <v>789</v>
      </c>
      <c r="B993" s="46">
        <v>10559000</v>
      </c>
      <c r="C993" s="46">
        <v>5940514</v>
      </c>
      <c r="D993" s="49">
        <f t="shared" si="22"/>
        <v>4618486</v>
      </c>
    </row>
    <row r="994" spans="1:4">
      <c r="A994" s="7" t="s">
        <v>790</v>
      </c>
      <c r="B994" s="46">
        <v>4743000</v>
      </c>
      <c r="C994" s="46">
        <v>2668419</v>
      </c>
      <c r="D994" s="49">
        <f t="shared" si="22"/>
        <v>2074581</v>
      </c>
    </row>
    <row r="995" spans="1:4">
      <c r="A995" s="7" t="str">
        <f>"Névtelen út /szügyi u párh./  1970"</f>
        <v>Névtelen út /szügyi u párh./  1970</v>
      </c>
      <c r="B995" s="46">
        <v>1118000</v>
      </c>
      <c r="C995" s="46">
        <v>770751</v>
      </c>
      <c r="D995" s="49">
        <f t="shared" ref="D995:D1049" si="23">B995-C995</f>
        <v>347249</v>
      </c>
    </row>
    <row r="996" spans="1:4">
      <c r="A996" s="7" t="str">
        <f>"Névtelen út /szügyi tér/  1973"</f>
        <v>Névtelen út /szügyi tér/  1973</v>
      </c>
      <c r="B996" s="46">
        <v>7453000</v>
      </c>
      <c r="C996" s="46">
        <v>4193138</v>
      </c>
      <c r="D996" s="49">
        <f t="shared" si="23"/>
        <v>3259862</v>
      </c>
    </row>
    <row r="997" spans="1:4">
      <c r="A997" s="7" t="s">
        <v>791</v>
      </c>
      <c r="B997" s="46">
        <v>12026600</v>
      </c>
      <c r="C997" s="46">
        <v>6766189</v>
      </c>
      <c r="D997" s="49">
        <f t="shared" si="23"/>
        <v>5260411</v>
      </c>
    </row>
    <row r="998" spans="1:4">
      <c r="A998" s="7" t="s">
        <v>792</v>
      </c>
      <c r="B998" s="46">
        <v>5637400</v>
      </c>
      <c r="C998" s="46">
        <v>3171613</v>
      </c>
      <c r="D998" s="49">
        <f t="shared" si="23"/>
        <v>2465787</v>
      </c>
    </row>
    <row r="999" spans="1:4">
      <c r="A999" s="7" t="s">
        <v>793</v>
      </c>
      <c r="B999" s="46">
        <v>1820700</v>
      </c>
      <c r="C999" s="46">
        <v>1024317</v>
      </c>
      <c r="D999" s="49">
        <f t="shared" si="23"/>
        <v>796383</v>
      </c>
    </row>
    <row r="1000" spans="1:4">
      <c r="A1000" s="7" t="s">
        <v>794</v>
      </c>
      <c r="B1000" s="46">
        <v>1637300</v>
      </c>
      <c r="C1000" s="46">
        <v>921155</v>
      </c>
      <c r="D1000" s="49">
        <f t="shared" si="23"/>
        <v>716145</v>
      </c>
    </row>
    <row r="1001" spans="1:4">
      <c r="A1001" s="7" t="s">
        <v>795</v>
      </c>
      <c r="B1001" s="46">
        <v>37873128</v>
      </c>
      <c r="C1001" s="46">
        <v>19635555</v>
      </c>
      <c r="D1001" s="49">
        <f t="shared" si="23"/>
        <v>18237573</v>
      </c>
    </row>
    <row r="1002" spans="1:4">
      <c r="A1002" s="7" t="s">
        <v>796</v>
      </c>
      <c r="B1002" s="46">
        <v>12160188</v>
      </c>
      <c r="C1002" s="46">
        <v>6403003</v>
      </c>
      <c r="D1002" s="49">
        <f t="shared" si="23"/>
        <v>5757185</v>
      </c>
    </row>
    <row r="1003" spans="1:4">
      <c r="A1003" s="7" t="s">
        <v>797</v>
      </c>
      <c r="B1003" s="46">
        <v>20387370</v>
      </c>
      <c r="C1003" s="46">
        <v>10735061</v>
      </c>
      <c r="D1003" s="49">
        <f t="shared" si="23"/>
        <v>9652309</v>
      </c>
    </row>
    <row r="1004" spans="1:4">
      <c r="A1004" s="7" t="s">
        <v>798</v>
      </c>
      <c r="B1004" s="46">
        <v>15342511</v>
      </c>
      <c r="C1004" s="46">
        <v>8078682</v>
      </c>
      <c r="D1004" s="49">
        <f t="shared" si="23"/>
        <v>7263829</v>
      </c>
    </row>
    <row r="1005" spans="1:4">
      <c r="A1005" s="7" t="s">
        <v>799</v>
      </c>
      <c r="B1005" s="46">
        <v>28933778</v>
      </c>
      <c r="C1005" s="46">
        <v>14829276</v>
      </c>
      <c r="D1005" s="49">
        <f t="shared" si="23"/>
        <v>14104502</v>
      </c>
    </row>
    <row r="1006" spans="1:4">
      <c r="A1006" s="7" t="s">
        <v>800</v>
      </c>
      <c r="B1006" s="46">
        <v>4071293</v>
      </c>
      <c r="C1006" s="46">
        <v>2086640</v>
      </c>
      <c r="D1006" s="49">
        <f t="shared" si="23"/>
        <v>1984653</v>
      </c>
    </row>
    <row r="1007" spans="1:4">
      <c r="A1007" s="7" t="s">
        <v>801</v>
      </c>
      <c r="B1007" s="46">
        <v>16824000</v>
      </c>
      <c r="C1007" s="46">
        <v>9465224</v>
      </c>
      <c r="D1007" s="49">
        <f t="shared" si="23"/>
        <v>7358776</v>
      </c>
    </row>
    <row r="1008" spans="1:4">
      <c r="A1008" s="7" t="s">
        <v>802</v>
      </c>
      <c r="B1008" s="46">
        <v>11952400</v>
      </c>
      <c r="C1008" s="46">
        <v>6724447</v>
      </c>
      <c r="D1008" s="49">
        <f t="shared" si="23"/>
        <v>5227953</v>
      </c>
    </row>
    <row r="1009" spans="1:4">
      <c r="A1009" s="7" t="s">
        <v>803</v>
      </c>
      <c r="B1009" s="46">
        <v>17305600</v>
      </c>
      <c r="C1009" s="46">
        <v>9736172</v>
      </c>
      <c r="D1009" s="49">
        <f t="shared" si="23"/>
        <v>7569428</v>
      </c>
    </row>
    <row r="1010" spans="1:4">
      <c r="A1010" s="7" t="s">
        <v>804</v>
      </c>
      <c r="B1010" s="46">
        <v>1650000</v>
      </c>
      <c r="C1010" s="46">
        <v>928290</v>
      </c>
      <c r="D1010" s="49">
        <f t="shared" si="23"/>
        <v>721710</v>
      </c>
    </row>
    <row r="1011" spans="1:4">
      <c r="A1011" s="7" t="s">
        <v>805</v>
      </c>
      <c r="B1011" s="46">
        <v>4055822</v>
      </c>
      <c r="C1011" s="46">
        <v>1256045</v>
      </c>
      <c r="D1011" s="49">
        <f t="shared" si="23"/>
        <v>2799777</v>
      </c>
    </row>
    <row r="1012" spans="1:4">
      <c r="A1012" s="7" t="s">
        <v>806</v>
      </c>
      <c r="B1012" s="46">
        <v>1873000</v>
      </c>
      <c r="C1012" s="46">
        <v>1053750</v>
      </c>
      <c r="D1012" s="49">
        <f t="shared" si="23"/>
        <v>819250</v>
      </c>
    </row>
    <row r="1013" spans="1:4">
      <c r="A1013" s="7" t="s">
        <v>807</v>
      </c>
      <c r="B1013" s="46">
        <v>1770000</v>
      </c>
      <c r="C1013" s="46">
        <v>995804</v>
      </c>
      <c r="D1013" s="49">
        <f t="shared" si="23"/>
        <v>774196</v>
      </c>
    </row>
    <row r="1014" spans="1:4">
      <c r="A1014" s="7" t="s">
        <v>808</v>
      </c>
      <c r="B1014" s="46">
        <v>6377474</v>
      </c>
      <c r="C1014" s="46">
        <v>3653491</v>
      </c>
      <c r="D1014" s="49">
        <f t="shared" si="23"/>
        <v>2723983</v>
      </c>
    </row>
    <row r="1015" spans="1:4">
      <c r="A1015" s="7" t="s">
        <v>809</v>
      </c>
      <c r="B1015" s="46">
        <v>2136000</v>
      </c>
      <c r="C1015" s="46">
        <v>1201723</v>
      </c>
      <c r="D1015" s="49">
        <f t="shared" si="23"/>
        <v>934277</v>
      </c>
    </row>
    <row r="1016" spans="1:4">
      <c r="A1016" s="7" t="s">
        <v>810</v>
      </c>
      <c r="B1016" s="46">
        <v>1757000</v>
      </c>
      <c r="C1016" s="46">
        <v>988486</v>
      </c>
      <c r="D1016" s="49">
        <f t="shared" si="23"/>
        <v>768514</v>
      </c>
    </row>
    <row r="1017" spans="1:4">
      <c r="A1017" s="7" t="s">
        <v>811</v>
      </c>
      <c r="B1017" s="46">
        <v>1776000</v>
      </c>
      <c r="C1017" s="46">
        <v>999176</v>
      </c>
      <c r="D1017" s="49">
        <f t="shared" si="23"/>
        <v>776824</v>
      </c>
    </row>
    <row r="1018" spans="1:4">
      <c r="A1018" s="7" t="s">
        <v>812</v>
      </c>
      <c r="B1018" s="46">
        <v>3770027</v>
      </c>
      <c r="C1018" s="46">
        <v>718923</v>
      </c>
      <c r="D1018" s="49">
        <f t="shared" si="23"/>
        <v>3051104</v>
      </c>
    </row>
    <row r="1019" spans="1:4">
      <c r="A1019" s="7" t="s">
        <v>813</v>
      </c>
      <c r="B1019" s="46">
        <v>2542000</v>
      </c>
      <c r="C1019" s="46">
        <v>1430137</v>
      </c>
      <c r="D1019" s="49">
        <f t="shared" si="23"/>
        <v>1111863</v>
      </c>
    </row>
    <row r="1020" spans="1:4">
      <c r="A1020" s="7" t="s">
        <v>814</v>
      </c>
      <c r="B1020" s="46">
        <v>1507000</v>
      </c>
      <c r="C1020" s="46">
        <v>847836</v>
      </c>
      <c r="D1020" s="49">
        <f t="shared" si="23"/>
        <v>659164</v>
      </c>
    </row>
    <row r="1021" spans="1:4">
      <c r="A1021" s="7" t="s">
        <v>815</v>
      </c>
      <c r="B1021" s="46">
        <v>1193000</v>
      </c>
      <c r="C1021" s="46">
        <v>671180</v>
      </c>
      <c r="D1021" s="49">
        <f t="shared" si="23"/>
        <v>521820</v>
      </c>
    </row>
    <row r="1022" spans="1:4">
      <c r="A1022" s="7" t="s">
        <v>816</v>
      </c>
      <c r="B1022" s="46">
        <v>1800000</v>
      </c>
      <c r="C1022" s="46">
        <v>1012680</v>
      </c>
      <c r="D1022" s="49">
        <f t="shared" si="23"/>
        <v>787320</v>
      </c>
    </row>
    <row r="1023" spans="1:4">
      <c r="A1023" s="7" t="s">
        <v>817</v>
      </c>
      <c r="B1023" s="46">
        <v>2260000</v>
      </c>
      <c r="C1023" s="46">
        <v>1271477</v>
      </c>
      <c r="D1023" s="49">
        <f t="shared" si="23"/>
        <v>988523</v>
      </c>
    </row>
    <row r="1024" spans="1:4">
      <c r="A1024" s="7" t="s">
        <v>818</v>
      </c>
      <c r="B1024" s="46">
        <v>1423000</v>
      </c>
      <c r="C1024" s="46">
        <v>800572</v>
      </c>
      <c r="D1024" s="49">
        <f t="shared" si="23"/>
        <v>622428</v>
      </c>
    </row>
    <row r="1025" spans="1:4">
      <c r="A1025" s="7" t="s">
        <v>819</v>
      </c>
      <c r="B1025" s="46">
        <v>4530000</v>
      </c>
      <c r="C1025" s="46">
        <v>2548584</v>
      </c>
      <c r="D1025" s="49">
        <f t="shared" si="23"/>
        <v>1981416</v>
      </c>
    </row>
    <row r="1026" spans="1:4">
      <c r="A1026" s="7" t="s">
        <v>820</v>
      </c>
      <c r="B1026" s="46">
        <v>2503000</v>
      </c>
      <c r="C1026" s="46">
        <v>1408190</v>
      </c>
      <c r="D1026" s="49">
        <f t="shared" si="23"/>
        <v>1094810</v>
      </c>
    </row>
    <row r="1027" spans="1:4">
      <c r="A1027" s="7" t="s">
        <v>821</v>
      </c>
      <c r="B1027" s="46">
        <v>1731000</v>
      </c>
      <c r="C1027" s="46">
        <v>973860</v>
      </c>
      <c r="D1027" s="49">
        <f t="shared" si="23"/>
        <v>757140</v>
      </c>
    </row>
    <row r="1028" spans="1:4">
      <c r="A1028" s="7" t="s">
        <v>822</v>
      </c>
      <c r="B1028" s="46">
        <v>2254720</v>
      </c>
      <c r="C1028" s="46">
        <v>1281339</v>
      </c>
      <c r="D1028" s="49">
        <f t="shared" si="23"/>
        <v>973381</v>
      </c>
    </row>
    <row r="1029" spans="1:4">
      <c r="A1029" s="7" t="s">
        <v>823</v>
      </c>
      <c r="B1029" s="46">
        <v>7297000</v>
      </c>
      <c r="C1029" s="46">
        <v>4105305</v>
      </c>
      <c r="D1029" s="49">
        <f t="shared" si="23"/>
        <v>3191695</v>
      </c>
    </row>
    <row r="1030" spans="1:4">
      <c r="A1030" s="7" t="s">
        <v>824</v>
      </c>
      <c r="B1030" s="46">
        <v>3286000</v>
      </c>
      <c r="C1030" s="46">
        <v>1848708</v>
      </c>
      <c r="D1030" s="49">
        <f t="shared" si="23"/>
        <v>1437292</v>
      </c>
    </row>
    <row r="1031" spans="1:4">
      <c r="A1031" s="7" t="s">
        <v>825</v>
      </c>
      <c r="B1031" s="46">
        <v>3465000</v>
      </c>
      <c r="C1031" s="46">
        <v>1949414</v>
      </c>
      <c r="D1031" s="49">
        <f t="shared" si="23"/>
        <v>1515586</v>
      </c>
    </row>
    <row r="1032" spans="1:4">
      <c r="A1032" s="7" t="s">
        <v>827</v>
      </c>
      <c r="B1032" s="46">
        <v>6947800</v>
      </c>
      <c r="C1032" s="46">
        <v>3908848</v>
      </c>
      <c r="D1032" s="49">
        <f t="shared" si="23"/>
        <v>3038952</v>
      </c>
    </row>
    <row r="1033" spans="1:4">
      <c r="A1033" s="7" t="s">
        <v>828</v>
      </c>
      <c r="B1033" s="46">
        <v>11727600</v>
      </c>
      <c r="C1033" s="46">
        <v>6729453</v>
      </c>
      <c r="D1033" s="49">
        <f t="shared" si="23"/>
        <v>4998147</v>
      </c>
    </row>
    <row r="1034" spans="1:4">
      <c r="A1034" s="7" t="str">
        <f>"Domb út                    2689/7"</f>
        <v>Domb út                    2689/7</v>
      </c>
      <c r="B1034" s="46">
        <v>670800</v>
      </c>
      <c r="C1034" s="46">
        <v>377382</v>
      </c>
      <c r="D1034" s="49">
        <f t="shared" si="23"/>
        <v>293418</v>
      </c>
    </row>
    <row r="1035" spans="1:4">
      <c r="A1035" s="7" t="str">
        <f>"Esze T.út                  1236/12"</f>
        <v>Esze T.út                  1236/12</v>
      </c>
      <c r="B1035" s="46">
        <v>2777621</v>
      </c>
      <c r="C1035" s="46">
        <v>1454118</v>
      </c>
      <c r="D1035" s="49">
        <f t="shared" si="23"/>
        <v>1323503</v>
      </c>
    </row>
    <row r="1036" spans="1:4">
      <c r="A1036" s="7" t="s">
        <v>856</v>
      </c>
      <c r="B1036" s="46">
        <v>624167</v>
      </c>
      <c r="C1036" s="46">
        <v>43672</v>
      </c>
      <c r="D1036" s="49">
        <f t="shared" si="23"/>
        <v>580495</v>
      </c>
    </row>
    <row r="1037" spans="1:4">
      <c r="A1037" s="7" t="s">
        <v>857</v>
      </c>
      <c r="B1037" s="46">
        <v>1908680</v>
      </c>
      <c r="C1037" s="46">
        <v>125817</v>
      </c>
      <c r="D1037" s="49">
        <f t="shared" si="23"/>
        <v>1782863</v>
      </c>
    </row>
    <row r="1038" spans="1:4">
      <c r="A1038" s="7" t="str">
        <f>"3161/12 hrsz út kialakítás"</f>
        <v>3161/12 hrsz út kialakítás</v>
      </c>
      <c r="B1038" s="46">
        <v>76000</v>
      </c>
      <c r="C1038" s="46">
        <v>5010</v>
      </c>
      <c r="D1038" s="49">
        <f t="shared" si="23"/>
        <v>70990</v>
      </c>
    </row>
    <row r="1039" spans="1:4">
      <c r="A1039" s="7" t="s">
        <v>860</v>
      </c>
      <c r="B1039" s="46">
        <v>7646714</v>
      </c>
      <c r="C1039" s="46">
        <v>369670</v>
      </c>
      <c r="D1039" s="49">
        <f t="shared" si="23"/>
        <v>7277044</v>
      </c>
    </row>
    <row r="1040" spans="1:4">
      <c r="A1040" s="7" t="s">
        <v>861</v>
      </c>
      <c r="B1040" s="46">
        <v>3700000</v>
      </c>
      <c r="C1040" s="46">
        <v>194833</v>
      </c>
      <c r="D1040" s="49">
        <f t="shared" si="23"/>
        <v>3505167</v>
      </c>
    </row>
    <row r="1041" spans="1:4">
      <c r="A1041" s="7" t="s">
        <v>867</v>
      </c>
      <c r="B1041" s="46">
        <v>3431893</v>
      </c>
      <c r="C1041" s="46">
        <v>122837</v>
      </c>
      <c r="D1041" s="49">
        <f t="shared" si="23"/>
        <v>3309056</v>
      </c>
    </row>
    <row r="1042" spans="1:4">
      <c r="A1042" s="7" t="s">
        <v>868</v>
      </c>
      <c r="B1042" s="46">
        <v>2362205</v>
      </c>
      <c r="C1042" s="46">
        <v>98371</v>
      </c>
      <c r="D1042" s="49">
        <f t="shared" si="23"/>
        <v>2263834</v>
      </c>
    </row>
    <row r="1043" spans="1:4">
      <c r="A1043" s="7" t="s">
        <v>872</v>
      </c>
      <c r="B1043" s="46">
        <v>78520524</v>
      </c>
      <c r="C1043" s="46">
        <v>6490096</v>
      </c>
      <c r="D1043" s="49">
        <f t="shared" si="23"/>
        <v>72030428</v>
      </c>
    </row>
    <row r="1044" spans="1:4">
      <c r="A1044" s="7" t="s">
        <v>874</v>
      </c>
      <c r="B1044" s="46">
        <v>335551557</v>
      </c>
      <c r="C1044" s="46">
        <v>27734946</v>
      </c>
      <c r="D1044" s="49">
        <f t="shared" si="23"/>
        <v>307816611</v>
      </c>
    </row>
    <row r="1045" spans="1:4">
      <c r="A1045" s="7" t="s">
        <v>892</v>
      </c>
      <c r="B1045" s="46">
        <v>65704696</v>
      </c>
      <c r="C1045" s="46">
        <v>1976528</v>
      </c>
      <c r="D1045" s="49">
        <f t="shared" si="23"/>
        <v>63728168</v>
      </c>
    </row>
    <row r="1046" spans="1:4">
      <c r="A1046" s="7" t="s">
        <v>961</v>
      </c>
      <c r="B1046" s="46">
        <v>1546078</v>
      </c>
      <c r="C1046" s="46">
        <v>54367</v>
      </c>
      <c r="D1046" s="49">
        <f t="shared" si="23"/>
        <v>1491711</v>
      </c>
    </row>
    <row r="1047" spans="1:4">
      <c r="A1047" s="7" t="s">
        <v>962</v>
      </c>
      <c r="B1047" s="46">
        <v>5163378</v>
      </c>
      <c r="C1047" s="46">
        <v>181565</v>
      </c>
      <c r="D1047" s="49">
        <f t="shared" si="23"/>
        <v>4981813</v>
      </c>
    </row>
    <row r="1048" spans="1:4">
      <c r="A1048" s="7" t="s">
        <v>969</v>
      </c>
      <c r="B1048" s="46">
        <v>2297236</v>
      </c>
      <c r="C1048" s="46">
        <v>41122</v>
      </c>
      <c r="D1048" s="49">
        <f t="shared" si="23"/>
        <v>2256114</v>
      </c>
    </row>
    <row r="1049" spans="1:4">
      <c r="A1049" s="7" t="s">
        <v>1490</v>
      </c>
      <c r="B1049" s="46">
        <v>9507142</v>
      </c>
      <c r="C1049" s="46" t="str">
        <f>"0"</f>
        <v>0</v>
      </c>
      <c r="D1049" s="49">
        <f t="shared" si="23"/>
        <v>9507142</v>
      </c>
    </row>
    <row r="1050" spans="1:4">
      <c r="A1050" s="7" t="s">
        <v>686</v>
      </c>
      <c r="B1050" s="46">
        <v>95736</v>
      </c>
      <c r="C1050" s="46">
        <v>95736</v>
      </c>
      <c r="D1050" s="49">
        <f t="shared" ref="D1050" si="24">B1050-C1050</f>
        <v>0</v>
      </c>
    </row>
    <row r="1051" spans="1:4">
      <c r="A1051" s="10" t="s">
        <v>2071</v>
      </c>
      <c r="B1051" s="11">
        <f>SUM(B570:B1050)</f>
        <v>4713455055</v>
      </c>
      <c r="C1051" s="11">
        <f t="shared" ref="C1051:D1051" si="25">SUM(C570:C1050)</f>
        <v>2046580088</v>
      </c>
      <c r="D1051" s="52">
        <f t="shared" si="25"/>
        <v>2666874967</v>
      </c>
    </row>
    <row r="1052" spans="1:4">
      <c r="A1052" s="53" t="s">
        <v>2077</v>
      </c>
      <c r="B1052" s="46">
        <v>3736005</v>
      </c>
      <c r="C1052" s="46"/>
      <c r="D1052" s="49">
        <f t="shared" ref="D1052:D1091" si="26">B1052-C1052</f>
        <v>3736005</v>
      </c>
    </row>
    <row r="1053" spans="1:4">
      <c r="A1053" s="53" t="s">
        <v>2078</v>
      </c>
      <c r="B1053" s="46">
        <v>2611010</v>
      </c>
      <c r="C1053" s="46"/>
      <c r="D1053" s="49">
        <f t="shared" si="26"/>
        <v>2611010</v>
      </c>
    </row>
    <row r="1054" spans="1:4">
      <c r="A1054" s="53" t="s">
        <v>2080</v>
      </c>
      <c r="B1054" s="46">
        <v>3121000</v>
      </c>
      <c r="C1054" s="46"/>
      <c r="D1054" s="49">
        <f t="shared" si="26"/>
        <v>3121000</v>
      </c>
    </row>
    <row r="1055" spans="1:4">
      <c r="A1055" s="53" t="s">
        <v>2094</v>
      </c>
      <c r="B1055" s="46">
        <v>850000</v>
      </c>
      <c r="C1055" s="46"/>
      <c r="D1055" s="49">
        <f t="shared" si="26"/>
        <v>850000</v>
      </c>
    </row>
    <row r="1056" spans="1:4">
      <c r="A1056" s="10" t="s">
        <v>2095</v>
      </c>
      <c r="B1056" s="11">
        <f>SUM(B1052:B1055)</f>
        <v>10318015</v>
      </c>
      <c r="C1056" s="11">
        <f t="shared" ref="C1056:D1056" si="27">SUM(C1052:C1055)</f>
        <v>0</v>
      </c>
      <c r="D1056" s="52">
        <f t="shared" si="27"/>
        <v>10318015</v>
      </c>
    </row>
    <row r="1057" spans="1:4">
      <c r="A1057" s="7" t="s">
        <v>1498</v>
      </c>
      <c r="B1057" s="46">
        <v>35068</v>
      </c>
      <c r="C1057" s="46"/>
      <c r="D1057" s="49">
        <f t="shared" si="26"/>
        <v>35068</v>
      </c>
    </row>
    <row r="1058" spans="1:4">
      <c r="A1058" s="7" t="s">
        <v>1499</v>
      </c>
      <c r="B1058" s="46">
        <v>86204</v>
      </c>
      <c r="C1058" s="46"/>
      <c r="D1058" s="49">
        <f t="shared" si="26"/>
        <v>86204</v>
      </c>
    </row>
    <row r="1059" spans="1:4">
      <c r="A1059" s="7" t="s">
        <v>1500</v>
      </c>
      <c r="B1059" s="46">
        <v>30000</v>
      </c>
      <c r="C1059" s="46"/>
      <c r="D1059" s="49">
        <f t="shared" si="26"/>
        <v>30000</v>
      </c>
    </row>
    <row r="1060" spans="1:4">
      <c r="A1060" s="7" t="s">
        <v>1501</v>
      </c>
      <c r="B1060" s="46">
        <v>128000</v>
      </c>
      <c r="C1060" s="46"/>
      <c r="D1060" s="49">
        <f t="shared" si="26"/>
        <v>128000</v>
      </c>
    </row>
    <row r="1061" spans="1:4">
      <c r="A1061" s="7" t="s">
        <v>1502</v>
      </c>
      <c r="B1061" s="46">
        <v>50748</v>
      </c>
      <c r="C1061" s="46"/>
      <c r="D1061" s="49">
        <f t="shared" si="26"/>
        <v>50748</v>
      </c>
    </row>
    <row r="1062" spans="1:4">
      <c r="A1062" s="7" t="s">
        <v>1503</v>
      </c>
      <c r="B1062" s="46">
        <v>160000</v>
      </c>
      <c r="C1062" s="46"/>
      <c r="D1062" s="49">
        <f t="shared" si="26"/>
        <v>160000</v>
      </c>
    </row>
    <row r="1063" spans="1:4">
      <c r="A1063" s="7" t="s">
        <v>1504</v>
      </c>
      <c r="B1063" s="46">
        <v>500000</v>
      </c>
      <c r="C1063" s="46"/>
      <c r="D1063" s="49">
        <f t="shared" si="26"/>
        <v>500000</v>
      </c>
    </row>
    <row r="1064" spans="1:4">
      <c r="A1064" s="7" t="s">
        <v>1505</v>
      </c>
      <c r="B1064" s="46">
        <v>169389</v>
      </c>
      <c r="C1064" s="46"/>
      <c r="D1064" s="49">
        <f t="shared" si="26"/>
        <v>169389</v>
      </c>
    </row>
    <row r="1065" spans="1:4">
      <c r="A1065" s="7" t="s">
        <v>1506</v>
      </c>
      <c r="B1065" s="46">
        <v>4334806</v>
      </c>
      <c r="C1065" s="46"/>
      <c r="D1065" s="49">
        <f t="shared" si="26"/>
        <v>4334806</v>
      </c>
    </row>
    <row r="1066" spans="1:4">
      <c r="A1066" s="7" t="s">
        <v>1507</v>
      </c>
      <c r="B1066" s="46">
        <v>367917</v>
      </c>
      <c r="C1066" s="46"/>
      <c r="D1066" s="49">
        <f t="shared" si="26"/>
        <v>367917</v>
      </c>
    </row>
    <row r="1067" spans="1:4">
      <c r="A1067" s="7" t="s">
        <v>1508</v>
      </c>
      <c r="B1067" s="46">
        <v>200000</v>
      </c>
      <c r="C1067" s="46"/>
      <c r="D1067" s="49">
        <f t="shared" si="26"/>
        <v>200000</v>
      </c>
    </row>
    <row r="1068" spans="1:4">
      <c r="A1068" s="7" t="s">
        <v>1509</v>
      </c>
      <c r="B1068" s="46">
        <v>108665</v>
      </c>
      <c r="C1068" s="46"/>
      <c r="D1068" s="49">
        <f t="shared" si="26"/>
        <v>108665</v>
      </c>
    </row>
    <row r="1069" spans="1:4">
      <c r="A1069" s="7" t="s">
        <v>1510</v>
      </c>
      <c r="B1069" s="46">
        <v>60000</v>
      </c>
      <c r="C1069" s="46"/>
      <c r="D1069" s="49">
        <f t="shared" si="26"/>
        <v>60000</v>
      </c>
    </row>
    <row r="1070" spans="1:4">
      <c r="A1070" s="7" t="s">
        <v>1511</v>
      </c>
      <c r="B1070" s="46">
        <v>55979</v>
      </c>
      <c r="C1070" s="46"/>
      <c r="D1070" s="49">
        <f t="shared" si="26"/>
        <v>55979</v>
      </c>
    </row>
    <row r="1071" spans="1:4">
      <c r="A1071" s="7" t="s">
        <v>1512</v>
      </c>
      <c r="B1071" s="46">
        <v>82500</v>
      </c>
      <c r="C1071" s="46"/>
      <c r="D1071" s="49">
        <f t="shared" si="26"/>
        <v>82500</v>
      </c>
    </row>
    <row r="1072" spans="1:4">
      <c r="A1072" s="7" t="s">
        <v>1513</v>
      </c>
      <c r="B1072" s="46">
        <v>75000</v>
      </c>
      <c r="C1072" s="46"/>
      <c r="D1072" s="49">
        <f t="shared" si="26"/>
        <v>75000</v>
      </c>
    </row>
    <row r="1073" spans="1:4">
      <c r="A1073" s="7" t="s">
        <v>1514</v>
      </c>
      <c r="B1073" s="46">
        <v>450000</v>
      </c>
      <c r="C1073" s="46"/>
      <c r="D1073" s="49">
        <f t="shared" si="26"/>
        <v>450000</v>
      </c>
    </row>
    <row r="1074" spans="1:4">
      <c r="A1074" s="7" t="s">
        <v>1515</v>
      </c>
      <c r="B1074" s="46">
        <v>56000</v>
      </c>
      <c r="C1074" s="46"/>
      <c r="D1074" s="49">
        <f t="shared" si="26"/>
        <v>56000</v>
      </c>
    </row>
    <row r="1075" spans="1:4">
      <c r="A1075" s="7" t="s">
        <v>1516</v>
      </c>
      <c r="B1075" s="46">
        <v>20898750</v>
      </c>
      <c r="C1075" s="46"/>
      <c r="D1075" s="49">
        <f t="shared" si="26"/>
        <v>20898750</v>
      </c>
    </row>
    <row r="1076" spans="1:4">
      <c r="A1076" s="7" t="s">
        <v>1524</v>
      </c>
      <c r="B1076" s="46">
        <v>152000</v>
      </c>
      <c r="C1076" s="46"/>
      <c r="D1076" s="49">
        <f t="shared" si="26"/>
        <v>152000</v>
      </c>
    </row>
    <row r="1077" spans="1:4">
      <c r="A1077" s="7" t="s">
        <v>1525</v>
      </c>
      <c r="B1077" s="46">
        <v>135000</v>
      </c>
      <c r="C1077" s="46"/>
      <c r="D1077" s="49">
        <f t="shared" si="26"/>
        <v>135000</v>
      </c>
    </row>
    <row r="1078" spans="1:4">
      <c r="A1078" s="7" t="s">
        <v>1611</v>
      </c>
      <c r="B1078" s="46">
        <v>500000</v>
      </c>
      <c r="C1078" s="46"/>
      <c r="D1078" s="49">
        <f t="shared" si="26"/>
        <v>500000</v>
      </c>
    </row>
    <row r="1079" spans="1:4">
      <c r="A1079" s="7" t="s">
        <v>1615</v>
      </c>
      <c r="B1079" s="46">
        <v>3038922</v>
      </c>
      <c r="C1079" s="46"/>
      <c r="D1079" s="49">
        <f t="shared" si="26"/>
        <v>3038922</v>
      </c>
    </row>
    <row r="1080" spans="1:4">
      <c r="A1080" s="7" t="s">
        <v>1632</v>
      </c>
      <c r="B1080" s="46">
        <v>291000</v>
      </c>
      <c r="C1080" s="46"/>
      <c r="D1080" s="49">
        <f t="shared" si="26"/>
        <v>291000</v>
      </c>
    </row>
    <row r="1081" spans="1:4">
      <c r="A1081" s="7" t="s">
        <v>1659</v>
      </c>
      <c r="B1081" s="46">
        <v>125984</v>
      </c>
      <c r="C1081" s="46"/>
      <c r="D1081" s="49">
        <f t="shared" si="26"/>
        <v>125984</v>
      </c>
    </row>
    <row r="1082" spans="1:4">
      <c r="A1082" s="7" t="s">
        <v>1671</v>
      </c>
      <c r="B1082" s="46">
        <v>1600000</v>
      </c>
      <c r="C1082" s="46"/>
      <c r="D1082" s="49">
        <f t="shared" si="26"/>
        <v>1600000</v>
      </c>
    </row>
    <row r="1083" spans="1:4">
      <c r="A1083" s="7" t="s">
        <v>1716</v>
      </c>
      <c r="B1083" s="46">
        <v>32870</v>
      </c>
      <c r="C1083" s="46"/>
      <c r="D1083" s="49">
        <f t="shared" si="26"/>
        <v>32870</v>
      </c>
    </row>
    <row r="1084" spans="1:4">
      <c r="A1084" s="7" t="s">
        <v>1773</v>
      </c>
      <c r="B1084" s="46">
        <v>2282992</v>
      </c>
      <c r="C1084" s="46"/>
      <c r="D1084" s="49">
        <f t="shared" si="26"/>
        <v>2282992</v>
      </c>
    </row>
    <row r="1085" spans="1:4">
      <c r="A1085" s="7" t="s">
        <v>1913</v>
      </c>
      <c r="B1085" s="46">
        <v>30100</v>
      </c>
      <c r="C1085" s="46"/>
      <c r="D1085" s="49">
        <f t="shared" si="26"/>
        <v>30100</v>
      </c>
    </row>
    <row r="1086" spans="1:4">
      <c r="A1086" s="7" t="s">
        <v>1914</v>
      </c>
      <c r="B1086" s="46">
        <v>60000</v>
      </c>
      <c r="C1086" s="46"/>
      <c r="D1086" s="49">
        <f t="shared" si="26"/>
        <v>60000</v>
      </c>
    </row>
    <row r="1087" spans="1:4">
      <c r="A1087" s="7" t="s">
        <v>1915</v>
      </c>
      <c r="B1087" s="46">
        <v>5770596</v>
      </c>
      <c r="C1087" s="46"/>
      <c r="D1087" s="49">
        <f t="shared" si="26"/>
        <v>5770596</v>
      </c>
    </row>
    <row r="1088" spans="1:4">
      <c r="A1088" s="7" t="s">
        <v>1937</v>
      </c>
      <c r="B1088" s="46">
        <v>78600</v>
      </c>
      <c r="C1088" s="46"/>
      <c r="D1088" s="49">
        <f t="shared" si="26"/>
        <v>78600</v>
      </c>
    </row>
    <row r="1089" spans="1:4">
      <c r="A1089" s="7" t="s">
        <v>1965</v>
      </c>
      <c r="B1089" s="46">
        <v>500000</v>
      </c>
      <c r="C1089" s="46"/>
      <c r="D1089" s="49">
        <f t="shared" si="26"/>
        <v>500000</v>
      </c>
    </row>
    <row r="1090" spans="1:4">
      <c r="A1090" s="7" t="s">
        <v>2015</v>
      </c>
      <c r="B1090" s="46">
        <v>786195</v>
      </c>
      <c r="C1090" s="46"/>
      <c r="D1090" s="49">
        <f t="shared" si="26"/>
        <v>786195</v>
      </c>
    </row>
    <row r="1091" spans="1:4">
      <c r="A1091" s="7" t="s">
        <v>2029</v>
      </c>
      <c r="B1091" s="46">
        <v>330709</v>
      </c>
      <c r="C1091" s="46"/>
      <c r="D1091" s="49">
        <f t="shared" si="26"/>
        <v>330709</v>
      </c>
    </row>
    <row r="1092" spans="1:4">
      <c r="A1092" s="12" t="s">
        <v>2096</v>
      </c>
      <c r="B1092" s="11">
        <f>SUM(B1057:B1091)</f>
        <v>43563994</v>
      </c>
      <c r="C1092" s="11">
        <f t="shared" ref="C1092:D1092" si="28">SUM(C1057:C1091)</f>
        <v>0</v>
      </c>
      <c r="D1092" s="52">
        <f t="shared" si="28"/>
        <v>43563994</v>
      </c>
    </row>
    <row r="1093" spans="1:4">
      <c r="A1093" s="13" t="s">
        <v>2097</v>
      </c>
      <c r="B1093" s="14">
        <f>B478+B483+B569+B1051+B1056+B1092</f>
        <v>6123941445</v>
      </c>
      <c r="C1093" s="14">
        <f t="shared" ref="C1093:D1093" si="29">C478+C483+C569+C1051+C1056+C1092</f>
        <v>2046580088</v>
      </c>
      <c r="D1093" s="54">
        <f t="shared" si="29"/>
        <v>4077361357</v>
      </c>
    </row>
    <row r="1094" spans="1:4">
      <c r="A1094" s="7" t="s">
        <v>2068</v>
      </c>
      <c r="B1094" s="46">
        <v>4668125</v>
      </c>
      <c r="C1094" s="46"/>
      <c r="D1094" s="49">
        <f t="shared" ref="D1094:D1145" si="30">B1094-C1094</f>
        <v>4668125</v>
      </c>
    </row>
    <row r="1095" spans="1:4">
      <c r="A1095" s="7" t="s">
        <v>222</v>
      </c>
      <c r="B1095" s="46">
        <v>428772</v>
      </c>
      <c r="C1095" s="46"/>
      <c r="D1095" s="49">
        <f t="shared" si="30"/>
        <v>428772</v>
      </c>
    </row>
    <row r="1096" spans="1:4">
      <c r="A1096" s="15" t="s">
        <v>2098</v>
      </c>
      <c r="B1096" s="11">
        <f>SUM(B1094:B1095)</f>
        <v>5096897</v>
      </c>
      <c r="C1096" s="11">
        <f t="shared" ref="C1096:D1096" si="31">SUM(C1094:C1095)</f>
        <v>0</v>
      </c>
      <c r="D1096" s="52">
        <f t="shared" si="31"/>
        <v>5096897</v>
      </c>
    </row>
    <row r="1097" spans="1:4">
      <c r="A1097" s="7" t="str">
        <f>"Rákóczi út 27 1582/A/3"</f>
        <v>Rákóczi út 27 1582/A/3</v>
      </c>
      <c r="B1097" s="46">
        <v>1110249</v>
      </c>
      <c r="C1097" s="46">
        <v>444155</v>
      </c>
      <c r="D1097" s="49">
        <f t="shared" si="30"/>
        <v>666094</v>
      </c>
    </row>
    <row r="1098" spans="1:4">
      <c r="A1098" s="7" t="s">
        <v>399</v>
      </c>
      <c r="B1098" s="46">
        <v>13838431</v>
      </c>
      <c r="C1098" s="46">
        <v>4992012</v>
      </c>
      <c r="D1098" s="49">
        <f t="shared" si="30"/>
        <v>8846419</v>
      </c>
    </row>
    <row r="1099" spans="1:4">
      <c r="A1099" s="7" t="s">
        <v>400</v>
      </c>
      <c r="B1099" s="46">
        <v>100400</v>
      </c>
      <c r="C1099" s="46">
        <v>38153</v>
      </c>
      <c r="D1099" s="49">
        <f t="shared" si="30"/>
        <v>62247</v>
      </c>
    </row>
    <row r="1100" spans="1:4">
      <c r="A1100" s="7" t="str">
        <f>"Nyirjes üdülöépület  5123/A"</f>
        <v>Nyirjes üdülöépület  5123/A</v>
      </c>
      <c r="B1100" s="46">
        <v>5760000</v>
      </c>
      <c r="C1100" s="46">
        <v>1613427</v>
      </c>
      <c r="D1100" s="49">
        <f t="shared" si="30"/>
        <v>4146573</v>
      </c>
    </row>
    <row r="1101" spans="1:4">
      <c r="A1101" s="7" t="s">
        <v>548</v>
      </c>
      <c r="B1101" s="46">
        <v>650000</v>
      </c>
      <c r="C1101" s="46">
        <v>464575</v>
      </c>
      <c r="D1101" s="49">
        <f t="shared" si="30"/>
        <v>185425</v>
      </c>
    </row>
    <row r="1102" spans="1:4">
      <c r="A1102" s="7" t="s">
        <v>553</v>
      </c>
      <c r="B1102" s="46">
        <v>985600</v>
      </c>
      <c r="C1102" s="46">
        <v>617674</v>
      </c>
      <c r="D1102" s="49">
        <f t="shared" si="30"/>
        <v>367926</v>
      </c>
    </row>
    <row r="1103" spans="1:4">
      <c r="A1103" s="7" t="s">
        <v>554</v>
      </c>
      <c r="B1103" s="46">
        <v>35000</v>
      </c>
      <c r="C1103" s="46">
        <v>28937</v>
      </c>
      <c r="D1103" s="49">
        <f t="shared" si="30"/>
        <v>6063</v>
      </c>
    </row>
    <row r="1104" spans="1:4">
      <c r="A1104" s="7" t="s">
        <v>597</v>
      </c>
      <c r="B1104" s="46">
        <v>35274086</v>
      </c>
      <c r="C1104" s="46">
        <v>12589861</v>
      </c>
      <c r="D1104" s="49">
        <f t="shared" si="30"/>
        <v>22684225</v>
      </c>
    </row>
    <row r="1105" spans="1:4">
      <c r="A1105" s="7" t="s">
        <v>606</v>
      </c>
      <c r="B1105" s="46">
        <v>35275091</v>
      </c>
      <c r="C1105" s="46">
        <v>2897387</v>
      </c>
      <c r="D1105" s="49">
        <f t="shared" si="30"/>
        <v>32377704</v>
      </c>
    </row>
    <row r="1106" spans="1:4">
      <c r="A1106" s="7" t="s">
        <v>609</v>
      </c>
      <c r="B1106" s="46">
        <v>1145000</v>
      </c>
      <c r="C1106" s="46">
        <v>1029241</v>
      </c>
      <c r="D1106" s="49">
        <f t="shared" si="30"/>
        <v>115759</v>
      </c>
    </row>
    <row r="1107" spans="1:4">
      <c r="A1107" s="7" t="str">
        <f>"Budapest Bank Ingatlanv 508/A/2"</f>
        <v>Budapest Bank Ingatlanv 508/A/2</v>
      </c>
      <c r="B1107" s="46">
        <v>25000000</v>
      </c>
      <c r="C1107" s="46">
        <v>7627390</v>
      </c>
      <c r="D1107" s="49">
        <f t="shared" si="30"/>
        <v>17372610</v>
      </c>
    </row>
    <row r="1108" spans="1:4">
      <c r="A1108" s="7" t="s">
        <v>760</v>
      </c>
      <c r="B1108" s="46">
        <v>2000000</v>
      </c>
      <c r="C1108" s="46">
        <v>604160</v>
      </c>
      <c r="D1108" s="49">
        <f t="shared" si="30"/>
        <v>1395840</v>
      </c>
    </row>
    <row r="1109" spans="1:4">
      <c r="A1109" s="7" t="str">
        <f>"Szerb utca 5 templom 600/1"</f>
        <v>Szerb utca 5 templom 600/1</v>
      </c>
      <c r="B1109" s="46">
        <v>520000</v>
      </c>
      <c r="C1109" s="46">
        <v>156041</v>
      </c>
      <c r="D1109" s="49">
        <f t="shared" si="30"/>
        <v>363959</v>
      </c>
    </row>
    <row r="1110" spans="1:4">
      <c r="A1110" s="7" t="s">
        <v>854</v>
      </c>
      <c r="B1110" s="46">
        <v>39234898</v>
      </c>
      <c r="C1110" s="46">
        <v>14218308</v>
      </c>
      <c r="D1110" s="49">
        <f t="shared" si="30"/>
        <v>25016590</v>
      </c>
    </row>
    <row r="1111" spans="1:4">
      <c r="A1111" s="7" t="s">
        <v>2099</v>
      </c>
      <c r="B1111" s="46">
        <v>8979136</v>
      </c>
      <c r="C1111" s="46">
        <v>4429924</v>
      </c>
      <c r="D1111" s="49">
        <f t="shared" si="30"/>
        <v>4549212</v>
      </c>
    </row>
    <row r="1112" spans="1:4">
      <c r="A1112" s="7" t="s">
        <v>893</v>
      </c>
      <c r="B1112" s="46">
        <v>22463844</v>
      </c>
      <c r="C1112" s="46">
        <v>450504</v>
      </c>
      <c r="D1112" s="49">
        <f t="shared" si="30"/>
        <v>22013340</v>
      </c>
    </row>
    <row r="1113" spans="1:4">
      <c r="A1113" s="7" t="s">
        <v>489</v>
      </c>
      <c r="B1113" s="46">
        <v>47632561</v>
      </c>
      <c r="C1113" s="46">
        <v>2158876</v>
      </c>
      <c r="D1113" s="49">
        <f t="shared" si="30"/>
        <v>45473685</v>
      </c>
    </row>
    <row r="1114" spans="1:4">
      <c r="A1114" s="7" t="s">
        <v>585</v>
      </c>
      <c r="B1114" s="46">
        <v>27901575</v>
      </c>
      <c r="C1114" s="46">
        <v>12209628</v>
      </c>
      <c r="D1114" s="49">
        <f t="shared" si="30"/>
        <v>15691947</v>
      </c>
    </row>
    <row r="1115" spans="1:4">
      <c r="A1115" s="7" t="s">
        <v>586</v>
      </c>
      <c r="B1115" s="46">
        <v>464000</v>
      </c>
      <c r="C1115" s="46">
        <v>232068</v>
      </c>
      <c r="D1115" s="49">
        <f t="shared" si="30"/>
        <v>231932</v>
      </c>
    </row>
    <row r="1116" spans="1:4">
      <c r="A1116" s="7" t="s">
        <v>587</v>
      </c>
      <c r="B1116" s="46">
        <v>65935</v>
      </c>
      <c r="C1116" s="46">
        <v>61906</v>
      </c>
      <c r="D1116" s="49">
        <f t="shared" si="30"/>
        <v>4029</v>
      </c>
    </row>
    <row r="1117" spans="1:4">
      <c r="A1117" s="7" t="s">
        <v>588</v>
      </c>
      <c r="B1117" s="46">
        <v>5384157</v>
      </c>
      <c r="C1117" s="46">
        <v>1831497</v>
      </c>
      <c r="D1117" s="49">
        <f t="shared" si="30"/>
        <v>3552660</v>
      </c>
    </row>
    <row r="1118" spans="1:4">
      <c r="A1118" s="7" t="s">
        <v>589</v>
      </c>
      <c r="B1118" s="46">
        <v>560000</v>
      </c>
      <c r="C1118" s="46">
        <v>268885</v>
      </c>
      <c r="D1118" s="49">
        <f t="shared" si="30"/>
        <v>291115</v>
      </c>
    </row>
    <row r="1119" spans="1:4">
      <c r="A1119" s="7" t="s">
        <v>590</v>
      </c>
      <c r="B1119" s="46">
        <v>18088793</v>
      </c>
      <c r="C1119" s="46">
        <v>5704971</v>
      </c>
      <c r="D1119" s="49">
        <f t="shared" si="30"/>
        <v>12383822</v>
      </c>
    </row>
    <row r="1120" spans="1:4">
      <c r="A1120" s="7" t="s">
        <v>591</v>
      </c>
      <c r="B1120" s="46">
        <v>5556735</v>
      </c>
      <c r="C1120" s="46">
        <v>2051873</v>
      </c>
      <c r="D1120" s="49">
        <f t="shared" si="30"/>
        <v>3504862</v>
      </c>
    </row>
    <row r="1121" spans="1:4">
      <c r="A1121" s="7" t="s">
        <v>592</v>
      </c>
      <c r="B1121" s="46">
        <v>23031141</v>
      </c>
      <c r="C1121" s="46">
        <v>7116326</v>
      </c>
      <c r="D1121" s="49">
        <f t="shared" si="30"/>
        <v>15914815</v>
      </c>
    </row>
    <row r="1122" spans="1:4">
      <c r="A1122" s="7" t="s">
        <v>593</v>
      </c>
      <c r="B1122" s="46">
        <v>30899682</v>
      </c>
      <c r="C1122" s="46">
        <v>10849681</v>
      </c>
      <c r="D1122" s="49">
        <f t="shared" si="30"/>
        <v>20050001</v>
      </c>
    </row>
    <row r="1123" spans="1:4">
      <c r="A1123" s="7" t="str">
        <f>"Szent-Györgyi A. Gimn Tornaterem 808/1/A"</f>
        <v>Szent-Györgyi A. Gimn Tornaterem 808/1/A</v>
      </c>
      <c r="B1123" s="46">
        <v>265057000</v>
      </c>
      <c r="C1123" s="46">
        <v>10616804</v>
      </c>
      <c r="D1123" s="49">
        <f t="shared" si="30"/>
        <v>254440196</v>
      </c>
    </row>
    <row r="1124" spans="1:4">
      <c r="A1124" s="7" t="s">
        <v>637</v>
      </c>
      <c r="B1124" s="46">
        <v>174048025</v>
      </c>
      <c r="C1124" s="46">
        <v>50025178</v>
      </c>
      <c r="D1124" s="49">
        <f t="shared" si="30"/>
        <v>124022847</v>
      </c>
    </row>
    <row r="1125" spans="1:4">
      <c r="A1125" s="7" t="s">
        <v>638</v>
      </c>
      <c r="B1125" s="46">
        <v>6265583</v>
      </c>
      <c r="C1125" s="46">
        <v>1640474</v>
      </c>
      <c r="D1125" s="49">
        <f t="shared" si="30"/>
        <v>4625109</v>
      </c>
    </row>
    <row r="1126" spans="1:4">
      <c r="A1126" s="7" t="s">
        <v>639</v>
      </c>
      <c r="B1126" s="46">
        <v>481600</v>
      </c>
      <c r="C1126" s="46">
        <v>142115</v>
      </c>
      <c r="D1126" s="49">
        <f t="shared" si="30"/>
        <v>339485</v>
      </c>
    </row>
    <row r="1127" spans="1:4">
      <c r="A1127" s="7" t="s">
        <v>640</v>
      </c>
      <c r="B1127" s="46">
        <v>615600</v>
      </c>
      <c r="C1127" s="46">
        <v>181662</v>
      </c>
      <c r="D1127" s="49">
        <f t="shared" si="30"/>
        <v>433938</v>
      </c>
    </row>
    <row r="1128" spans="1:4">
      <c r="A1128" s="7" t="s">
        <v>641</v>
      </c>
      <c r="B1128" s="46">
        <v>1201000</v>
      </c>
      <c r="C1128" s="46">
        <v>354427</v>
      </c>
      <c r="D1128" s="49">
        <f t="shared" si="30"/>
        <v>846573</v>
      </c>
    </row>
    <row r="1129" spans="1:4">
      <c r="A1129" s="7" t="s">
        <v>642</v>
      </c>
      <c r="B1129" s="46">
        <v>39815678</v>
      </c>
      <c r="C1129" s="46">
        <v>5181486</v>
      </c>
      <c r="D1129" s="49">
        <f t="shared" si="30"/>
        <v>34634192</v>
      </c>
    </row>
    <row r="1130" spans="1:4">
      <c r="A1130" s="7" t="s">
        <v>643</v>
      </c>
      <c r="B1130" s="46">
        <v>932300</v>
      </c>
      <c r="C1130" s="46">
        <v>275120</v>
      </c>
      <c r="D1130" s="49">
        <f t="shared" si="30"/>
        <v>657180</v>
      </c>
    </row>
    <row r="1131" spans="1:4">
      <c r="A1131" s="7" t="s">
        <v>697</v>
      </c>
      <c r="B1131" s="46">
        <v>133668884</v>
      </c>
      <c r="C1131" s="46">
        <v>12382493</v>
      </c>
      <c r="D1131" s="49">
        <f t="shared" si="30"/>
        <v>121286391</v>
      </c>
    </row>
    <row r="1132" spans="1:4">
      <c r="A1132" s="7" t="s">
        <v>698</v>
      </c>
      <c r="B1132" s="46">
        <v>1106693</v>
      </c>
      <c r="C1132" s="46">
        <v>83079</v>
      </c>
      <c r="D1132" s="49">
        <f t="shared" si="30"/>
        <v>1023614</v>
      </c>
    </row>
    <row r="1133" spans="1:4">
      <c r="A1133" s="7" t="s">
        <v>864</v>
      </c>
      <c r="B1133" s="46">
        <v>219816688</v>
      </c>
      <c r="C1133" s="46">
        <v>199669853</v>
      </c>
      <c r="D1133" s="49">
        <f t="shared" si="30"/>
        <v>20146835</v>
      </c>
    </row>
    <row r="1134" spans="1:4">
      <c r="A1134" s="7" t="s">
        <v>1446</v>
      </c>
      <c r="B1134" s="46">
        <v>627284</v>
      </c>
      <c r="C1134" s="46">
        <v>232069</v>
      </c>
      <c r="D1134" s="49">
        <f t="shared" si="30"/>
        <v>395215</v>
      </c>
    </row>
    <row r="1135" spans="1:4">
      <c r="A1135" s="7" t="s">
        <v>1447</v>
      </c>
      <c r="B1135" s="46">
        <v>66166382</v>
      </c>
      <c r="C1135" s="46">
        <v>20583325</v>
      </c>
      <c r="D1135" s="49">
        <f t="shared" si="30"/>
        <v>45583057</v>
      </c>
    </row>
    <row r="1136" spans="1:4">
      <c r="A1136" s="7" t="s">
        <v>483</v>
      </c>
      <c r="B1136" s="46">
        <v>19666</v>
      </c>
      <c r="C1136" s="46">
        <v>7466</v>
      </c>
      <c r="D1136" s="49">
        <f t="shared" si="30"/>
        <v>12200</v>
      </c>
    </row>
    <row r="1137" spans="1:4">
      <c r="A1137" s="7" t="s">
        <v>484</v>
      </c>
      <c r="B1137" s="46">
        <v>166747</v>
      </c>
      <c r="C1137" s="46">
        <v>63371</v>
      </c>
      <c r="D1137" s="49">
        <f t="shared" si="30"/>
        <v>103376</v>
      </c>
    </row>
    <row r="1138" spans="1:4">
      <c r="A1138" s="7" t="s">
        <v>485</v>
      </c>
      <c r="B1138" s="46">
        <v>200000</v>
      </c>
      <c r="C1138" s="46">
        <v>75998</v>
      </c>
      <c r="D1138" s="49">
        <f t="shared" si="30"/>
        <v>124002</v>
      </c>
    </row>
    <row r="1139" spans="1:4">
      <c r="A1139" s="7" t="s">
        <v>486</v>
      </c>
      <c r="B1139" s="46">
        <v>1867548</v>
      </c>
      <c r="C1139" s="46">
        <v>709754</v>
      </c>
      <c r="D1139" s="49">
        <f t="shared" si="30"/>
        <v>1157794</v>
      </c>
    </row>
    <row r="1140" spans="1:4">
      <c r="A1140" s="7" t="str">
        <f>"Tiszaföldvári üdülő  295/2"</f>
        <v>Tiszaföldvári üdülő  295/2</v>
      </c>
      <c r="B1140" s="46">
        <v>5040000</v>
      </c>
      <c r="C1140" s="46">
        <v>1411747</v>
      </c>
      <c r="D1140" s="49">
        <f t="shared" si="30"/>
        <v>3628253</v>
      </c>
    </row>
    <row r="1141" spans="1:4">
      <c r="A1141" s="7" t="s">
        <v>536</v>
      </c>
      <c r="B1141" s="46">
        <v>257117</v>
      </c>
      <c r="C1141" s="46">
        <v>57864</v>
      </c>
      <c r="D1141" s="49">
        <f t="shared" si="30"/>
        <v>199253</v>
      </c>
    </row>
    <row r="1142" spans="1:4">
      <c r="A1142" s="7" t="s">
        <v>636</v>
      </c>
      <c r="B1142" s="46">
        <v>15795400</v>
      </c>
      <c r="C1142" s="46">
        <v>5925213</v>
      </c>
      <c r="D1142" s="49">
        <f t="shared" si="30"/>
        <v>9870187</v>
      </c>
    </row>
    <row r="1143" spans="1:4">
      <c r="A1143" s="7" t="s">
        <v>644</v>
      </c>
      <c r="B1143" s="46">
        <v>9146894</v>
      </c>
      <c r="C1143" s="46">
        <v>3024320</v>
      </c>
      <c r="D1143" s="49">
        <f t="shared" si="30"/>
        <v>6122574</v>
      </c>
    </row>
    <row r="1144" spans="1:4">
      <c r="A1144" s="7" t="s">
        <v>645</v>
      </c>
      <c r="B1144" s="46">
        <v>312500</v>
      </c>
      <c r="C1144" s="46">
        <v>90744</v>
      </c>
      <c r="D1144" s="49">
        <f t="shared" si="30"/>
        <v>221756</v>
      </c>
    </row>
    <row r="1145" spans="1:4">
      <c r="A1145" s="7" t="s">
        <v>646</v>
      </c>
      <c r="B1145" s="46">
        <v>16541596</v>
      </c>
      <c r="C1145" s="46">
        <v>5312607</v>
      </c>
      <c r="D1145" s="49">
        <f t="shared" si="30"/>
        <v>11228989</v>
      </c>
    </row>
    <row r="1146" spans="1:4">
      <c r="A1146" s="7" t="s">
        <v>396</v>
      </c>
      <c r="B1146" s="46">
        <v>1184571</v>
      </c>
      <c r="C1146" s="46">
        <v>1184571</v>
      </c>
      <c r="D1146" s="49">
        <f t="shared" ref="D1146:D1183" si="32">B1146-C1146</f>
        <v>0</v>
      </c>
    </row>
    <row r="1147" spans="1:4">
      <c r="A1147" s="7" t="s">
        <v>398</v>
      </c>
      <c r="B1147" s="46">
        <v>3948000</v>
      </c>
      <c r="C1147" s="46">
        <v>3948000</v>
      </c>
      <c r="D1147" s="49">
        <f t="shared" si="32"/>
        <v>0</v>
      </c>
    </row>
    <row r="1148" spans="1:4">
      <c r="A1148" s="7" t="s">
        <v>552</v>
      </c>
      <c r="B1148" s="46">
        <v>37761</v>
      </c>
      <c r="C1148" s="46">
        <v>37761</v>
      </c>
      <c r="D1148" s="49">
        <f t="shared" si="32"/>
        <v>0</v>
      </c>
    </row>
    <row r="1149" spans="1:4">
      <c r="A1149" s="7" t="str">
        <f>"Bőr és nemibeteg gond  1036/68"</f>
        <v>Bőr és nemibeteg gond  1036/68</v>
      </c>
      <c r="B1149" s="46">
        <v>336000</v>
      </c>
      <c r="C1149" s="46">
        <v>336000</v>
      </c>
      <c r="D1149" s="49">
        <f t="shared" si="32"/>
        <v>0</v>
      </c>
    </row>
    <row r="1150" spans="1:4">
      <c r="A1150" s="7" t="s">
        <v>853</v>
      </c>
      <c r="B1150" s="46">
        <v>804796</v>
      </c>
      <c r="C1150" s="46">
        <v>804796</v>
      </c>
      <c r="D1150" s="49">
        <f t="shared" si="32"/>
        <v>0</v>
      </c>
    </row>
    <row r="1151" spans="1:4">
      <c r="A1151" s="15" t="s">
        <v>2100</v>
      </c>
      <c r="B1151" s="16">
        <f>SUM(B1097:B1150)</f>
        <v>1317417627</v>
      </c>
      <c r="C1151" s="16">
        <f t="shared" ref="C1151:D1151" si="33">SUM(C1097:C1150)</f>
        <v>419045757</v>
      </c>
      <c r="D1151" s="55">
        <f t="shared" si="33"/>
        <v>898371870</v>
      </c>
    </row>
    <row r="1152" spans="1:4">
      <c r="A1152" s="7" t="s">
        <v>404</v>
      </c>
      <c r="B1152" s="46">
        <v>109581</v>
      </c>
      <c r="C1152" s="46">
        <v>103008</v>
      </c>
      <c r="D1152" s="49">
        <f t="shared" si="32"/>
        <v>6573</v>
      </c>
    </row>
    <row r="1153" spans="1:4">
      <c r="A1153" s="7" t="s">
        <v>406</v>
      </c>
      <c r="B1153" s="46">
        <v>907000</v>
      </c>
      <c r="C1153" s="46">
        <v>852635</v>
      </c>
      <c r="D1153" s="49">
        <f t="shared" si="32"/>
        <v>54365</v>
      </c>
    </row>
    <row r="1154" spans="1:4">
      <c r="A1154" s="7" t="s">
        <v>409</v>
      </c>
      <c r="B1154" s="46">
        <v>252375</v>
      </c>
      <c r="C1154" s="46">
        <v>151426</v>
      </c>
      <c r="D1154" s="49">
        <f t="shared" si="32"/>
        <v>100949</v>
      </c>
    </row>
    <row r="1155" spans="1:4">
      <c r="A1155" s="7" t="s">
        <v>410</v>
      </c>
      <c r="B1155" s="46">
        <v>2605017</v>
      </c>
      <c r="C1155" s="46">
        <v>1563211</v>
      </c>
      <c r="D1155" s="49">
        <f t="shared" si="32"/>
        <v>1041806</v>
      </c>
    </row>
    <row r="1156" spans="1:4">
      <c r="A1156" s="7" t="s">
        <v>411</v>
      </c>
      <c r="B1156" s="46">
        <v>250000</v>
      </c>
      <c r="C1156" s="46">
        <v>150003</v>
      </c>
      <c r="D1156" s="49">
        <f t="shared" si="32"/>
        <v>99997</v>
      </c>
    </row>
    <row r="1157" spans="1:4">
      <c r="A1157" s="7" t="s">
        <v>412</v>
      </c>
      <c r="B1157" s="46">
        <v>704625</v>
      </c>
      <c r="C1157" s="46">
        <v>422825</v>
      </c>
      <c r="D1157" s="49">
        <f t="shared" si="32"/>
        <v>281800</v>
      </c>
    </row>
    <row r="1158" spans="1:4">
      <c r="A1158" s="7" t="s">
        <v>413</v>
      </c>
      <c r="B1158" s="46">
        <v>2308141</v>
      </c>
      <c r="C1158" s="46">
        <v>1315817</v>
      </c>
      <c r="D1158" s="49">
        <f t="shared" si="32"/>
        <v>992324</v>
      </c>
    </row>
    <row r="1159" spans="1:4">
      <c r="A1159" s="7" t="s">
        <v>414</v>
      </c>
      <c r="B1159" s="46">
        <v>77233</v>
      </c>
      <c r="C1159" s="46">
        <v>75224</v>
      </c>
      <c r="D1159" s="49">
        <f t="shared" si="32"/>
        <v>2009</v>
      </c>
    </row>
    <row r="1160" spans="1:4">
      <c r="A1160" s="7" t="s">
        <v>415</v>
      </c>
      <c r="B1160" s="46">
        <v>100000</v>
      </c>
      <c r="C1160" s="46">
        <v>84399</v>
      </c>
      <c r="D1160" s="49">
        <f t="shared" si="32"/>
        <v>15601</v>
      </c>
    </row>
    <row r="1161" spans="1:4">
      <c r="A1161" s="7" t="s">
        <v>416</v>
      </c>
      <c r="B1161" s="46">
        <v>772167</v>
      </c>
      <c r="C1161" s="46">
        <v>686893</v>
      </c>
      <c r="D1161" s="49">
        <f t="shared" si="32"/>
        <v>85274</v>
      </c>
    </row>
    <row r="1162" spans="1:4">
      <c r="A1162" s="7" t="str">
        <f>"Gombavizsgáló Piac   1431/7"</f>
        <v>Gombavizsgáló Piac   1431/7</v>
      </c>
      <c r="B1162" s="46">
        <v>70000</v>
      </c>
      <c r="C1162" s="46">
        <v>55437</v>
      </c>
      <c r="D1162" s="49">
        <f t="shared" si="32"/>
        <v>14563</v>
      </c>
    </row>
    <row r="1163" spans="1:4">
      <c r="A1163" s="7" t="s">
        <v>537</v>
      </c>
      <c r="B1163" s="46">
        <v>3994560</v>
      </c>
      <c r="C1163" s="46">
        <v>1342820</v>
      </c>
      <c r="D1163" s="49">
        <f t="shared" si="32"/>
        <v>2651740</v>
      </c>
    </row>
    <row r="1164" spans="1:4">
      <c r="A1164" s="7" t="s">
        <v>551</v>
      </c>
      <c r="B1164" s="46">
        <v>52000</v>
      </c>
      <c r="C1164" s="46">
        <v>46695</v>
      </c>
      <c r="D1164" s="49">
        <f t="shared" si="32"/>
        <v>5305</v>
      </c>
    </row>
    <row r="1165" spans="1:4">
      <c r="A1165" s="7" t="s">
        <v>608</v>
      </c>
      <c r="B1165" s="46">
        <v>15279188</v>
      </c>
      <c r="C1165" s="46">
        <v>1834760</v>
      </c>
      <c r="D1165" s="49">
        <f t="shared" si="32"/>
        <v>13444428</v>
      </c>
    </row>
    <row r="1166" spans="1:4">
      <c r="A1166" s="7" t="s">
        <v>634</v>
      </c>
      <c r="B1166" s="46">
        <v>160000</v>
      </c>
      <c r="C1166" s="46">
        <v>48033</v>
      </c>
      <c r="D1166" s="49">
        <f t="shared" si="32"/>
        <v>111967</v>
      </c>
    </row>
    <row r="1167" spans="1:4">
      <c r="A1167" s="7" t="str">
        <f>"DT-OMEGA építmény 3148/5"</f>
        <v>DT-OMEGA építmény 3148/5</v>
      </c>
      <c r="B1167" s="46">
        <v>40402500</v>
      </c>
      <c r="C1167" s="46">
        <v>10911989</v>
      </c>
      <c r="D1167" s="49">
        <f t="shared" si="32"/>
        <v>29490511</v>
      </c>
    </row>
    <row r="1168" spans="1:4">
      <c r="A1168" s="7" t="s">
        <v>676</v>
      </c>
      <c r="B1168" s="46">
        <v>56246</v>
      </c>
      <c r="C1168" s="46">
        <v>54773</v>
      </c>
      <c r="D1168" s="49">
        <f t="shared" si="32"/>
        <v>1473</v>
      </c>
    </row>
    <row r="1169" spans="1:4">
      <c r="A1169" s="7" t="s">
        <v>677</v>
      </c>
      <c r="B1169" s="46">
        <v>322200</v>
      </c>
      <c r="C1169" s="46">
        <v>183661</v>
      </c>
      <c r="D1169" s="49">
        <f t="shared" si="32"/>
        <v>138539</v>
      </c>
    </row>
    <row r="1170" spans="1:4">
      <c r="A1170" s="7" t="s">
        <v>678</v>
      </c>
      <c r="B1170" s="46">
        <v>28200</v>
      </c>
      <c r="C1170" s="46">
        <v>16065</v>
      </c>
      <c r="D1170" s="49">
        <f t="shared" si="32"/>
        <v>12135</v>
      </c>
    </row>
    <row r="1171" spans="1:4">
      <c r="A1171" s="7" t="s">
        <v>679</v>
      </c>
      <c r="B1171" s="46">
        <v>105300</v>
      </c>
      <c r="C1171" s="46">
        <v>60015</v>
      </c>
      <c r="D1171" s="49">
        <f t="shared" si="32"/>
        <v>45285</v>
      </c>
    </row>
    <row r="1172" spans="1:4">
      <c r="A1172" s="7" t="s">
        <v>680</v>
      </c>
      <c r="B1172" s="46">
        <v>109200</v>
      </c>
      <c r="C1172" s="46">
        <v>62249</v>
      </c>
      <c r="D1172" s="49">
        <f t="shared" si="32"/>
        <v>46951</v>
      </c>
    </row>
    <row r="1173" spans="1:4">
      <c r="A1173" s="7" t="s">
        <v>756</v>
      </c>
      <c r="B1173" s="46">
        <v>50085771</v>
      </c>
      <c r="C1173" s="46">
        <v>25547732</v>
      </c>
      <c r="D1173" s="49">
        <f t="shared" si="32"/>
        <v>24538039</v>
      </c>
    </row>
    <row r="1174" spans="1:4">
      <c r="A1174" s="7" t="s">
        <v>757</v>
      </c>
      <c r="B1174" s="46">
        <v>1493072</v>
      </c>
      <c r="C1174" s="46">
        <v>739186</v>
      </c>
      <c r="D1174" s="49">
        <f t="shared" si="32"/>
        <v>753886</v>
      </c>
    </row>
    <row r="1175" spans="1:4">
      <c r="A1175" s="7" t="str">
        <f>"Szennyvíztisztító 351/3"</f>
        <v>Szennyvíztisztító 351/3</v>
      </c>
      <c r="B1175" s="46">
        <v>1777200</v>
      </c>
      <c r="C1175" s="46">
        <v>800026</v>
      </c>
      <c r="D1175" s="49">
        <f t="shared" si="32"/>
        <v>977174</v>
      </c>
    </row>
    <row r="1176" spans="1:4">
      <c r="A1176" s="7" t="str">
        <f>"Szennyvíztisztító 384/2"</f>
        <v>Szennyvíztisztító 384/2</v>
      </c>
      <c r="B1176" s="46">
        <v>554400</v>
      </c>
      <c r="C1176" s="46">
        <v>249567</v>
      </c>
      <c r="D1176" s="49">
        <f t="shared" si="32"/>
        <v>304833</v>
      </c>
    </row>
    <row r="1177" spans="1:4">
      <c r="A1177" s="7" t="s">
        <v>826</v>
      </c>
      <c r="B1177" s="46">
        <v>2312500</v>
      </c>
      <c r="C1177" s="46">
        <v>1353110</v>
      </c>
      <c r="D1177" s="49">
        <f t="shared" si="32"/>
        <v>959390</v>
      </c>
    </row>
    <row r="1178" spans="1:4">
      <c r="A1178" s="7" t="str">
        <f>"Kazánház Mikszáth uti      698/1/A/2"</f>
        <v>Kazánház Mikszáth uti      698/1/A/2</v>
      </c>
      <c r="B1178" s="46">
        <v>1152111</v>
      </c>
      <c r="C1178" s="46">
        <v>510016</v>
      </c>
      <c r="D1178" s="49">
        <f t="shared" si="32"/>
        <v>642095</v>
      </c>
    </row>
    <row r="1179" spans="1:4">
      <c r="A1179" s="7" t="s">
        <v>859</v>
      </c>
      <c r="B1179" s="46">
        <v>1232202</v>
      </c>
      <c r="C1179" s="46">
        <v>274943</v>
      </c>
      <c r="D1179" s="49">
        <f t="shared" si="32"/>
        <v>957259</v>
      </c>
    </row>
    <row r="1180" spans="1:4">
      <c r="A1180" s="7" t="s">
        <v>873</v>
      </c>
      <c r="B1180" s="46">
        <v>169092683</v>
      </c>
      <c r="C1180" s="46">
        <v>55905285</v>
      </c>
      <c r="D1180" s="49">
        <f t="shared" si="32"/>
        <v>113187398</v>
      </c>
    </row>
    <row r="1181" spans="1:4">
      <c r="A1181" s="7" t="s">
        <v>875</v>
      </c>
      <c r="B1181" s="46">
        <v>61272067</v>
      </c>
      <c r="C1181" s="46">
        <v>7596645</v>
      </c>
      <c r="D1181" s="49">
        <f t="shared" si="32"/>
        <v>53675422</v>
      </c>
    </row>
    <row r="1182" spans="1:4">
      <c r="A1182" s="7" t="s">
        <v>968</v>
      </c>
      <c r="B1182" s="46">
        <v>927223</v>
      </c>
      <c r="C1182" s="46">
        <v>74381</v>
      </c>
      <c r="D1182" s="49">
        <f t="shared" si="32"/>
        <v>852842</v>
      </c>
    </row>
    <row r="1183" spans="1:4">
      <c r="A1183" s="7" t="s">
        <v>970</v>
      </c>
      <c r="B1183" s="46">
        <v>1857698</v>
      </c>
      <c r="C1183" s="46">
        <v>149021</v>
      </c>
      <c r="D1183" s="49">
        <f t="shared" si="32"/>
        <v>1708677</v>
      </c>
    </row>
    <row r="1184" spans="1:4">
      <c r="A1184" s="7" t="s">
        <v>405</v>
      </c>
      <c r="B1184" s="46">
        <v>36000</v>
      </c>
      <c r="C1184" s="46">
        <v>36000</v>
      </c>
      <c r="D1184" s="49">
        <f t="shared" ref="D1184:D1198" si="34">B1184-C1184</f>
        <v>0</v>
      </c>
    </row>
    <row r="1185" spans="1:4">
      <c r="A1185" s="7" t="s">
        <v>407</v>
      </c>
      <c r="B1185" s="46">
        <v>245655</v>
      </c>
      <c r="C1185" s="46">
        <v>245655</v>
      </c>
      <c r="D1185" s="49">
        <f t="shared" si="34"/>
        <v>0</v>
      </c>
    </row>
    <row r="1186" spans="1:4">
      <c r="A1186" s="7" t="s">
        <v>408</v>
      </c>
      <c r="B1186" s="46">
        <v>11016000</v>
      </c>
      <c r="C1186" s="46">
        <v>11016000</v>
      </c>
      <c r="D1186" s="49">
        <f t="shared" si="34"/>
        <v>0</v>
      </c>
    </row>
    <row r="1187" spans="1:4">
      <c r="A1187" s="7" t="s">
        <v>550</v>
      </c>
      <c r="B1187" s="46">
        <v>46598</v>
      </c>
      <c r="C1187" s="46">
        <v>46598</v>
      </c>
      <c r="D1187" s="49">
        <f t="shared" si="34"/>
        <v>0</v>
      </c>
    </row>
    <row r="1188" spans="1:4">
      <c r="A1188" s="7" t="s">
        <v>675</v>
      </c>
      <c r="B1188" s="46">
        <v>25718</v>
      </c>
      <c r="C1188" s="46">
        <v>25718</v>
      </c>
      <c r="D1188" s="49">
        <f t="shared" si="34"/>
        <v>0</v>
      </c>
    </row>
    <row r="1189" spans="1:4">
      <c r="A1189" s="7" t="s">
        <v>676</v>
      </c>
      <c r="B1189" s="46">
        <v>53660</v>
      </c>
      <c r="C1189" s="46">
        <v>53660</v>
      </c>
      <c r="D1189" s="49">
        <f t="shared" si="34"/>
        <v>0</v>
      </c>
    </row>
    <row r="1190" spans="1:4">
      <c r="A1190" s="7" t="s">
        <v>676</v>
      </c>
      <c r="B1190" s="46">
        <v>25914</v>
      </c>
      <c r="C1190" s="46">
        <v>25914</v>
      </c>
      <c r="D1190" s="49">
        <f t="shared" si="34"/>
        <v>0</v>
      </c>
    </row>
    <row r="1191" spans="1:4">
      <c r="A1191" s="7" t="s">
        <v>676</v>
      </c>
      <c r="B1191" s="46">
        <v>92819</v>
      </c>
      <c r="C1191" s="46">
        <v>92819</v>
      </c>
      <c r="D1191" s="49">
        <f t="shared" si="34"/>
        <v>0</v>
      </c>
    </row>
    <row r="1192" spans="1:4">
      <c r="A1192" s="7" t="s">
        <v>676</v>
      </c>
      <c r="B1192" s="46">
        <v>15068</v>
      </c>
      <c r="C1192" s="46">
        <v>15068</v>
      </c>
      <c r="D1192" s="49">
        <f t="shared" si="34"/>
        <v>0</v>
      </c>
    </row>
    <row r="1193" spans="1:4">
      <c r="A1193" s="7" t="s">
        <v>681</v>
      </c>
      <c r="B1193" s="46">
        <v>1000</v>
      </c>
      <c r="C1193" s="46">
        <v>1000</v>
      </c>
      <c r="D1193" s="49">
        <f t="shared" si="34"/>
        <v>0</v>
      </c>
    </row>
    <row r="1194" spans="1:4">
      <c r="A1194" s="7" t="s">
        <v>682</v>
      </c>
      <c r="B1194" s="46">
        <v>364808</v>
      </c>
      <c r="C1194" s="46">
        <v>364808</v>
      </c>
      <c r="D1194" s="49">
        <f t="shared" si="34"/>
        <v>0</v>
      </c>
    </row>
    <row r="1195" spans="1:4">
      <c r="A1195" s="7" t="s">
        <v>683</v>
      </c>
      <c r="B1195" s="46">
        <v>63336</v>
      </c>
      <c r="C1195" s="46">
        <v>63336</v>
      </c>
      <c r="D1195" s="49">
        <f t="shared" si="34"/>
        <v>0</v>
      </c>
    </row>
    <row r="1196" spans="1:4">
      <c r="A1196" s="7" t="s">
        <v>684</v>
      </c>
      <c r="B1196" s="46">
        <v>386000</v>
      </c>
      <c r="C1196" s="46">
        <v>386000</v>
      </c>
      <c r="D1196" s="49">
        <f t="shared" si="34"/>
        <v>0</v>
      </c>
    </row>
    <row r="1197" spans="1:4">
      <c r="A1197" s="7" t="s">
        <v>540</v>
      </c>
      <c r="B1197" s="46">
        <v>118733560</v>
      </c>
      <c r="C1197" s="46">
        <v>31179762</v>
      </c>
      <c r="D1197" s="49">
        <f t="shared" si="34"/>
        <v>87553798</v>
      </c>
    </row>
    <row r="1198" spans="1:4">
      <c r="A1198" s="7" t="s">
        <v>488</v>
      </c>
      <c r="B1198" s="46">
        <v>12334550</v>
      </c>
      <c r="C1198" s="46">
        <v>7031695</v>
      </c>
      <c r="D1198" s="49">
        <f t="shared" si="34"/>
        <v>5302855</v>
      </c>
    </row>
    <row r="1199" spans="1:4">
      <c r="A1199" s="7" t="s">
        <v>605</v>
      </c>
      <c r="B1199" s="46">
        <v>2</v>
      </c>
      <c r="C1199" s="46">
        <v>0</v>
      </c>
      <c r="D1199" s="49">
        <f t="shared" ref="D1199:D1201" si="35">B1199-C1199</f>
        <v>2</v>
      </c>
    </row>
    <row r="1200" spans="1:4">
      <c r="A1200" s="7" t="s">
        <v>610</v>
      </c>
      <c r="B1200" s="46">
        <v>123811357</v>
      </c>
      <c r="C1200" s="46">
        <v>45611356</v>
      </c>
      <c r="D1200" s="49">
        <f t="shared" si="35"/>
        <v>78200001</v>
      </c>
    </row>
    <row r="1201" spans="1:4">
      <c r="A1201" s="7" t="s">
        <v>611</v>
      </c>
      <c r="B1201" s="46">
        <v>248314851</v>
      </c>
      <c r="C1201" s="46">
        <v>96863195</v>
      </c>
      <c r="D1201" s="49">
        <f t="shared" si="35"/>
        <v>151451656</v>
      </c>
    </row>
    <row r="1202" spans="1:4">
      <c r="A1202" s="7" t="s">
        <v>866</v>
      </c>
      <c r="B1202" s="46">
        <v>20663237</v>
      </c>
      <c r="C1202" s="46">
        <v>1396041</v>
      </c>
      <c r="D1202" s="49">
        <f t="shared" ref="D1202:D1222" si="36">B1202-C1202</f>
        <v>19267196</v>
      </c>
    </row>
    <row r="1203" spans="1:4">
      <c r="A1203" s="7" t="str">
        <f>"Kolozsvári u 1/a bekötö csere"</f>
        <v>Kolozsvári u 1/a bekötö csere</v>
      </c>
      <c r="B1203" s="46">
        <v>125419</v>
      </c>
      <c r="C1203" s="46">
        <v>7670</v>
      </c>
      <c r="D1203" s="49">
        <f t="shared" si="36"/>
        <v>117749</v>
      </c>
    </row>
    <row r="1204" spans="1:4">
      <c r="A1204" s="7" t="s">
        <v>869</v>
      </c>
      <c r="B1204" s="46">
        <v>2268689</v>
      </c>
      <c r="C1204" s="46">
        <v>138732</v>
      </c>
      <c r="D1204" s="49">
        <f t="shared" si="36"/>
        <v>2129957</v>
      </c>
    </row>
    <row r="1205" spans="1:4">
      <c r="A1205" s="7" t="s">
        <v>870</v>
      </c>
      <c r="B1205" s="46">
        <v>1660710</v>
      </c>
      <c r="C1205" s="46">
        <v>101553</v>
      </c>
      <c r="D1205" s="49">
        <f t="shared" si="36"/>
        <v>1559157</v>
      </c>
    </row>
    <row r="1206" spans="1:4">
      <c r="A1206" s="7" t="s">
        <v>871</v>
      </c>
      <c r="B1206" s="46">
        <v>179612</v>
      </c>
      <c r="C1206" s="46">
        <v>10983</v>
      </c>
      <c r="D1206" s="49">
        <f t="shared" si="36"/>
        <v>168629</v>
      </c>
    </row>
    <row r="1207" spans="1:4">
      <c r="A1207" s="7" t="s">
        <v>879</v>
      </c>
      <c r="B1207" s="46">
        <v>84579</v>
      </c>
      <c r="C1207" s="46">
        <v>3385</v>
      </c>
      <c r="D1207" s="49">
        <f t="shared" si="36"/>
        <v>81194</v>
      </c>
    </row>
    <row r="1208" spans="1:4">
      <c r="A1208" s="7" t="s">
        <v>880</v>
      </c>
      <c r="B1208" s="46">
        <v>77400</v>
      </c>
      <c r="C1208" s="46">
        <v>3090</v>
      </c>
      <c r="D1208" s="49">
        <f t="shared" si="36"/>
        <v>74310</v>
      </c>
    </row>
    <row r="1209" spans="1:4">
      <c r="A1209" s="7" t="s">
        <v>881</v>
      </c>
      <c r="B1209" s="46">
        <v>79142</v>
      </c>
      <c r="C1209" s="46">
        <v>3139</v>
      </c>
      <c r="D1209" s="49">
        <f t="shared" si="36"/>
        <v>76003</v>
      </c>
    </row>
    <row r="1210" spans="1:4">
      <c r="A1210" s="7" t="s">
        <v>883</v>
      </c>
      <c r="B1210" s="46">
        <v>77101</v>
      </c>
      <c r="C1210" s="46">
        <v>2566</v>
      </c>
      <c r="D1210" s="49">
        <f t="shared" si="36"/>
        <v>74535</v>
      </c>
    </row>
    <row r="1211" spans="1:4">
      <c r="A1211" s="7" t="s">
        <v>884</v>
      </c>
      <c r="B1211" s="46">
        <v>111988</v>
      </c>
      <c r="C1211" s="46">
        <v>3727</v>
      </c>
      <c r="D1211" s="49">
        <f t="shared" si="36"/>
        <v>108261</v>
      </c>
    </row>
    <row r="1212" spans="1:4">
      <c r="A1212" s="7" t="s">
        <v>885</v>
      </c>
      <c r="B1212" s="46">
        <v>59433</v>
      </c>
      <c r="C1212" s="46">
        <v>1978</v>
      </c>
      <c r="D1212" s="49">
        <f t="shared" si="36"/>
        <v>57455</v>
      </c>
    </row>
    <row r="1213" spans="1:4">
      <c r="A1213" s="7" t="str">
        <f>"Szennyvíz bekötés 1333/7"</f>
        <v>Szennyvíz bekötés 1333/7</v>
      </c>
      <c r="B1213" s="46">
        <v>62893</v>
      </c>
      <c r="C1213" s="46">
        <v>2093</v>
      </c>
      <c r="D1213" s="49">
        <f t="shared" si="36"/>
        <v>60800</v>
      </c>
    </row>
    <row r="1214" spans="1:4">
      <c r="A1214" s="7" t="s">
        <v>886</v>
      </c>
      <c r="B1214" s="46">
        <v>97838</v>
      </c>
      <c r="C1214" s="46">
        <v>3209</v>
      </c>
      <c r="D1214" s="49">
        <f t="shared" si="36"/>
        <v>94629</v>
      </c>
    </row>
    <row r="1215" spans="1:4">
      <c r="A1215" s="7" t="s">
        <v>886</v>
      </c>
      <c r="B1215" s="46">
        <v>97721</v>
      </c>
      <c r="C1215" s="46">
        <v>3204</v>
      </c>
      <c r="D1215" s="49">
        <f t="shared" si="36"/>
        <v>94517</v>
      </c>
    </row>
    <row r="1216" spans="1:4">
      <c r="A1216" s="7" t="s">
        <v>887</v>
      </c>
      <c r="B1216" s="46">
        <v>96414</v>
      </c>
      <c r="C1216" s="46">
        <v>3161</v>
      </c>
      <c r="D1216" s="49">
        <f t="shared" si="36"/>
        <v>93253</v>
      </c>
    </row>
    <row r="1217" spans="1:4">
      <c r="A1217" s="7" t="s">
        <v>886</v>
      </c>
      <c r="B1217" s="46">
        <v>100440</v>
      </c>
      <c r="C1217" s="46">
        <v>3292</v>
      </c>
      <c r="D1217" s="49">
        <f t="shared" si="36"/>
        <v>97148</v>
      </c>
    </row>
    <row r="1218" spans="1:4">
      <c r="A1218" s="7" t="s">
        <v>888</v>
      </c>
      <c r="B1218" s="46">
        <v>76487</v>
      </c>
      <c r="C1218" s="46">
        <v>2507</v>
      </c>
      <c r="D1218" s="49">
        <f t="shared" si="36"/>
        <v>73980</v>
      </c>
    </row>
    <row r="1219" spans="1:4">
      <c r="A1219" s="7" t="s">
        <v>889</v>
      </c>
      <c r="B1219" s="46">
        <v>80431</v>
      </c>
      <c r="C1219" s="46">
        <v>2637</v>
      </c>
      <c r="D1219" s="49">
        <f t="shared" si="36"/>
        <v>77794</v>
      </c>
    </row>
    <row r="1220" spans="1:4">
      <c r="A1220" s="7" t="s">
        <v>890</v>
      </c>
      <c r="B1220" s="46">
        <v>77178</v>
      </c>
      <c r="C1220" s="46">
        <v>2531</v>
      </c>
      <c r="D1220" s="49">
        <f t="shared" si="36"/>
        <v>74647</v>
      </c>
    </row>
    <row r="1221" spans="1:4">
      <c r="A1221" s="7" t="s">
        <v>894</v>
      </c>
      <c r="B1221" s="46">
        <v>233012</v>
      </c>
      <c r="C1221" s="46">
        <v>7984</v>
      </c>
      <c r="D1221" s="49">
        <f t="shared" si="36"/>
        <v>225028</v>
      </c>
    </row>
    <row r="1222" spans="1:4">
      <c r="A1222" s="7" t="s">
        <v>895</v>
      </c>
      <c r="B1222" s="46">
        <v>195474</v>
      </c>
      <c r="C1222" s="46">
        <v>6697</v>
      </c>
      <c r="D1222" s="49">
        <f t="shared" si="36"/>
        <v>188777</v>
      </c>
    </row>
    <row r="1223" spans="1:4">
      <c r="A1223" s="7" t="s">
        <v>896</v>
      </c>
      <c r="B1223" s="46">
        <v>145364</v>
      </c>
      <c r="C1223" s="46">
        <v>4980</v>
      </c>
      <c r="D1223" s="49">
        <f t="shared" ref="D1223:D1286" si="37">B1223-C1223</f>
        <v>140384</v>
      </c>
    </row>
    <row r="1224" spans="1:4">
      <c r="A1224" s="7" t="s">
        <v>897</v>
      </c>
      <c r="B1224" s="46">
        <v>191904</v>
      </c>
      <c r="C1224" s="46">
        <v>6575</v>
      </c>
      <c r="D1224" s="49">
        <f t="shared" si="37"/>
        <v>185329</v>
      </c>
    </row>
    <row r="1225" spans="1:4">
      <c r="A1225" s="7" t="s">
        <v>898</v>
      </c>
      <c r="B1225" s="46">
        <v>823748</v>
      </c>
      <c r="C1225" s="46">
        <v>27750</v>
      </c>
      <c r="D1225" s="49">
        <f t="shared" si="37"/>
        <v>795998</v>
      </c>
    </row>
    <row r="1226" spans="1:4">
      <c r="A1226" s="7" t="s">
        <v>899</v>
      </c>
      <c r="B1226" s="46">
        <v>403967</v>
      </c>
      <c r="C1226" s="46">
        <v>13179</v>
      </c>
      <c r="D1226" s="49">
        <f t="shared" si="37"/>
        <v>390788</v>
      </c>
    </row>
    <row r="1227" spans="1:4">
      <c r="A1227" s="7" t="s">
        <v>900</v>
      </c>
      <c r="B1227" s="46">
        <v>364228</v>
      </c>
      <c r="C1227" s="46">
        <v>11881</v>
      </c>
      <c r="D1227" s="49">
        <f t="shared" si="37"/>
        <v>352347</v>
      </c>
    </row>
    <row r="1228" spans="1:4">
      <c r="A1228" s="7" t="s">
        <v>901</v>
      </c>
      <c r="B1228" s="46">
        <v>229984</v>
      </c>
      <c r="C1228" s="46">
        <v>7502</v>
      </c>
      <c r="D1228" s="49">
        <f t="shared" si="37"/>
        <v>222482</v>
      </c>
    </row>
    <row r="1229" spans="1:4">
      <c r="A1229" s="7" t="s">
        <v>902</v>
      </c>
      <c r="B1229" s="46">
        <v>74406</v>
      </c>
      <c r="C1229" s="46">
        <v>2428</v>
      </c>
      <c r="D1229" s="49">
        <f t="shared" si="37"/>
        <v>71978</v>
      </c>
    </row>
    <row r="1230" spans="1:4">
      <c r="A1230" s="7" t="s">
        <v>903</v>
      </c>
      <c r="B1230" s="46">
        <v>193021</v>
      </c>
      <c r="C1230" s="46">
        <v>6298</v>
      </c>
      <c r="D1230" s="49">
        <f t="shared" si="37"/>
        <v>186723</v>
      </c>
    </row>
    <row r="1231" spans="1:4">
      <c r="A1231" s="7" t="s">
        <v>904</v>
      </c>
      <c r="B1231" s="46">
        <v>132796</v>
      </c>
      <c r="C1231" s="46">
        <v>4331</v>
      </c>
      <c r="D1231" s="49">
        <f t="shared" si="37"/>
        <v>128465</v>
      </c>
    </row>
    <row r="1232" spans="1:4">
      <c r="A1232" s="7" t="s">
        <v>905</v>
      </c>
      <c r="B1232" s="46">
        <v>114604</v>
      </c>
      <c r="C1232" s="46">
        <v>3740</v>
      </c>
      <c r="D1232" s="49">
        <f t="shared" si="37"/>
        <v>110864</v>
      </c>
    </row>
    <row r="1233" spans="1:4">
      <c r="A1233" s="7" t="s">
        <v>906</v>
      </c>
      <c r="B1233" s="46">
        <v>137987</v>
      </c>
      <c r="C1233" s="46">
        <v>4501</v>
      </c>
      <c r="D1233" s="49">
        <f t="shared" si="37"/>
        <v>133486</v>
      </c>
    </row>
    <row r="1234" spans="1:4">
      <c r="A1234" s="7" t="s">
        <v>907</v>
      </c>
      <c r="B1234" s="46">
        <v>131131</v>
      </c>
      <c r="C1234" s="46">
        <v>4279</v>
      </c>
      <c r="D1234" s="49">
        <f t="shared" si="37"/>
        <v>126852</v>
      </c>
    </row>
    <row r="1235" spans="1:4">
      <c r="A1235" s="7" t="s">
        <v>908</v>
      </c>
      <c r="B1235" s="46">
        <v>223843</v>
      </c>
      <c r="C1235" s="46">
        <v>7303</v>
      </c>
      <c r="D1235" s="49">
        <f t="shared" si="37"/>
        <v>216540</v>
      </c>
    </row>
    <row r="1236" spans="1:4">
      <c r="A1236" s="7" t="s">
        <v>909</v>
      </c>
      <c r="B1236" s="46">
        <v>212457</v>
      </c>
      <c r="C1236" s="46">
        <v>6932</v>
      </c>
      <c r="D1236" s="49">
        <f t="shared" si="37"/>
        <v>205525</v>
      </c>
    </row>
    <row r="1237" spans="1:4">
      <c r="A1237" s="7" t="s">
        <v>910</v>
      </c>
      <c r="B1237" s="46">
        <v>260495</v>
      </c>
      <c r="C1237" s="46">
        <v>8498</v>
      </c>
      <c r="D1237" s="49">
        <f t="shared" si="37"/>
        <v>251997</v>
      </c>
    </row>
    <row r="1238" spans="1:4">
      <c r="A1238" s="7" t="s">
        <v>911</v>
      </c>
      <c r="B1238" s="46">
        <v>552584</v>
      </c>
      <c r="C1238" s="46">
        <v>18026</v>
      </c>
      <c r="D1238" s="49">
        <f t="shared" si="37"/>
        <v>534558</v>
      </c>
    </row>
    <row r="1239" spans="1:4">
      <c r="A1239" s="7" t="s">
        <v>912</v>
      </c>
      <c r="B1239" s="46">
        <v>147169</v>
      </c>
      <c r="C1239" s="46">
        <v>4802</v>
      </c>
      <c r="D1239" s="49">
        <f t="shared" si="37"/>
        <v>142367</v>
      </c>
    </row>
    <row r="1240" spans="1:4">
      <c r="A1240" s="7" t="s">
        <v>913</v>
      </c>
      <c r="B1240" s="46">
        <v>138823</v>
      </c>
      <c r="C1240" s="46">
        <v>4529</v>
      </c>
      <c r="D1240" s="49">
        <f t="shared" si="37"/>
        <v>134294</v>
      </c>
    </row>
    <row r="1241" spans="1:4">
      <c r="A1241" s="7" t="s">
        <v>914</v>
      </c>
      <c r="B1241" s="46">
        <v>150702</v>
      </c>
      <c r="C1241" s="46">
        <v>4917</v>
      </c>
      <c r="D1241" s="49">
        <f t="shared" si="37"/>
        <v>145785</v>
      </c>
    </row>
    <row r="1242" spans="1:4">
      <c r="A1242" s="7" t="s">
        <v>915</v>
      </c>
      <c r="B1242" s="46">
        <v>130123</v>
      </c>
      <c r="C1242" s="46">
        <v>4245</v>
      </c>
      <c r="D1242" s="49">
        <f t="shared" si="37"/>
        <v>125878</v>
      </c>
    </row>
    <row r="1243" spans="1:4">
      <c r="A1243" s="7" t="s">
        <v>916</v>
      </c>
      <c r="B1243" s="46">
        <v>163910</v>
      </c>
      <c r="C1243" s="46">
        <v>5346</v>
      </c>
      <c r="D1243" s="49">
        <f t="shared" si="37"/>
        <v>158564</v>
      </c>
    </row>
    <row r="1244" spans="1:4">
      <c r="A1244" s="7" t="s">
        <v>917</v>
      </c>
      <c r="B1244" s="46">
        <v>147001</v>
      </c>
      <c r="C1244" s="46">
        <v>4796</v>
      </c>
      <c r="D1244" s="49">
        <f t="shared" si="37"/>
        <v>142205</v>
      </c>
    </row>
    <row r="1245" spans="1:4">
      <c r="A1245" s="7" t="s">
        <v>918</v>
      </c>
      <c r="B1245" s="46">
        <v>124448</v>
      </c>
      <c r="C1245" s="46">
        <v>4060</v>
      </c>
      <c r="D1245" s="49">
        <f t="shared" si="37"/>
        <v>120388</v>
      </c>
    </row>
    <row r="1246" spans="1:4">
      <c r="A1246" s="7" t="s">
        <v>919</v>
      </c>
      <c r="B1246" s="46">
        <v>110519</v>
      </c>
      <c r="C1246" s="46">
        <v>3607</v>
      </c>
      <c r="D1246" s="49">
        <f t="shared" si="37"/>
        <v>106912</v>
      </c>
    </row>
    <row r="1247" spans="1:4">
      <c r="A1247" s="7" t="s">
        <v>920</v>
      </c>
      <c r="B1247" s="46">
        <v>505734</v>
      </c>
      <c r="C1247" s="46">
        <v>16499</v>
      </c>
      <c r="D1247" s="49">
        <f t="shared" si="37"/>
        <v>489235</v>
      </c>
    </row>
    <row r="1248" spans="1:4">
      <c r="A1248" s="7" t="s">
        <v>921</v>
      </c>
      <c r="B1248" s="46">
        <v>136620</v>
      </c>
      <c r="C1248" s="46">
        <v>4457</v>
      </c>
      <c r="D1248" s="49">
        <f t="shared" si="37"/>
        <v>132163</v>
      </c>
    </row>
    <row r="1249" spans="1:4">
      <c r="A1249" s="7" t="s">
        <v>922</v>
      </c>
      <c r="B1249" s="46">
        <v>441776</v>
      </c>
      <c r="C1249" s="46">
        <v>14413</v>
      </c>
      <c r="D1249" s="49">
        <f t="shared" si="37"/>
        <v>427363</v>
      </c>
    </row>
    <row r="1250" spans="1:4">
      <c r="A1250" s="7" t="s">
        <v>923</v>
      </c>
      <c r="B1250" s="46">
        <v>261492</v>
      </c>
      <c r="C1250" s="46">
        <v>8530</v>
      </c>
      <c r="D1250" s="49">
        <f t="shared" si="37"/>
        <v>252962</v>
      </c>
    </row>
    <row r="1251" spans="1:4">
      <c r="A1251" s="7" t="s">
        <v>924</v>
      </c>
      <c r="B1251" s="46">
        <v>149148</v>
      </c>
      <c r="C1251" s="46">
        <v>4866</v>
      </c>
      <c r="D1251" s="49">
        <f t="shared" si="37"/>
        <v>144282</v>
      </c>
    </row>
    <row r="1252" spans="1:4">
      <c r="A1252" s="7" t="s">
        <v>925</v>
      </c>
      <c r="B1252" s="46">
        <v>214529</v>
      </c>
      <c r="C1252" s="46">
        <v>6999</v>
      </c>
      <c r="D1252" s="49">
        <f t="shared" si="37"/>
        <v>207530</v>
      </c>
    </row>
    <row r="1253" spans="1:4">
      <c r="A1253" s="7" t="s">
        <v>926</v>
      </c>
      <c r="B1253" s="46">
        <v>149589</v>
      </c>
      <c r="C1253" s="46">
        <v>4880</v>
      </c>
      <c r="D1253" s="49">
        <f t="shared" si="37"/>
        <v>144709</v>
      </c>
    </row>
    <row r="1254" spans="1:4">
      <c r="A1254" s="7" t="s">
        <v>927</v>
      </c>
      <c r="B1254" s="46">
        <v>127886</v>
      </c>
      <c r="C1254" s="46">
        <v>4172</v>
      </c>
      <c r="D1254" s="49">
        <f t="shared" si="37"/>
        <v>123714</v>
      </c>
    </row>
    <row r="1255" spans="1:4">
      <c r="A1255" s="7" t="s">
        <v>928</v>
      </c>
      <c r="B1255" s="46">
        <v>221538</v>
      </c>
      <c r="C1255" s="46">
        <v>7227</v>
      </c>
      <c r="D1255" s="49">
        <f t="shared" si="37"/>
        <v>214311</v>
      </c>
    </row>
    <row r="1256" spans="1:4">
      <c r="A1256" s="7" t="s">
        <v>929</v>
      </c>
      <c r="B1256" s="46">
        <v>254517</v>
      </c>
      <c r="C1256" s="46">
        <v>8305</v>
      </c>
      <c r="D1256" s="49">
        <f t="shared" si="37"/>
        <v>246212</v>
      </c>
    </row>
    <row r="1257" spans="1:4">
      <c r="A1257" s="7" t="s">
        <v>930</v>
      </c>
      <c r="B1257" s="46">
        <v>60456</v>
      </c>
      <c r="C1257" s="46">
        <v>1942</v>
      </c>
      <c r="D1257" s="49">
        <f t="shared" si="37"/>
        <v>58514</v>
      </c>
    </row>
    <row r="1258" spans="1:4">
      <c r="A1258" s="7" t="s">
        <v>931</v>
      </c>
      <c r="B1258" s="46">
        <v>624929</v>
      </c>
      <c r="C1258" s="46">
        <v>20079</v>
      </c>
      <c r="D1258" s="49">
        <f t="shared" si="37"/>
        <v>604850</v>
      </c>
    </row>
    <row r="1259" spans="1:4">
      <c r="A1259" s="7" t="s">
        <v>932</v>
      </c>
      <c r="B1259" s="46">
        <v>331560</v>
      </c>
      <c r="C1259" s="46">
        <v>10654</v>
      </c>
      <c r="D1259" s="49">
        <f t="shared" si="37"/>
        <v>320906</v>
      </c>
    </row>
    <row r="1260" spans="1:4">
      <c r="A1260" s="7" t="s">
        <v>933</v>
      </c>
      <c r="B1260" s="46">
        <v>347219</v>
      </c>
      <c r="C1260" s="46">
        <v>11157</v>
      </c>
      <c r="D1260" s="49">
        <f t="shared" si="37"/>
        <v>336062</v>
      </c>
    </row>
    <row r="1261" spans="1:4">
      <c r="A1261" s="7" t="str">
        <f>"Ipolypart út 17 80/1250 KTB tűzcsap csere"</f>
        <v>Ipolypart út 17 80/1250 KTB tűzcsap csere</v>
      </c>
      <c r="B1261" s="46">
        <v>199117</v>
      </c>
      <c r="C1261" s="46">
        <v>6398</v>
      </c>
      <c r="D1261" s="49">
        <f t="shared" si="37"/>
        <v>192719</v>
      </c>
    </row>
    <row r="1262" spans="1:4">
      <c r="A1262" s="7" t="s">
        <v>934</v>
      </c>
      <c r="B1262" s="46">
        <v>77219</v>
      </c>
      <c r="C1262" s="46">
        <v>2482</v>
      </c>
      <c r="D1262" s="49">
        <f t="shared" si="37"/>
        <v>74737</v>
      </c>
    </row>
    <row r="1263" spans="1:4">
      <c r="A1263" s="7" t="s">
        <v>935</v>
      </c>
      <c r="B1263" s="46">
        <v>304035</v>
      </c>
      <c r="C1263" s="46">
        <v>9769</v>
      </c>
      <c r="D1263" s="49">
        <f t="shared" si="37"/>
        <v>294266</v>
      </c>
    </row>
    <row r="1264" spans="1:4">
      <c r="A1264" s="7" t="s">
        <v>936</v>
      </c>
      <c r="B1264" s="46">
        <v>198992</v>
      </c>
      <c r="C1264" s="46">
        <v>6394</v>
      </c>
      <c r="D1264" s="49">
        <f t="shared" si="37"/>
        <v>192598</v>
      </c>
    </row>
    <row r="1265" spans="1:4">
      <c r="A1265" s="7" t="s">
        <v>937</v>
      </c>
      <c r="B1265" s="46">
        <v>298592</v>
      </c>
      <c r="C1265" s="46">
        <v>9594</v>
      </c>
      <c r="D1265" s="49">
        <f t="shared" si="37"/>
        <v>288998</v>
      </c>
    </row>
    <row r="1266" spans="1:4">
      <c r="A1266" s="7" t="s">
        <v>938</v>
      </c>
      <c r="B1266" s="46">
        <v>160597</v>
      </c>
      <c r="C1266" s="46">
        <v>5159</v>
      </c>
      <c r="D1266" s="49">
        <f t="shared" si="37"/>
        <v>155438</v>
      </c>
    </row>
    <row r="1267" spans="1:4">
      <c r="A1267" s="7" t="s">
        <v>939</v>
      </c>
      <c r="B1267" s="46">
        <v>290420</v>
      </c>
      <c r="C1267" s="46">
        <v>8760</v>
      </c>
      <c r="D1267" s="49">
        <f t="shared" si="37"/>
        <v>281660</v>
      </c>
    </row>
    <row r="1268" spans="1:4">
      <c r="A1268" s="7" t="s">
        <v>940</v>
      </c>
      <c r="B1268" s="46">
        <v>86922</v>
      </c>
      <c r="C1268" s="46">
        <v>2621</v>
      </c>
      <c r="D1268" s="49">
        <f t="shared" si="37"/>
        <v>84301</v>
      </c>
    </row>
    <row r="1269" spans="1:4">
      <c r="A1269" s="7" t="s">
        <v>941</v>
      </c>
      <c r="B1269" s="46">
        <v>114604</v>
      </c>
      <c r="C1269" s="46">
        <v>3458</v>
      </c>
      <c r="D1269" s="49">
        <f t="shared" si="37"/>
        <v>111146</v>
      </c>
    </row>
    <row r="1270" spans="1:4">
      <c r="A1270" s="7" t="s">
        <v>942</v>
      </c>
      <c r="B1270" s="46">
        <v>435494</v>
      </c>
      <c r="C1270" s="46">
        <v>13135</v>
      </c>
      <c r="D1270" s="49">
        <f t="shared" si="37"/>
        <v>422359</v>
      </c>
    </row>
    <row r="1271" spans="1:4">
      <c r="A1271" s="7" t="s">
        <v>943</v>
      </c>
      <c r="B1271" s="46">
        <v>395316</v>
      </c>
      <c r="C1271" s="46">
        <v>11924</v>
      </c>
      <c r="D1271" s="49">
        <f t="shared" si="37"/>
        <v>383392</v>
      </c>
    </row>
    <row r="1272" spans="1:4">
      <c r="A1272" s="7" t="s">
        <v>944</v>
      </c>
      <c r="B1272" s="46">
        <v>106732</v>
      </c>
      <c r="C1272" s="46">
        <v>3219</v>
      </c>
      <c r="D1272" s="49">
        <f t="shared" si="37"/>
        <v>103513</v>
      </c>
    </row>
    <row r="1273" spans="1:4">
      <c r="A1273" s="7" t="s">
        <v>945</v>
      </c>
      <c r="B1273" s="46">
        <v>235804</v>
      </c>
      <c r="C1273" s="46">
        <v>7248</v>
      </c>
      <c r="D1273" s="49">
        <f t="shared" si="37"/>
        <v>228556</v>
      </c>
    </row>
    <row r="1274" spans="1:4">
      <c r="A1274" s="7" t="s">
        <v>946</v>
      </c>
      <c r="B1274" s="46">
        <v>291204</v>
      </c>
      <c r="C1274" s="46">
        <v>8784</v>
      </c>
      <c r="D1274" s="49">
        <f t="shared" si="37"/>
        <v>282420</v>
      </c>
    </row>
    <row r="1275" spans="1:4">
      <c r="A1275" s="7" t="s">
        <v>947</v>
      </c>
      <c r="B1275" s="46">
        <v>291204</v>
      </c>
      <c r="C1275" s="46">
        <v>8784</v>
      </c>
      <c r="D1275" s="49">
        <f t="shared" si="37"/>
        <v>282420</v>
      </c>
    </row>
    <row r="1276" spans="1:4">
      <c r="A1276" s="7" t="s">
        <v>948</v>
      </c>
      <c r="B1276" s="46">
        <v>291204</v>
      </c>
      <c r="C1276" s="46">
        <v>8784</v>
      </c>
      <c r="D1276" s="49">
        <f t="shared" si="37"/>
        <v>282420</v>
      </c>
    </row>
    <row r="1277" spans="1:4">
      <c r="A1277" s="7" t="str">
        <f>"Jókai u. 1/b tűzcsap csere"</f>
        <v>Jókai u. 1/b tűzcsap csere</v>
      </c>
      <c r="B1277" s="46">
        <v>193741</v>
      </c>
      <c r="C1277" s="46">
        <v>5844</v>
      </c>
      <c r="D1277" s="49">
        <f t="shared" si="37"/>
        <v>187897</v>
      </c>
    </row>
    <row r="1278" spans="1:4">
      <c r="A1278" s="7" t="s">
        <v>949</v>
      </c>
      <c r="B1278" s="46">
        <v>184922</v>
      </c>
      <c r="C1278" s="46">
        <v>5577</v>
      </c>
      <c r="D1278" s="49">
        <f t="shared" si="37"/>
        <v>179345</v>
      </c>
    </row>
    <row r="1279" spans="1:4">
      <c r="A1279" s="7" t="s">
        <v>950</v>
      </c>
      <c r="B1279" s="46">
        <v>206747</v>
      </c>
      <c r="C1279" s="46">
        <v>6235</v>
      </c>
      <c r="D1279" s="49">
        <f t="shared" si="37"/>
        <v>200512</v>
      </c>
    </row>
    <row r="1280" spans="1:4">
      <c r="A1280" s="7" t="s">
        <v>951</v>
      </c>
      <c r="B1280" s="46">
        <v>283072</v>
      </c>
      <c r="C1280" s="46">
        <v>8537</v>
      </c>
      <c r="D1280" s="49">
        <f t="shared" si="37"/>
        <v>274535</v>
      </c>
    </row>
    <row r="1281" spans="1:4">
      <c r="A1281" s="7" t="s">
        <v>952</v>
      </c>
      <c r="B1281" s="46">
        <v>247266</v>
      </c>
      <c r="C1281" s="46">
        <v>7459</v>
      </c>
      <c r="D1281" s="49">
        <f t="shared" si="37"/>
        <v>239807</v>
      </c>
    </row>
    <row r="1282" spans="1:4">
      <c r="A1282" s="7" t="s">
        <v>953</v>
      </c>
      <c r="B1282" s="46">
        <v>117283</v>
      </c>
      <c r="C1282" s="46">
        <v>3538</v>
      </c>
      <c r="D1282" s="49">
        <f t="shared" si="37"/>
        <v>113745</v>
      </c>
    </row>
    <row r="1283" spans="1:4">
      <c r="A1283" s="7" t="s">
        <v>954</v>
      </c>
      <c r="B1283" s="46">
        <v>269272</v>
      </c>
      <c r="C1283" s="46">
        <v>8122</v>
      </c>
      <c r="D1283" s="49">
        <f t="shared" si="37"/>
        <v>261150</v>
      </c>
    </row>
    <row r="1284" spans="1:4">
      <c r="A1284" s="7" t="s">
        <v>955</v>
      </c>
      <c r="B1284" s="46">
        <v>220795</v>
      </c>
      <c r="C1284" s="46">
        <v>6660</v>
      </c>
      <c r="D1284" s="49">
        <f t="shared" si="37"/>
        <v>214135</v>
      </c>
    </row>
    <row r="1285" spans="1:4">
      <c r="A1285" s="7" t="s">
        <v>956</v>
      </c>
      <c r="B1285" s="46">
        <v>384497</v>
      </c>
      <c r="C1285" s="46">
        <v>11597</v>
      </c>
      <c r="D1285" s="49">
        <f t="shared" si="37"/>
        <v>372900</v>
      </c>
    </row>
    <row r="1286" spans="1:4">
      <c r="A1286" s="7" t="s">
        <v>957</v>
      </c>
      <c r="B1286" s="46">
        <v>315667</v>
      </c>
      <c r="C1286" s="46">
        <v>9522</v>
      </c>
      <c r="D1286" s="49">
        <f t="shared" si="37"/>
        <v>306145</v>
      </c>
    </row>
    <row r="1287" spans="1:4">
      <c r="A1287" s="7" t="s">
        <v>958</v>
      </c>
      <c r="B1287" s="46">
        <v>272491</v>
      </c>
      <c r="C1287" s="46">
        <v>8219</v>
      </c>
      <c r="D1287" s="49">
        <f t="shared" ref="D1287:D1294" si="38">B1287-C1287</f>
        <v>264272</v>
      </c>
    </row>
    <row r="1288" spans="1:4">
      <c r="A1288" s="7" t="s">
        <v>959</v>
      </c>
      <c r="B1288" s="46">
        <v>173664</v>
      </c>
      <c r="C1288" s="46">
        <v>5238</v>
      </c>
      <c r="D1288" s="49">
        <f t="shared" si="38"/>
        <v>168426</v>
      </c>
    </row>
    <row r="1289" spans="1:4">
      <c r="A1289" s="7" t="s">
        <v>963</v>
      </c>
      <c r="B1289" s="46">
        <v>1245167353</v>
      </c>
      <c r="C1289" s="46">
        <v>37457084</v>
      </c>
      <c r="D1289" s="49">
        <f t="shared" si="38"/>
        <v>1207710269</v>
      </c>
    </row>
    <row r="1290" spans="1:4">
      <c r="A1290" s="7" t="s">
        <v>964</v>
      </c>
      <c r="B1290" s="46">
        <v>58629390</v>
      </c>
      <c r="C1290" s="46">
        <v>1763689</v>
      </c>
      <c r="D1290" s="49">
        <f t="shared" si="38"/>
        <v>56865701</v>
      </c>
    </row>
    <row r="1291" spans="1:4">
      <c r="A1291" s="7" t="s">
        <v>965</v>
      </c>
      <c r="B1291" s="46">
        <v>27163493</v>
      </c>
      <c r="C1291" s="46">
        <v>817132</v>
      </c>
      <c r="D1291" s="49">
        <f t="shared" si="38"/>
        <v>26346361</v>
      </c>
    </row>
    <row r="1292" spans="1:4">
      <c r="A1292" s="7" t="s">
        <v>966</v>
      </c>
      <c r="B1292" s="46">
        <v>23984360</v>
      </c>
      <c r="C1292" s="46">
        <v>721497</v>
      </c>
      <c r="D1292" s="49">
        <f t="shared" si="38"/>
        <v>23262863</v>
      </c>
    </row>
    <row r="1293" spans="1:4">
      <c r="A1293" s="7" t="s">
        <v>967</v>
      </c>
      <c r="B1293" s="46">
        <v>29953306</v>
      </c>
      <c r="C1293" s="46">
        <v>901053</v>
      </c>
      <c r="D1293" s="49">
        <f t="shared" si="38"/>
        <v>29052253</v>
      </c>
    </row>
    <row r="1294" spans="1:4">
      <c r="A1294" s="7" t="s">
        <v>1442</v>
      </c>
      <c r="B1294" s="46">
        <v>269992</v>
      </c>
      <c r="C1294" s="46">
        <v>7878</v>
      </c>
      <c r="D1294" s="49">
        <f t="shared" si="38"/>
        <v>262114</v>
      </c>
    </row>
    <row r="1295" spans="1:4">
      <c r="A1295" s="7" t="s">
        <v>594</v>
      </c>
      <c r="B1295" s="46">
        <v>5000</v>
      </c>
      <c r="C1295" s="46">
        <v>5000</v>
      </c>
      <c r="D1295" s="49">
        <f t="shared" ref="D1295:D1357" si="39">B1295-C1295</f>
        <v>0</v>
      </c>
    </row>
    <row r="1296" spans="1:4">
      <c r="A1296" s="7" t="s">
        <v>595</v>
      </c>
      <c r="B1296" s="46">
        <v>38000</v>
      </c>
      <c r="C1296" s="46">
        <v>38000</v>
      </c>
      <c r="D1296" s="49">
        <f t="shared" si="39"/>
        <v>0</v>
      </c>
    </row>
    <row r="1297" spans="1:4">
      <c r="A1297" s="7" t="s">
        <v>971</v>
      </c>
      <c r="B1297" s="46">
        <v>10200444</v>
      </c>
      <c r="C1297" s="46">
        <v>1377060</v>
      </c>
      <c r="D1297" s="49">
        <f t="shared" si="39"/>
        <v>8823384</v>
      </c>
    </row>
    <row r="1298" spans="1:4">
      <c r="A1298" s="7" t="s">
        <v>972</v>
      </c>
      <c r="B1298" s="46">
        <v>2600273</v>
      </c>
      <c r="C1298" s="46">
        <v>351037</v>
      </c>
      <c r="D1298" s="49">
        <f t="shared" si="39"/>
        <v>2249236</v>
      </c>
    </row>
    <row r="1299" spans="1:4">
      <c r="A1299" s="7" t="s">
        <v>973</v>
      </c>
      <c r="B1299" s="46">
        <v>1196769</v>
      </c>
      <c r="C1299" s="46">
        <v>161565</v>
      </c>
      <c r="D1299" s="49">
        <f t="shared" si="39"/>
        <v>1035204</v>
      </c>
    </row>
    <row r="1300" spans="1:4">
      <c r="A1300" s="7" t="s">
        <v>974</v>
      </c>
      <c r="B1300" s="46">
        <v>5175495</v>
      </c>
      <c r="C1300" s="46">
        <v>698689</v>
      </c>
      <c r="D1300" s="49">
        <f t="shared" si="39"/>
        <v>4476806</v>
      </c>
    </row>
    <row r="1301" spans="1:4">
      <c r="A1301" s="7" t="s">
        <v>975</v>
      </c>
      <c r="B1301" s="46">
        <v>14108853</v>
      </c>
      <c r="C1301" s="46">
        <v>1879387</v>
      </c>
      <c r="D1301" s="49">
        <f t="shared" si="39"/>
        <v>12229466</v>
      </c>
    </row>
    <row r="1302" spans="1:4">
      <c r="A1302" s="7" t="s">
        <v>976</v>
      </c>
      <c r="B1302" s="46">
        <v>25618064</v>
      </c>
      <c r="C1302" s="46">
        <v>336200</v>
      </c>
      <c r="D1302" s="49">
        <f t="shared" si="39"/>
        <v>25281864</v>
      </c>
    </row>
    <row r="1303" spans="1:4">
      <c r="A1303" s="7" t="s">
        <v>977</v>
      </c>
      <c r="B1303" s="46">
        <v>5453481</v>
      </c>
      <c r="C1303" s="46">
        <v>736221</v>
      </c>
      <c r="D1303" s="49">
        <f t="shared" si="39"/>
        <v>4717260</v>
      </c>
    </row>
    <row r="1304" spans="1:4">
      <c r="A1304" s="7" t="s">
        <v>978</v>
      </c>
      <c r="B1304" s="46">
        <v>514542</v>
      </c>
      <c r="C1304" s="46">
        <v>69463</v>
      </c>
      <c r="D1304" s="49">
        <f t="shared" si="39"/>
        <v>445079</v>
      </c>
    </row>
    <row r="1305" spans="1:4">
      <c r="A1305" s="7" t="s">
        <v>979</v>
      </c>
      <c r="B1305" s="46">
        <v>3874242</v>
      </c>
      <c r="C1305" s="46">
        <v>523025</v>
      </c>
      <c r="D1305" s="49">
        <f t="shared" si="39"/>
        <v>3351217</v>
      </c>
    </row>
    <row r="1306" spans="1:4">
      <c r="A1306" s="7" t="s">
        <v>980</v>
      </c>
      <c r="B1306" s="46">
        <v>1644545</v>
      </c>
      <c r="C1306" s="46">
        <v>222012</v>
      </c>
      <c r="D1306" s="49">
        <f t="shared" si="39"/>
        <v>1422533</v>
      </c>
    </row>
    <row r="1307" spans="1:4">
      <c r="A1307" s="7" t="s">
        <v>981</v>
      </c>
      <c r="B1307" s="46">
        <v>3132387</v>
      </c>
      <c r="C1307" s="46">
        <v>422871</v>
      </c>
      <c r="D1307" s="49">
        <f t="shared" si="39"/>
        <v>2709516</v>
      </c>
    </row>
    <row r="1308" spans="1:4">
      <c r="A1308" s="7" t="s">
        <v>982</v>
      </c>
      <c r="B1308" s="46">
        <v>592160</v>
      </c>
      <c r="C1308" s="46">
        <v>79941</v>
      </c>
      <c r="D1308" s="49">
        <f t="shared" si="39"/>
        <v>512219</v>
      </c>
    </row>
    <row r="1309" spans="1:4">
      <c r="A1309" s="7" t="s">
        <v>983</v>
      </c>
      <c r="B1309" s="46">
        <v>1778431</v>
      </c>
      <c r="C1309" s="46">
        <v>240089</v>
      </c>
      <c r="D1309" s="49">
        <f t="shared" si="39"/>
        <v>1538342</v>
      </c>
    </row>
    <row r="1310" spans="1:4">
      <c r="A1310" s="7" t="s">
        <v>984</v>
      </c>
      <c r="B1310" s="46">
        <v>6878858</v>
      </c>
      <c r="C1310" s="46">
        <v>928645</v>
      </c>
      <c r="D1310" s="49">
        <f t="shared" si="39"/>
        <v>5950213</v>
      </c>
    </row>
    <row r="1311" spans="1:4">
      <c r="A1311" s="7" t="s">
        <v>985</v>
      </c>
      <c r="B1311" s="46">
        <v>7242872</v>
      </c>
      <c r="C1311" s="46">
        <v>916505</v>
      </c>
      <c r="D1311" s="49">
        <f t="shared" si="39"/>
        <v>6326367</v>
      </c>
    </row>
    <row r="1312" spans="1:4">
      <c r="A1312" s="7" t="s">
        <v>986</v>
      </c>
      <c r="B1312" s="46">
        <v>935983</v>
      </c>
      <c r="C1312" s="46">
        <v>126359</v>
      </c>
      <c r="D1312" s="49">
        <f t="shared" si="39"/>
        <v>809624</v>
      </c>
    </row>
    <row r="1313" spans="1:4">
      <c r="A1313" s="7" t="s">
        <v>987</v>
      </c>
      <c r="B1313" s="46">
        <v>873133</v>
      </c>
      <c r="C1313" s="46">
        <v>117873</v>
      </c>
      <c r="D1313" s="49">
        <f t="shared" si="39"/>
        <v>755260</v>
      </c>
    </row>
    <row r="1314" spans="1:4">
      <c r="A1314" s="7" t="s">
        <v>988</v>
      </c>
      <c r="B1314" s="46">
        <v>561810</v>
      </c>
      <c r="C1314" s="46">
        <v>75844</v>
      </c>
      <c r="D1314" s="49">
        <f t="shared" si="39"/>
        <v>485966</v>
      </c>
    </row>
    <row r="1315" spans="1:4">
      <c r="A1315" s="7" t="s">
        <v>989</v>
      </c>
      <c r="B1315" s="46">
        <v>578025</v>
      </c>
      <c r="C1315" s="46">
        <v>78034</v>
      </c>
      <c r="D1315" s="49">
        <f t="shared" si="39"/>
        <v>499991</v>
      </c>
    </row>
    <row r="1316" spans="1:4">
      <c r="A1316" s="7" t="s">
        <v>990</v>
      </c>
      <c r="B1316" s="46">
        <v>5129594</v>
      </c>
      <c r="C1316" s="46">
        <v>692496</v>
      </c>
      <c r="D1316" s="49">
        <f t="shared" si="39"/>
        <v>4437098</v>
      </c>
    </row>
    <row r="1317" spans="1:4">
      <c r="A1317" s="7" t="s">
        <v>991</v>
      </c>
      <c r="B1317" s="46">
        <v>1922859</v>
      </c>
      <c r="C1317" s="46">
        <v>214636</v>
      </c>
      <c r="D1317" s="49">
        <f t="shared" si="39"/>
        <v>1708223</v>
      </c>
    </row>
    <row r="1318" spans="1:4">
      <c r="A1318" s="7" t="s">
        <v>992</v>
      </c>
      <c r="B1318" s="46">
        <v>3769537</v>
      </c>
      <c r="C1318" s="46">
        <v>508886</v>
      </c>
      <c r="D1318" s="49">
        <f t="shared" si="39"/>
        <v>3260651</v>
      </c>
    </row>
    <row r="1319" spans="1:4">
      <c r="A1319" s="7" t="s">
        <v>993</v>
      </c>
      <c r="B1319" s="46">
        <v>1175852</v>
      </c>
      <c r="C1319" s="46">
        <v>158740</v>
      </c>
      <c r="D1319" s="49">
        <f t="shared" si="39"/>
        <v>1017112</v>
      </c>
    </row>
    <row r="1320" spans="1:4">
      <c r="A1320" s="7" t="s">
        <v>994</v>
      </c>
      <c r="B1320" s="46">
        <v>824299</v>
      </c>
      <c r="C1320" s="46">
        <v>111281</v>
      </c>
      <c r="D1320" s="49">
        <f t="shared" si="39"/>
        <v>713018</v>
      </c>
    </row>
    <row r="1321" spans="1:4">
      <c r="A1321" s="7" t="s">
        <v>995</v>
      </c>
      <c r="B1321" s="46">
        <v>8509095</v>
      </c>
      <c r="C1321" s="46">
        <v>1148728</v>
      </c>
      <c r="D1321" s="49">
        <f t="shared" si="39"/>
        <v>7360367</v>
      </c>
    </row>
    <row r="1322" spans="1:4">
      <c r="A1322" s="7" t="s">
        <v>996</v>
      </c>
      <c r="B1322" s="46">
        <v>13528131</v>
      </c>
      <c r="C1322" s="46">
        <v>1826297</v>
      </c>
      <c r="D1322" s="49">
        <f t="shared" si="39"/>
        <v>11701834</v>
      </c>
    </row>
    <row r="1323" spans="1:4">
      <c r="A1323" s="7" t="s">
        <v>997</v>
      </c>
      <c r="B1323" s="46">
        <v>1339950</v>
      </c>
      <c r="C1323" s="46">
        <v>180893</v>
      </c>
      <c r="D1323" s="49">
        <f t="shared" si="39"/>
        <v>1159057</v>
      </c>
    </row>
    <row r="1324" spans="1:4">
      <c r="A1324" s="7" t="s">
        <v>998</v>
      </c>
      <c r="B1324" s="46">
        <v>557896</v>
      </c>
      <c r="C1324" s="46">
        <v>75317</v>
      </c>
      <c r="D1324" s="49">
        <f t="shared" si="39"/>
        <v>482579</v>
      </c>
    </row>
    <row r="1325" spans="1:4">
      <c r="A1325" s="7" t="s">
        <v>999</v>
      </c>
      <c r="B1325" s="46">
        <v>8661813</v>
      </c>
      <c r="C1325" s="46">
        <v>1169346</v>
      </c>
      <c r="D1325" s="49">
        <f t="shared" si="39"/>
        <v>7492467</v>
      </c>
    </row>
    <row r="1326" spans="1:4">
      <c r="A1326" s="7" t="s">
        <v>1000</v>
      </c>
      <c r="B1326" s="46">
        <v>9744651</v>
      </c>
      <c r="C1326" s="46">
        <v>1315530</v>
      </c>
      <c r="D1326" s="49">
        <f t="shared" si="39"/>
        <v>8429121</v>
      </c>
    </row>
    <row r="1327" spans="1:4">
      <c r="A1327" s="7" t="s">
        <v>1001</v>
      </c>
      <c r="B1327" s="46">
        <v>1416150</v>
      </c>
      <c r="C1327" s="46">
        <v>191180</v>
      </c>
      <c r="D1327" s="49">
        <f t="shared" si="39"/>
        <v>1224970</v>
      </c>
    </row>
    <row r="1328" spans="1:4">
      <c r="A1328" s="7" t="s">
        <v>1002</v>
      </c>
      <c r="B1328" s="46">
        <v>1608761</v>
      </c>
      <c r="C1328" s="46">
        <v>217183</v>
      </c>
      <c r="D1328" s="49">
        <f t="shared" si="39"/>
        <v>1391578</v>
      </c>
    </row>
    <row r="1329" spans="1:4">
      <c r="A1329" s="7" t="s">
        <v>1003</v>
      </c>
      <c r="B1329" s="46">
        <v>4562475</v>
      </c>
      <c r="C1329" s="46">
        <v>615935</v>
      </c>
      <c r="D1329" s="49">
        <f t="shared" si="39"/>
        <v>3946540</v>
      </c>
    </row>
    <row r="1330" spans="1:4">
      <c r="A1330" s="7" t="s">
        <v>1004</v>
      </c>
      <c r="B1330" s="46">
        <v>1025545</v>
      </c>
      <c r="C1330" s="46">
        <v>138449</v>
      </c>
      <c r="D1330" s="49">
        <f t="shared" si="39"/>
        <v>887096</v>
      </c>
    </row>
    <row r="1331" spans="1:4">
      <c r="A1331" s="7" t="s">
        <v>1005</v>
      </c>
      <c r="B1331" s="46">
        <v>171137774</v>
      </c>
      <c r="C1331" s="46">
        <v>23103600</v>
      </c>
      <c r="D1331" s="49">
        <f t="shared" si="39"/>
        <v>148034174</v>
      </c>
    </row>
    <row r="1332" spans="1:4">
      <c r="A1332" s="7" t="s">
        <v>1006</v>
      </c>
      <c r="B1332" s="46">
        <v>20279867</v>
      </c>
      <c r="C1332" s="46">
        <v>2737781</v>
      </c>
      <c r="D1332" s="49">
        <f t="shared" si="39"/>
        <v>17542086</v>
      </c>
    </row>
    <row r="1333" spans="1:4">
      <c r="A1333" s="7" t="s">
        <v>1007</v>
      </c>
      <c r="B1333" s="46">
        <v>65540071</v>
      </c>
      <c r="C1333" s="46">
        <v>8847910</v>
      </c>
      <c r="D1333" s="49">
        <f t="shared" si="39"/>
        <v>56692161</v>
      </c>
    </row>
    <row r="1334" spans="1:4">
      <c r="A1334" s="7" t="s">
        <v>1008</v>
      </c>
      <c r="B1334" s="46">
        <v>10976246</v>
      </c>
      <c r="C1334" s="46">
        <v>1481790</v>
      </c>
      <c r="D1334" s="49">
        <f t="shared" si="39"/>
        <v>9494456</v>
      </c>
    </row>
    <row r="1335" spans="1:4">
      <c r="A1335" s="7" t="s">
        <v>1009</v>
      </c>
      <c r="B1335" s="46">
        <v>14065456</v>
      </c>
      <c r="C1335" s="46">
        <v>1898837</v>
      </c>
      <c r="D1335" s="49">
        <f t="shared" si="39"/>
        <v>12166619</v>
      </c>
    </row>
    <row r="1336" spans="1:4">
      <c r="A1336" s="7" t="s">
        <v>1010</v>
      </c>
      <c r="B1336" s="46">
        <v>3735695</v>
      </c>
      <c r="C1336" s="46">
        <v>504319</v>
      </c>
      <c r="D1336" s="49">
        <f t="shared" si="39"/>
        <v>3231376</v>
      </c>
    </row>
    <row r="1337" spans="1:4">
      <c r="A1337" s="7" t="s">
        <v>1011</v>
      </c>
      <c r="B1337" s="46">
        <v>2268749</v>
      </c>
      <c r="C1337" s="46">
        <v>306281</v>
      </c>
      <c r="D1337" s="49">
        <f t="shared" si="39"/>
        <v>1962468</v>
      </c>
    </row>
    <row r="1338" spans="1:4">
      <c r="A1338" s="7" t="s">
        <v>1012</v>
      </c>
      <c r="B1338" s="46">
        <v>2945345</v>
      </c>
      <c r="C1338" s="46">
        <v>397624</v>
      </c>
      <c r="D1338" s="49">
        <f t="shared" si="39"/>
        <v>2547721</v>
      </c>
    </row>
    <row r="1339" spans="1:4">
      <c r="A1339" s="7" t="s">
        <v>1013</v>
      </c>
      <c r="B1339" s="46">
        <v>388113</v>
      </c>
      <c r="C1339" s="46">
        <v>52396</v>
      </c>
      <c r="D1339" s="49">
        <f t="shared" si="39"/>
        <v>335717</v>
      </c>
    </row>
    <row r="1340" spans="1:4">
      <c r="A1340" s="7" t="s">
        <v>1014</v>
      </c>
      <c r="B1340" s="46">
        <v>327562</v>
      </c>
      <c r="C1340" s="46">
        <v>44221</v>
      </c>
      <c r="D1340" s="49">
        <f t="shared" si="39"/>
        <v>283341</v>
      </c>
    </row>
    <row r="1341" spans="1:4">
      <c r="A1341" s="7" t="s">
        <v>1015</v>
      </c>
      <c r="B1341" s="46">
        <v>5145318</v>
      </c>
      <c r="C1341" s="46">
        <v>694617</v>
      </c>
      <c r="D1341" s="49">
        <f t="shared" si="39"/>
        <v>4450701</v>
      </c>
    </row>
    <row r="1342" spans="1:4">
      <c r="A1342" s="7" t="s">
        <v>1016</v>
      </c>
      <c r="B1342" s="46">
        <v>1904034</v>
      </c>
      <c r="C1342" s="46">
        <v>257047</v>
      </c>
      <c r="D1342" s="49">
        <f t="shared" si="39"/>
        <v>1646987</v>
      </c>
    </row>
    <row r="1343" spans="1:4">
      <c r="A1343" s="7" t="s">
        <v>1017</v>
      </c>
      <c r="B1343" s="46">
        <v>581038</v>
      </c>
      <c r="C1343" s="46">
        <v>78441</v>
      </c>
      <c r="D1343" s="49">
        <f t="shared" si="39"/>
        <v>502597</v>
      </c>
    </row>
    <row r="1344" spans="1:4">
      <c r="A1344" s="7" t="s">
        <v>1018</v>
      </c>
      <c r="B1344" s="46">
        <v>8300143</v>
      </c>
      <c r="C1344" s="46">
        <v>1120520</v>
      </c>
      <c r="D1344" s="49">
        <f t="shared" si="39"/>
        <v>7179623</v>
      </c>
    </row>
    <row r="1345" spans="1:4">
      <c r="A1345" s="7" t="s">
        <v>1019</v>
      </c>
      <c r="B1345" s="46">
        <v>171329</v>
      </c>
      <c r="C1345" s="46">
        <v>23130</v>
      </c>
      <c r="D1345" s="49">
        <f t="shared" si="39"/>
        <v>148199</v>
      </c>
    </row>
    <row r="1346" spans="1:4">
      <c r="A1346" s="7" t="s">
        <v>1020</v>
      </c>
      <c r="B1346" s="46">
        <v>637612</v>
      </c>
      <c r="C1346" s="46">
        <v>86077</v>
      </c>
      <c r="D1346" s="49">
        <f t="shared" si="39"/>
        <v>551535</v>
      </c>
    </row>
    <row r="1347" spans="1:4">
      <c r="A1347" s="7" t="s">
        <v>1021</v>
      </c>
      <c r="B1347" s="46">
        <v>352608</v>
      </c>
      <c r="C1347" s="46">
        <v>47601</v>
      </c>
      <c r="D1347" s="49">
        <f t="shared" si="39"/>
        <v>305007</v>
      </c>
    </row>
    <row r="1348" spans="1:4">
      <c r="A1348" s="7" t="s">
        <v>1022</v>
      </c>
      <c r="B1348" s="46">
        <v>5272917</v>
      </c>
      <c r="C1348" s="46">
        <v>711843</v>
      </c>
      <c r="D1348" s="49">
        <f t="shared" si="39"/>
        <v>4561074</v>
      </c>
    </row>
    <row r="1349" spans="1:4">
      <c r="A1349" s="7" t="s">
        <v>1023</v>
      </c>
      <c r="B1349" s="46">
        <v>4579947</v>
      </c>
      <c r="C1349" s="46">
        <v>618293</v>
      </c>
      <c r="D1349" s="49">
        <f t="shared" si="39"/>
        <v>3961654</v>
      </c>
    </row>
    <row r="1350" spans="1:4">
      <c r="A1350" s="7" t="s">
        <v>1024</v>
      </c>
      <c r="B1350" s="46">
        <v>379778</v>
      </c>
      <c r="C1350" s="46">
        <v>51271</v>
      </c>
      <c r="D1350" s="49">
        <f t="shared" si="39"/>
        <v>328507</v>
      </c>
    </row>
    <row r="1351" spans="1:4">
      <c r="A1351" s="7" t="s">
        <v>1025</v>
      </c>
      <c r="B1351" s="46">
        <v>1785821</v>
      </c>
      <c r="C1351" s="46">
        <v>241085</v>
      </c>
      <c r="D1351" s="49">
        <f t="shared" si="39"/>
        <v>1544736</v>
      </c>
    </row>
    <row r="1352" spans="1:4">
      <c r="A1352" s="7" t="s">
        <v>1026</v>
      </c>
      <c r="B1352" s="46">
        <v>1610032</v>
      </c>
      <c r="C1352" s="46">
        <v>217354</v>
      </c>
      <c r="D1352" s="49">
        <f t="shared" si="39"/>
        <v>1392678</v>
      </c>
    </row>
    <row r="1353" spans="1:4">
      <c r="A1353" s="7" t="s">
        <v>1027</v>
      </c>
      <c r="B1353" s="46">
        <v>4497512</v>
      </c>
      <c r="C1353" s="46">
        <v>607163</v>
      </c>
      <c r="D1353" s="49">
        <f t="shared" si="39"/>
        <v>3890349</v>
      </c>
    </row>
    <row r="1354" spans="1:4">
      <c r="A1354" s="7" t="s">
        <v>1028</v>
      </c>
      <c r="B1354" s="46">
        <v>7920554</v>
      </c>
      <c r="C1354" s="46">
        <v>1069273</v>
      </c>
      <c r="D1354" s="49">
        <f t="shared" si="39"/>
        <v>6851281</v>
      </c>
    </row>
    <row r="1355" spans="1:4">
      <c r="A1355" s="7" t="s">
        <v>1029</v>
      </c>
      <c r="B1355" s="46">
        <v>273279</v>
      </c>
      <c r="C1355" s="46">
        <v>36892</v>
      </c>
      <c r="D1355" s="49">
        <f t="shared" si="39"/>
        <v>236387</v>
      </c>
    </row>
    <row r="1356" spans="1:4">
      <c r="A1356" s="7" t="s">
        <v>1030</v>
      </c>
      <c r="B1356" s="46">
        <v>3595920</v>
      </c>
      <c r="C1356" s="46">
        <v>485450</v>
      </c>
      <c r="D1356" s="49">
        <f t="shared" si="39"/>
        <v>3110470</v>
      </c>
    </row>
    <row r="1357" spans="1:4">
      <c r="A1357" s="7" t="s">
        <v>1031</v>
      </c>
      <c r="B1357" s="46">
        <v>4828450</v>
      </c>
      <c r="C1357" s="46">
        <v>651840</v>
      </c>
      <c r="D1357" s="49">
        <f t="shared" si="39"/>
        <v>4176610</v>
      </c>
    </row>
    <row r="1358" spans="1:4">
      <c r="A1358" s="7" t="s">
        <v>1032</v>
      </c>
      <c r="B1358" s="46">
        <v>15980665</v>
      </c>
      <c r="C1358" s="46">
        <v>2157390</v>
      </c>
      <c r="D1358" s="49">
        <f t="shared" ref="D1358:D1421" si="40">B1358-C1358</f>
        <v>13823275</v>
      </c>
    </row>
    <row r="1359" spans="1:4">
      <c r="A1359" s="7" t="s">
        <v>1033</v>
      </c>
      <c r="B1359" s="46">
        <v>1735673</v>
      </c>
      <c r="C1359" s="46">
        <v>234317</v>
      </c>
      <c r="D1359" s="49">
        <f t="shared" si="40"/>
        <v>1501356</v>
      </c>
    </row>
    <row r="1360" spans="1:4">
      <c r="A1360" s="7" t="s">
        <v>1034</v>
      </c>
      <c r="B1360" s="46">
        <v>7787908</v>
      </c>
      <c r="C1360" s="46">
        <v>1051367</v>
      </c>
      <c r="D1360" s="49">
        <f t="shared" si="40"/>
        <v>6736541</v>
      </c>
    </row>
    <row r="1361" spans="1:4">
      <c r="A1361" s="7" t="s">
        <v>1035</v>
      </c>
      <c r="B1361" s="46">
        <v>22861122</v>
      </c>
      <c r="C1361" s="46">
        <v>3086253</v>
      </c>
      <c r="D1361" s="49">
        <f t="shared" si="40"/>
        <v>19774869</v>
      </c>
    </row>
    <row r="1362" spans="1:4">
      <c r="A1362" s="7" t="s">
        <v>1036</v>
      </c>
      <c r="B1362" s="46">
        <v>11012815</v>
      </c>
      <c r="C1362" s="46">
        <v>1486731</v>
      </c>
      <c r="D1362" s="49">
        <f t="shared" si="40"/>
        <v>9526084</v>
      </c>
    </row>
    <row r="1363" spans="1:4">
      <c r="A1363" s="7" t="s">
        <v>1037</v>
      </c>
      <c r="B1363" s="46">
        <v>1910122</v>
      </c>
      <c r="C1363" s="46">
        <v>257868</v>
      </c>
      <c r="D1363" s="49">
        <f t="shared" si="40"/>
        <v>1652254</v>
      </c>
    </row>
    <row r="1364" spans="1:4">
      <c r="A1364" s="7" t="s">
        <v>1038</v>
      </c>
      <c r="B1364" s="46">
        <v>8422504</v>
      </c>
      <c r="C1364" s="46">
        <v>1137039</v>
      </c>
      <c r="D1364" s="49">
        <f t="shared" si="40"/>
        <v>7285465</v>
      </c>
    </row>
    <row r="1365" spans="1:4">
      <c r="A1365" s="7" t="s">
        <v>1039</v>
      </c>
      <c r="B1365" s="46">
        <v>5007133</v>
      </c>
      <c r="C1365" s="46">
        <v>675963</v>
      </c>
      <c r="D1365" s="49">
        <f t="shared" si="40"/>
        <v>4331170</v>
      </c>
    </row>
    <row r="1366" spans="1:4">
      <c r="A1366" s="7" t="s">
        <v>1040</v>
      </c>
      <c r="B1366" s="46">
        <v>645689</v>
      </c>
      <c r="C1366" s="46">
        <v>87166</v>
      </c>
      <c r="D1366" s="49">
        <f t="shared" si="40"/>
        <v>558523</v>
      </c>
    </row>
    <row r="1367" spans="1:4">
      <c r="A1367" s="7" t="s">
        <v>1041</v>
      </c>
      <c r="B1367" s="46">
        <v>5650637</v>
      </c>
      <c r="C1367" s="46">
        <v>741463</v>
      </c>
      <c r="D1367" s="49">
        <f t="shared" si="40"/>
        <v>4909174</v>
      </c>
    </row>
    <row r="1368" spans="1:4">
      <c r="A1368" s="7" t="s">
        <v>1042</v>
      </c>
      <c r="B1368" s="46">
        <v>1082453</v>
      </c>
      <c r="C1368" s="46">
        <v>146131</v>
      </c>
      <c r="D1368" s="49">
        <f t="shared" si="40"/>
        <v>936322</v>
      </c>
    </row>
    <row r="1369" spans="1:4">
      <c r="A1369" s="7" t="s">
        <v>1043</v>
      </c>
      <c r="B1369" s="46">
        <v>2920481</v>
      </c>
      <c r="C1369" s="46">
        <v>394265</v>
      </c>
      <c r="D1369" s="49">
        <f t="shared" si="40"/>
        <v>2526216</v>
      </c>
    </row>
    <row r="1370" spans="1:4">
      <c r="A1370" s="7" t="s">
        <v>1044</v>
      </c>
      <c r="B1370" s="46">
        <v>240164</v>
      </c>
      <c r="C1370" s="46">
        <v>32422</v>
      </c>
      <c r="D1370" s="49">
        <f t="shared" si="40"/>
        <v>207742</v>
      </c>
    </row>
    <row r="1371" spans="1:4">
      <c r="A1371" s="7" t="s">
        <v>1045</v>
      </c>
      <c r="B1371" s="46">
        <v>901432</v>
      </c>
      <c r="C1371" s="46">
        <v>121692</v>
      </c>
      <c r="D1371" s="49">
        <f t="shared" si="40"/>
        <v>779740</v>
      </c>
    </row>
    <row r="1372" spans="1:4">
      <c r="A1372" s="7" t="s">
        <v>1046</v>
      </c>
      <c r="B1372" s="46">
        <v>1105619</v>
      </c>
      <c r="C1372" s="46">
        <v>149258</v>
      </c>
      <c r="D1372" s="49">
        <f t="shared" si="40"/>
        <v>956361</v>
      </c>
    </row>
    <row r="1373" spans="1:4">
      <c r="A1373" s="7" t="s">
        <v>1047</v>
      </c>
      <c r="B1373" s="46">
        <v>279050</v>
      </c>
      <c r="C1373" s="46">
        <v>37671</v>
      </c>
      <c r="D1373" s="49">
        <f t="shared" si="40"/>
        <v>241379</v>
      </c>
    </row>
    <row r="1374" spans="1:4">
      <c r="A1374" s="7" t="s">
        <v>1048</v>
      </c>
      <c r="B1374" s="46">
        <v>2139050</v>
      </c>
      <c r="C1374" s="46">
        <v>288772</v>
      </c>
      <c r="D1374" s="49">
        <f t="shared" si="40"/>
        <v>1850278</v>
      </c>
    </row>
    <row r="1375" spans="1:4">
      <c r="A1375" s="7" t="s">
        <v>1049</v>
      </c>
      <c r="B1375" s="46">
        <v>1081073</v>
      </c>
      <c r="C1375" s="46">
        <v>145946</v>
      </c>
      <c r="D1375" s="49">
        <f t="shared" si="40"/>
        <v>935127</v>
      </c>
    </row>
    <row r="1376" spans="1:4">
      <c r="A1376" s="7" t="s">
        <v>1050</v>
      </c>
      <c r="B1376" s="46">
        <v>252743</v>
      </c>
      <c r="C1376" s="46">
        <v>34120</v>
      </c>
      <c r="D1376" s="49">
        <f t="shared" si="40"/>
        <v>218623</v>
      </c>
    </row>
    <row r="1377" spans="1:4">
      <c r="A1377" s="7" t="s">
        <v>1051</v>
      </c>
      <c r="B1377" s="46">
        <v>3023344</v>
      </c>
      <c r="C1377" s="46">
        <v>408151</v>
      </c>
      <c r="D1377" s="49">
        <f t="shared" si="40"/>
        <v>2615193</v>
      </c>
    </row>
    <row r="1378" spans="1:4">
      <c r="A1378" s="7" t="s">
        <v>1052</v>
      </c>
      <c r="B1378" s="46">
        <v>1137890</v>
      </c>
      <c r="C1378" s="46">
        <v>153615</v>
      </c>
      <c r="D1378" s="49">
        <f t="shared" si="40"/>
        <v>984275</v>
      </c>
    </row>
    <row r="1379" spans="1:4">
      <c r="A1379" s="7" t="s">
        <v>1053</v>
      </c>
      <c r="B1379" s="46">
        <v>1363699</v>
      </c>
      <c r="C1379" s="46">
        <v>184101</v>
      </c>
      <c r="D1379" s="49">
        <f t="shared" si="40"/>
        <v>1179598</v>
      </c>
    </row>
    <row r="1380" spans="1:4">
      <c r="A1380" s="7" t="s">
        <v>1054</v>
      </c>
      <c r="B1380" s="46">
        <v>1199394</v>
      </c>
      <c r="C1380" s="46">
        <v>161917</v>
      </c>
      <c r="D1380" s="49">
        <f t="shared" si="40"/>
        <v>1037477</v>
      </c>
    </row>
    <row r="1381" spans="1:4">
      <c r="A1381" s="7" t="s">
        <v>1055</v>
      </c>
      <c r="B1381" s="46">
        <v>5870792</v>
      </c>
      <c r="C1381" s="46">
        <v>792556</v>
      </c>
      <c r="D1381" s="49">
        <f t="shared" si="40"/>
        <v>5078236</v>
      </c>
    </row>
    <row r="1382" spans="1:4">
      <c r="A1382" s="7" t="s">
        <v>1056</v>
      </c>
      <c r="B1382" s="46">
        <v>23440110</v>
      </c>
      <c r="C1382" s="46">
        <v>3164416</v>
      </c>
      <c r="D1382" s="49">
        <f t="shared" si="40"/>
        <v>20275694</v>
      </c>
    </row>
    <row r="1383" spans="1:4">
      <c r="A1383" s="7" t="s">
        <v>1057</v>
      </c>
      <c r="B1383" s="46">
        <v>541164</v>
      </c>
      <c r="C1383" s="46">
        <v>73057</v>
      </c>
      <c r="D1383" s="49">
        <f t="shared" si="40"/>
        <v>468107</v>
      </c>
    </row>
    <row r="1384" spans="1:4">
      <c r="A1384" s="7" t="s">
        <v>1058</v>
      </c>
      <c r="B1384" s="46">
        <v>3335076</v>
      </c>
      <c r="C1384" s="46">
        <v>450237</v>
      </c>
      <c r="D1384" s="49">
        <f t="shared" si="40"/>
        <v>2884839</v>
      </c>
    </row>
    <row r="1385" spans="1:4">
      <c r="A1385" s="7" t="s">
        <v>1059</v>
      </c>
      <c r="B1385" s="46">
        <v>2781121</v>
      </c>
      <c r="C1385" s="46">
        <v>375452</v>
      </c>
      <c r="D1385" s="49">
        <f t="shared" si="40"/>
        <v>2405669</v>
      </c>
    </row>
    <row r="1386" spans="1:4">
      <c r="A1386" s="7" t="s">
        <v>1059</v>
      </c>
      <c r="B1386" s="46">
        <v>2029404</v>
      </c>
      <c r="C1386" s="46">
        <v>273970</v>
      </c>
      <c r="D1386" s="49">
        <f t="shared" si="40"/>
        <v>1755434</v>
      </c>
    </row>
    <row r="1387" spans="1:4">
      <c r="A1387" s="7" t="s">
        <v>1060</v>
      </c>
      <c r="B1387" s="46">
        <v>6392494</v>
      </c>
      <c r="C1387" s="46">
        <v>862986</v>
      </c>
      <c r="D1387" s="49">
        <f t="shared" si="40"/>
        <v>5529508</v>
      </c>
    </row>
    <row r="1388" spans="1:4">
      <c r="A1388" s="7" t="s">
        <v>1061</v>
      </c>
      <c r="B1388" s="46">
        <v>4024151</v>
      </c>
      <c r="C1388" s="46">
        <v>543259</v>
      </c>
      <c r="D1388" s="49">
        <f t="shared" si="40"/>
        <v>3480892</v>
      </c>
    </row>
    <row r="1389" spans="1:4">
      <c r="A1389" s="7" t="s">
        <v>1062</v>
      </c>
      <c r="B1389" s="46">
        <v>27247279</v>
      </c>
      <c r="C1389" s="46">
        <v>3678382</v>
      </c>
      <c r="D1389" s="49">
        <f t="shared" si="40"/>
        <v>23568897</v>
      </c>
    </row>
    <row r="1390" spans="1:4">
      <c r="A1390" s="7" t="s">
        <v>1063</v>
      </c>
      <c r="B1390" s="46">
        <v>3458134</v>
      </c>
      <c r="C1390" s="46">
        <v>466848</v>
      </c>
      <c r="D1390" s="49">
        <f t="shared" si="40"/>
        <v>2991286</v>
      </c>
    </row>
    <row r="1391" spans="1:4">
      <c r="A1391" s="7" t="s">
        <v>1064</v>
      </c>
      <c r="B1391" s="46">
        <v>251077</v>
      </c>
      <c r="C1391" s="46">
        <v>33897</v>
      </c>
      <c r="D1391" s="49">
        <f t="shared" si="40"/>
        <v>217180</v>
      </c>
    </row>
    <row r="1392" spans="1:4">
      <c r="A1392" s="7" t="s">
        <v>1065</v>
      </c>
      <c r="B1392" s="46">
        <v>1352949</v>
      </c>
      <c r="C1392" s="46">
        <v>182649</v>
      </c>
      <c r="D1392" s="49">
        <f t="shared" si="40"/>
        <v>1170300</v>
      </c>
    </row>
    <row r="1393" spans="1:4">
      <c r="A1393" s="7" t="s">
        <v>1066</v>
      </c>
      <c r="B1393" s="46">
        <v>1231991</v>
      </c>
      <c r="C1393" s="46">
        <v>166319</v>
      </c>
      <c r="D1393" s="49">
        <f t="shared" si="40"/>
        <v>1065672</v>
      </c>
    </row>
    <row r="1394" spans="1:4">
      <c r="A1394" s="7" t="s">
        <v>1067</v>
      </c>
      <c r="B1394" s="46">
        <v>2606090</v>
      </c>
      <c r="C1394" s="46">
        <v>351822</v>
      </c>
      <c r="D1394" s="49">
        <f t="shared" si="40"/>
        <v>2254268</v>
      </c>
    </row>
    <row r="1395" spans="1:4">
      <c r="A1395" s="7" t="s">
        <v>1068</v>
      </c>
      <c r="B1395" s="46">
        <v>1270743</v>
      </c>
      <c r="C1395" s="46">
        <v>171549</v>
      </c>
      <c r="D1395" s="49">
        <f t="shared" si="40"/>
        <v>1099194</v>
      </c>
    </row>
    <row r="1396" spans="1:4">
      <c r="A1396" s="7" t="s">
        <v>1069</v>
      </c>
      <c r="B1396" s="46">
        <v>5597351</v>
      </c>
      <c r="C1396" s="46">
        <v>755644</v>
      </c>
      <c r="D1396" s="49">
        <f t="shared" si="40"/>
        <v>4841707</v>
      </c>
    </row>
    <row r="1397" spans="1:4">
      <c r="A1397" s="7" t="s">
        <v>1070</v>
      </c>
      <c r="B1397" s="46">
        <v>273159</v>
      </c>
      <c r="C1397" s="46">
        <v>36878</v>
      </c>
      <c r="D1397" s="49">
        <f t="shared" si="40"/>
        <v>236281</v>
      </c>
    </row>
    <row r="1398" spans="1:4">
      <c r="A1398" s="7" t="s">
        <v>1071</v>
      </c>
      <c r="B1398" s="46">
        <v>4993309</v>
      </c>
      <c r="C1398" s="46">
        <v>674097</v>
      </c>
      <c r="D1398" s="49">
        <f t="shared" si="40"/>
        <v>4319212</v>
      </c>
    </row>
    <row r="1399" spans="1:4">
      <c r="A1399" s="7" t="s">
        <v>1072</v>
      </c>
      <c r="B1399" s="46">
        <v>605928</v>
      </c>
      <c r="C1399" s="46">
        <v>81800</v>
      </c>
      <c r="D1399" s="49">
        <f t="shared" si="40"/>
        <v>524128</v>
      </c>
    </row>
    <row r="1400" spans="1:4">
      <c r="A1400" s="7" t="s">
        <v>1073</v>
      </c>
      <c r="B1400" s="46">
        <v>8470061</v>
      </c>
      <c r="C1400" s="46">
        <v>1143459</v>
      </c>
      <c r="D1400" s="49">
        <f t="shared" si="40"/>
        <v>7326602</v>
      </c>
    </row>
    <row r="1401" spans="1:4">
      <c r="A1401" s="7" t="s">
        <v>1074</v>
      </c>
      <c r="B1401" s="46">
        <v>1744616</v>
      </c>
      <c r="C1401" s="46">
        <v>205003</v>
      </c>
      <c r="D1401" s="49">
        <f t="shared" si="40"/>
        <v>1539613</v>
      </c>
    </row>
    <row r="1402" spans="1:4">
      <c r="A1402" s="7" t="s">
        <v>1075</v>
      </c>
      <c r="B1402" s="46">
        <v>1747670</v>
      </c>
      <c r="C1402" s="46">
        <v>235935</v>
      </c>
      <c r="D1402" s="49">
        <f t="shared" si="40"/>
        <v>1511735</v>
      </c>
    </row>
    <row r="1403" spans="1:4">
      <c r="A1403" s="7" t="s">
        <v>1076</v>
      </c>
      <c r="B1403" s="46">
        <v>1232027</v>
      </c>
      <c r="C1403" s="46">
        <v>166324</v>
      </c>
      <c r="D1403" s="49">
        <f t="shared" si="40"/>
        <v>1065703</v>
      </c>
    </row>
    <row r="1404" spans="1:4">
      <c r="A1404" s="7" t="s">
        <v>1077</v>
      </c>
      <c r="B1404" s="46">
        <v>5775438</v>
      </c>
      <c r="C1404" s="46">
        <v>779684</v>
      </c>
      <c r="D1404" s="49">
        <f t="shared" si="40"/>
        <v>4995754</v>
      </c>
    </row>
    <row r="1405" spans="1:4">
      <c r="A1405" s="7" t="s">
        <v>1078</v>
      </c>
      <c r="B1405" s="46">
        <v>1168680</v>
      </c>
      <c r="C1405" s="46">
        <v>157771</v>
      </c>
      <c r="D1405" s="49">
        <f t="shared" si="40"/>
        <v>1010909</v>
      </c>
    </row>
    <row r="1406" spans="1:4">
      <c r="A1406" s="7" t="s">
        <v>1079</v>
      </c>
      <c r="B1406" s="46">
        <v>12595063</v>
      </c>
      <c r="C1406" s="46">
        <v>1700333</v>
      </c>
      <c r="D1406" s="49">
        <f t="shared" si="40"/>
        <v>10894730</v>
      </c>
    </row>
    <row r="1407" spans="1:4">
      <c r="A1407" s="7" t="s">
        <v>1080</v>
      </c>
      <c r="B1407" s="46">
        <v>10290479</v>
      </c>
      <c r="C1407" s="46">
        <v>1389214</v>
      </c>
      <c r="D1407" s="49">
        <f t="shared" si="40"/>
        <v>8901265</v>
      </c>
    </row>
    <row r="1408" spans="1:4">
      <c r="A1408" s="7" t="s">
        <v>1081</v>
      </c>
      <c r="B1408" s="46">
        <v>11510353</v>
      </c>
      <c r="C1408" s="46">
        <v>1553897</v>
      </c>
      <c r="D1408" s="49">
        <f t="shared" si="40"/>
        <v>9956456</v>
      </c>
    </row>
    <row r="1409" spans="1:4">
      <c r="A1409" s="7" t="s">
        <v>1082</v>
      </c>
      <c r="B1409" s="46">
        <v>3126638</v>
      </c>
      <c r="C1409" s="46">
        <v>422098</v>
      </c>
      <c r="D1409" s="49">
        <f t="shared" si="40"/>
        <v>2704540</v>
      </c>
    </row>
    <row r="1410" spans="1:4">
      <c r="A1410" s="7" t="s">
        <v>1083</v>
      </c>
      <c r="B1410" s="46">
        <v>549923</v>
      </c>
      <c r="C1410" s="46">
        <v>74239</v>
      </c>
      <c r="D1410" s="49">
        <f t="shared" si="40"/>
        <v>475684</v>
      </c>
    </row>
    <row r="1411" spans="1:4">
      <c r="A1411" s="7" t="s">
        <v>1084</v>
      </c>
      <c r="B1411" s="46">
        <v>1036997</v>
      </c>
      <c r="C1411" s="46">
        <v>139993</v>
      </c>
      <c r="D1411" s="49">
        <f t="shared" si="40"/>
        <v>897004</v>
      </c>
    </row>
    <row r="1412" spans="1:4">
      <c r="A1412" s="7" t="s">
        <v>1085</v>
      </c>
      <c r="B1412" s="46">
        <v>2452497</v>
      </c>
      <c r="C1412" s="46">
        <v>331090</v>
      </c>
      <c r="D1412" s="49">
        <f t="shared" si="40"/>
        <v>2121407</v>
      </c>
    </row>
    <row r="1413" spans="1:4">
      <c r="A1413" s="7" t="s">
        <v>1086</v>
      </c>
      <c r="B1413" s="46">
        <v>263694</v>
      </c>
      <c r="C1413" s="46">
        <v>35599</v>
      </c>
      <c r="D1413" s="49">
        <f t="shared" si="40"/>
        <v>228095</v>
      </c>
    </row>
    <row r="1414" spans="1:4">
      <c r="A1414" s="7" t="s">
        <v>1087</v>
      </c>
      <c r="B1414" s="46">
        <v>10582529</v>
      </c>
      <c r="C1414" s="46">
        <v>1428641</v>
      </c>
      <c r="D1414" s="49">
        <f t="shared" si="40"/>
        <v>9153888</v>
      </c>
    </row>
    <row r="1415" spans="1:4">
      <c r="A1415" s="7" t="s">
        <v>1088</v>
      </c>
      <c r="B1415" s="46">
        <v>2774110</v>
      </c>
      <c r="C1415" s="46">
        <v>374505</v>
      </c>
      <c r="D1415" s="49">
        <f t="shared" si="40"/>
        <v>2399605</v>
      </c>
    </row>
    <row r="1416" spans="1:4">
      <c r="A1416" s="7" t="s">
        <v>1089</v>
      </c>
      <c r="B1416" s="46">
        <v>941130</v>
      </c>
      <c r="C1416" s="46">
        <v>127052</v>
      </c>
      <c r="D1416" s="49">
        <f t="shared" si="40"/>
        <v>814078</v>
      </c>
    </row>
    <row r="1417" spans="1:4">
      <c r="A1417" s="7" t="s">
        <v>1090</v>
      </c>
      <c r="B1417" s="46">
        <v>1226551</v>
      </c>
      <c r="C1417" s="46">
        <v>165585</v>
      </c>
      <c r="D1417" s="49">
        <f t="shared" si="40"/>
        <v>1060966</v>
      </c>
    </row>
    <row r="1418" spans="1:4">
      <c r="A1418" s="7" t="s">
        <v>1091</v>
      </c>
      <c r="B1418" s="46">
        <v>999458</v>
      </c>
      <c r="C1418" s="46">
        <v>134927</v>
      </c>
      <c r="D1418" s="49">
        <f t="shared" si="40"/>
        <v>864531</v>
      </c>
    </row>
    <row r="1419" spans="1:4">
      <c r="A1419" s="7" t="s">
        <v>1092</v>
      </c>
      <c r="B1419" s="46">
        <v>18948435</v>
      </c>
      <c r="C1419" s="46">
        <v>2558044</v>
      </c>
      <c r="D1419" s="49">
        <f t="shared" si="40"/>
        <v>16390391</v>
      </c>
    </row>
    <row r="1420" spans="1:4">
      <c r="A1420" s="7" t="s">
        <v>1093</v>
      </c>
      <c r="B1420" s="46">
        <v>2180385</v>
      </c>
      <c r="C1420" s="46">
        <v>294352</v>
      </c>
      <c r="D1420" s="49">
        <f t="shared" si="40"/>
        <v>1886033</v>
      </c>
    </row>
    <row r="1421" spans="1:4">
      <c r="A1421" s="7" t="s">
        <v>1094</v>
      </c>
      <c r="B1421" s="46">
        <v>14334219</v>
      </c>
      <c r="C1421" s="46">
        <v>1935118</v>
      </c>
      <c r="D1421" s="49">
        <f t="shared" si="40"/>
        <v>12399101</v>
      </c>
    </row>
    <row r="1422" spans="1:4">
      <c r="A1422" s="7" t="s">
        <v>1095</v>
      </c>
      <c r="B1422" s="46">
        <v>12187741</v>
      </c>
      <c r="C1422" s="46">
        <v>1645345</v>
      </c>
      <c r="D1422" s="49">
        <f t="shared" ref="D1422:D1485" si="41">B1422-C1422</f>
        <v>10542396</v>
      </c>
    </row>
    <row r="1423" spans="1:4">
      <c r="A1423" s="7" t="s">
        <v>1096</v>
      </c>
      <c r="B1423" s="46">
        <v>342301</v>
      </c>
      <c r="C1423" s="46">
        <v>46209</v>
      </c>
      <c r="D1423" s="49">
        <f t="shared" si="41"/>
        <v>296092</v>
      </c>
    </row>
    <row r="1424" spans="1:4">
      <c r="A1424" s="7" t="s">
        <v>1097</v>
      </c>
      <c r="B1424" s="46">
        <v>1249263</v>
      </c>
      <c r="C1424" s="46">
        <v>160762</v>
      </c>
      <c r="D1424" s="49">
        <f t="shared" si="41"/>
        <v>1088501</v>
      </c>
    </row>
    <row r="1425" spans="1:4">
      <c r="A1425" s="7" t="s">
        <v>1098</v>
      </c>
      <c r="B1425" s="46">
        <v>1981126</v>
      </c>
      <c r="C1425" s="46">
        <v>267454</v>
      </c>
      <c r="D1425" s="49">
        <f t="shared" si="41"/>
        <v>1713672</v>
      </c>
    </row>
    <row r="1426" spans="1:4">
      <c r="A1426" s="7" t="s">
        <v>1099</v>
      </c>
      <c r="B1426" s="46">
        <v>6202082</v>
      </c>
      <c r="C1426" s="46">
        <v>837281</v>
      </c>
      <c r="D1426" s="49">
        <f t="shared" si="41"/>
        <v>5364801</v>
      </c>
    </row>
    <row r="1427" spans="1:4">
      <c r="A1427" s="7" t="s">
        <v>1100</v>
      </c>
      <c r="B1427" s="46">
        <v>232790</v>
      </c>
      <c r="C1427" s="46">
        <v>31426</v>
      </c>
      <c r="D1427" s="49">
        <f t="shared" si="41"/>
        <v>201364</v>
      </c>
    </row>
    <row r="1428" spans="1:4">
      <c r="A1428" s="7" t="s">
        <v>1101</v>
      </c>
      <c r="B1428" s="46">
        <v>569151</v>
      </c>
      <c r="C1428" s="46">
        <v>76835</v>
      </c>
      <c r="D1428" s="49">
        <f t="shared" si="41"/>
        <v>492316</v>
      </c>
    </row>
    <row r="1429" spans="1:4">
      <c r="A1429" s="7" t="s">
        <v>1102</v>
      </c>
      <c r="B1429" s="46">
        <v>2393128</v>
      </c>
      <c r="C1429" s="46">
        <v>323073</v>
      </c>
      <c r="D1429" s="49">
        <f t="shared" si="41"/>
        <v>2070055</v>
      </c>
    </row>
    <row r="1430" spans="1:4">
      <c r="A1430" s="7" t="s">
        <v>1103</v>
      </c>
      <c r="B1430" s="46">
        <v>426327</v>
      </c>
      <c r="C1430" s="46">
        <v>57556</v>
      </c>
      <c r="D1430" s="49">
        <f t="shared" si="41"/>
        <v>368771</v>
      </c>
    </row>
    <row r="1431" spans="1:4">
      <c r="A1431" s="7" t="s">
        <v>1104</v>
      </c>
      <c r="B1431" s="46">
        <v>971258</v>
      </c>
      <c r="C1431" s="46">
        <v>131119</v>
      </c>
      <c r="D1431" s="49">
        <f t="shared" si="41"/>
        <v>840139</v>
      </c>
    </row>
    <row r="1432" spans="1:4">
      <c r="A1432" s="7" t="s">
        <v>1105</v>
      </c>
      <c r="B1432" s="46">
        <v>231101</v>
      </c>
      <c r="C1432" s="46">
        <v>31201</v>
      </c>
      <c r="D1432" s="49">
        <f t="shared" si="41"/>
        <v>199900</v>
      </c>
    </row>
    <row r="1433" spans="1:4">
      <c r="A1433" s="7" t="s">
        <v>1106</v>
      </c>
      <c r="B1433" s="46">
        <v>1600827</v>
      </c>
      <c r="C1433" s="46">
        <v>216112</v>
      </c>
      <c r="D1433" s="49">
        <f t="shared" si="41"/>
        <v>1384715</v>
      </c>
    </row>
    <row r="1434" spans="1:4">
      <c r="A1434" s="7" t="s">
        <v>1107</v>
      </c>
      <c r="B1434" s="46">
        <v>5401149</v>
      </c>
      <c r="C1434" s="46">
        <v>694652</v>
      </c>
      <c r="D1434" s="49">
        <f t="shared" si="41"/>
        <v>4706497</v>
      </c>
    </row>
    <row r="1435" spans="1:4">
      <c r="A1435" s="7" t="s">
        <v>1108</v>
      </c>
      <c r="B1435" s="46">
        <v>3199576</v>
      </c>
      <c r="C1435" s="46">
        <v>431941</v>
      </c>
      <c r="D1435" s="49">
        <f t="shared" si="41"/>
        <v>2767635</v>
      </c>
    </row>
    <row r="1436" spans="1:4">
      <c r="A1436" s="7" t="s">
        <v>1109</v>
      </c>
      <c r="B1436" s="46">
        <v>3278505</v>
      </c>
      <c r="C1436" s="46">
        <v>420216</v>
      </c>
      <c r="D1436" s="49">
        <f t="shared" si="41"/>
        <v>2858289</v>
      </c>
    </row>
    <row r="1437" spans="1:4">
      <c r="A1437" s="7" t="s">
        <v>1110</v>
      </c>
      <c r="B1437" s="46">
        <v>1390272</v>
      </c>
      <c r="C1437" s="46">
        <v>187686</v>
      </c>
      <c r="D1437" s="49">
        <f t="shared" si="41"/>
        <v>1202586</v>
      </c>
    </row>
    <row r="1438" spans="1:4">
      <c r="A1438" s="7" t="s">
        <v>1111</v>
      </c>
      <c r="B1438" s="46">
        <v>443757</v>
      </c>
      <c r="C1438" s="46">
        <v>59909</v>
      </c>
      <c r="D1438" s="49">
        <f t="shared" si="41"/>
        <v>383848</v>
      </c>
    </row>
    <row r="1439" spans="1:4">
      <c r="A1439" s="7" t="s">
        <v>1112</v>
      </c>
      <c r="B1439" s="46">
        <v>1869877</v>
      </c>
      <c r="C1439" s="46">
        <v>252433</v>
      </c>
      <c r="D1439" s="49">
        <f t="shared" si="41"/>
        <v>1617444</v>
      </c>
    </row>
    <row r="1440" spans="1:4">
      <c r="A1440" s="7" t="s">
        <v>1113</v>
      </c>
      <c r="B1440" s="46">
        <v>2675128</v>
      </c>
      <c r="C1440" s="46">
        <v>297358</v>
      </c>
      <c r="D1440" s="49">
        <f t="shared" si="41"/>
        <v>2377770</v>
      </c>
    </row>
    <row r="1441" spans="1:4">
      <c r="A1441" s="7" t="s">
        <v>1114</v>
      </c>
      <c r="B1441" s="46">
        <v>7505853</v>
      </c>
      <c r="C1441" s="46">
        <v>1013292</v>
      </c>
      <c r="D1441" s="49">
        <f t="shared" si="41"/>
        <v>6492561</v>
      </c>
    </row>
    <row r="1442" spans="1:4">
      <c r="A1442" s="7" t="s">
        <v>1115</v>
      </c>
      <c r="B1442" s="46">
        <v>1351379</v>
      </c>
      <c r="C1442" s="46">
        <v>182438</v>
      </c>
      <c r="D1442" s="49">
        <f t="shared" si="41"/>
        <v>1168941</v>
      </c>
    </row>
    <row r="1443" spans="1:4">
      <c r="A1443" s="7" t="s">
        <v>1116</v>
      </c>
      <c r="B1443" s="46">
        <v>238196</v>
      </c>
      <c r="C1443" s="46">
        <v>32137</v>
      </c>
      <c r="D1443" s="49">
        <f t="shared" si="41"/>
        <v>206059</v>
      </c>
    </row>
    <row r="1444" spans="1:4">
      <c r="A1444" s="7" t="s">
        <v>1117</v>
      </c>
      <c r="B1444" s="46">
        <v>3116679</v>
      </c>
      <c r="C1444" s="46">
        <v>420751</v>
      </c>
      <c r="D1444" s="49">
        <f t="shared" si="41"/>
        <v>2695928</v>
      </c>
    </row>
    <row r="1445" spans="1:4">
      <c r="A1445" s="7" t="s">
        <v>1118</v>
      </c>
      <c r="B1445" s="46">
        <v>5000277</v>
      </c>
      <c r="C1445" s="46">
        <v>675036</v>
      </c>
      <c r="D1445" s="49">
        <f t="shared" si="41"/>
        <v>4325241</v>
      </c>
    </row>
    <row r="1446" spans="1:4">
      <c r="A1446" s="7" t="s">
        <v>1119</v>
      </c>
      <c r="B1446" s="46">
        <v>1174708</v>
      </c>
      <c r="C1446" s="46">
        <v>158585</v>
      </c>
      <c r="D1446" s="49">
        <f t="shared" si="41"/>
        <v>1016123</v>
      </c>
    </row>
    <row r="1447" spans="1:4">
      <c r="A1447" s="7" t="s">
        <v>1120</v>
      </c>
      <c r="B1447" s="46">
        <v>9721845</v>
      </c>
      <c r="C1447" s="46">
        <v>1312449</v>
      </c>
      <c r="D1447" s="49">
        <f t="shared" si="41"/>
        <v>8409396</v>
      </c>
    </row>
    <row r="1448" spans="1:4">
      <c r="A1448" s="7" t="s">
        <v>1121</v>
      </c>
      <c r="B1448" s="46">
        <v>5770178</v>
      </c>
      <c r="C1448" s="46">
        <v>778976</v>
      </c>
      <c r="D1448" s="49">
        <f t="shared" si="41"/>
        <v>4991202</v>
      </c>
    </row>
    <row r="1449" spans="1:4">
      <c r="A1449" s="7" t="s">
        <v>1122</v>
      </c>
      <c r="B1449" s="46">
        <v>6252302</v>
      </c>
      <c r="C1449" s="46">
        <v>512588</v>
      </c>
      <c r="D1449" s="49">
        <f t="shared" si="41"/>
        <v>5739714</v>
      </c>
    </row>
    <row r="1450" spans="1:4">
      <c r="A1450" s="7" t="s">
        <v>1123</v>
      </c>
      <c r="B1450" s="46">
        <v>255346</v>
      </c>
      <c r="C1450" s="46">
        <v>34473</v>
      </c>
      <c r="D1450" s="49">
        <f t="shared" si="41"/>
        <v>220873</v>
      </c>
    </row>
    <row r="1451" spans="1:4">
      <c r="A1451" s="7" t="s">
        <v>1124</v>
      </c>
      <c r="B1451" s="46">
        <v>6175221</v>
      </c>
      <c r="C1451" s="46">
        <v>833655</v>
      </c>
      <c r="D1451" s="49">
        <f t="shared" si="41"/>
        <v>5341566</v>
      </c>
    </row>
    <row r="1452" spans="1:4">
      <c r="A1452" s="7" t="s">
        <v>1125</v>
      </c>
      <c r="B1452" s="46">
        <v>231868</v>
      </c>
      <c r="C1452" s="46">
        <v>31302</v>
      </c>
      <c r="D1452" s="49">
        <f t="shared" si="41"/>
        <v>200566</v>
      </c>
    </row>
    <row r="1453" spans="1:4">
      <c r="A1453" s="7" t="s">
        <v>1126</v>
      </c>
      <c r="B1453" s="46">
        <v>1029143</v>
      </c>
      <c r="C1453" s="46">
        <v>138934</v>
      </c>
      <c r="D1453" s="49">
        <f t="shared" si="41"/>
        <v>890209</v>
      </c>
    </row>
    <row r="1454" spans="1:4">
      <c r="A1454" s="7" t="s">
        <v>1127</v>
      </c>
      <c r="B1454" s="46">
        <v>6661900</v>
      </c>
      <c r="C1454" s="46">
        <v>899356</v>
      </c>
      <c r="D1454" s="49">
        <f t="shared" si="41"/>
        <v>5762544</v>
      </c>
    </row>
    <row r="1455" spans="1:4">
      <c r="A1455" s="7" t="s">
        <v>1128</v>
      </c>
      <c r="B1455" s="46">
        <v>519410</v>
      </c>
      <c r="C1455" s="46">
        <v>70121</v>
      </c>
      <c r="D1455" s="49">
        <f t="shared" si="41"/>
        <v>449289</v>
      </c>
    </row>
    <row r="1456" spans="1:4">
      <c r="A1456" s="7" t="s">
        <v>1129</v>
      </c>
      <c r="B1456" s="46">
        <v>727308</v>
      </c>
      <c r="C1456" s="46">
        <v>98187</v>
      </c>
      <c r="D1456" s="49">
        <f t="shared" si="41"/>
        <v>629121</v>
      </c>
    </row>
    <row r="1457" spans="1:4">
      <c r="A1457" s="7" t="s">
        <v>1130</v>
      </c>
      <c r="B1457" s="46">
        <v>1099972</v>
      </c>
      <c r="C1457" s="46">
        <v>148497</v>
      </c>
      <c r="D1457" s="49">
        <f t="shared" si="41"/>
        <v>951475</v>
      </c>
    </row>
    <row r="1458" spans="1:4">
      <c r="A1458" s="7" t="s">
        <v>1131</v>
      </c>
      <c r="B1458" s="46">
        <v>2829904</v>
      </c>
      <c r="C1458" s="46">
        <v>365048</v>
      </c>
      <c r="D1458" s="49">
        <f t="shared" si="41"/>
        <v>2464856</v>
      </c>
    </row>
    <row r="1459" spans="1:4">
      <c r="A1459" s="7" t="s">
        <v>1289</v>
      </c>
      <c r="B1459" s="46">
        <v>86248000</v>
      </c>
      <c r="C1459" s="46">
        <v>11115985</v>
      </c>
      <c r="D1459" s="49">
        <f t="shared" si="41"/>
        <v>75132015</v>
      </c>
    </row>
    <row r="1460" spans="1:4">
      <c r="A1460" s="7" t="s">
        <v>1290</v>
      </c>
      <c r="B1460" s="46">
        <v>40895200</v>
      </c>
      <c r="C1460" s="46">
        <v>5520852</v>
      </c>
      <c r="D1460" s="49">
        <f t="shared" si="41"/>
        <v>35374348</v>
      </c>
    </row>
    <row r="1461" spans="1:4">
      <c r="A1461" s="7" t="s">
        <v>1291</v>
      </c>
      <c r="B1461" s="46">
        <v>465077</v>
      </c>
      <c r="C1461" s="46">
        <v>188356</v>
      </c>
      <c r="D1461" s="49">
        <f t="shared" si="41"/>
        <v>276721</v>
      </c>
    </row>
    <row r="1462" spans="1:4">
      <c r="A1462" s="7" t="s">
        <v>1292</v>
      </c>
      <c r="B1462" s="46">
        <v>523156</v>
      </c>
      <c r="C1462" s="46">
        <v>211879</v>
      </c>
      <c r="D1462" s="49">
        <f t="shared" si="41"/>
        <v>311277</v>
      </c>
    </row>
    <row r="1463" spans="1:4">
      <c r="A1463" s="7" t="s">
        <v>1293</v>
      </c>
      <c r="B1463" s="46">
        <v>547204</v>
      </c>
      <c r="C1463" s="46">
        <v>217895</v>
      </c>
      <c r="D1463" s="49">
        <f t="shared" si="41"/>
        <v>329309</v>
      </c>
    </row>
    <row r="1464" spans="1:4">
      <c r="A1464" s="7" t="s">
        <v>1294</v>
      </c>
      <c r="B1464" s="46">
        <v>594962</v>
      </c>
      <c r="C1464" s="46">
        <v>228473</v>
      </c>
      <c r="D1464" s="49">
        <f t="shared" si="41"/>
        <v>366489</v>
      </c>
    </row>
    <row r="1465" spans="1:4">
      <c r="A1465" s="7" t="s">
        <v>1295</v>
      </c>
      <c r="B1465" s="46">
        <v>454173</v>
      </c>
      <c r="C1465" s="46">
        <v>183940</v>
      </c>
      <c r="D1465" s="49">
        <f t="shared" si="41"/>
        <v>270233</v>
      </c>
    </row>
    <row r="1466" spans="1:4">
      <c r="A1466" s="7" t="s">
        <v>1296</v>
      </c>
      <c r="B1466" s="46">
        <v>454173</v>
      </c>
      <c r="C1466" s="46">
        <v>183940</v>
      </c>
      <c r="D1466" s="49">
        <f t="shared" si="41"/>
        <v>270233</v>
      </c>
    </row>
    <row r="1467" spans="1:4">
      <c r="A1467" s="7" t="s">
        <v>1297</v>
      </c>
      <c r="B1467" s="46">
        <v>512253</v>
      </c>
      <c r="C1467" s="46">
        <v>207462</v>
      </c>
      <c r="D1467" s="49">
        <f t="shared" si="41"/>
        <v>304791</v>
      </c>
    </row>
    <row r="1468" spans="1:4">
      <c r="A1468" s="7" t="s">
        <v>1298</v>
      </c>
      <c r="B1468" s="46">
        <v>470492</v>
      </c>
      <c r="C1468" s="46">
        <v>190549</v>
      </c>
      <c r="D1468" s="49">
        <f t="shared" si="41"/>
        <v>279943</v>
      </c>
    </row>
    <row r="1469" spans="1:4">
      <c r="A1469" s="7" t="s">
        <v>1299</v>
      </c>
      <c r="B1469" s="46">
        <v>663235</v>
      </c>
      <c r="C1469" s="46">
        <v>218875</v>
      </c>
      <c r="D1469" s="49">
        <f t="shared" si="41"/>
        <v>444360</v>
      </c>
    </row>
    <row r="1470" spans="1:4">
      <c r="A1470" s="7" t="s">
        <v>1300</v>
      </c>
      <c r="B1470" s="46">
        <v>642838</v>
      </c>
      <c r="C1470" s="46">
        <v>200698</v>
      </c>
      <c r="D1470" s="49">
        <f t="shared" si="41"/>
        <v>442140</v>
      </c>
    </row>
    <row r="1471" spans="1:4">
      <c r="A1471" s="7" t="s">
        <v>1301</v>
      </c>
      <c r="B1471" s="46">
        <v>515887</v>
      </c>
      <c r="C1471" s="46">
        <v>208934</v>
      </c>
      <c r="D1471" s="49">
        <f t="shared" si="41"/>
        <v>306953</v>
      </c>
    </row>
    <row r="1472" spans="1:4">
      <c r="A1472" s="7" t="s">
        <v>1302</v>
      </c>
      <c r="B1472" s="46">
        <v>461443</v>
      </c>
      <c r="C1472" s="46">
        <v>186884</v>
      </c>
      <c r="D1472" s="49">
        <f t="shared" si="41"/>
        <v>274559</v>
      </c>
    </row>
    <row r="1473" spans="1:4">
      <c r="A1473" s="7" t="s">
        <v>1303</v>
      </c>
      <c r="B1473" s="46">
        <v>486812</v>
      </c>
      <c r="C1473" s="46">
        <v>197158</v>
      </c>
      <c r="D1473" s="49">
        <f t="shared" si="41"/>
        <v>289654</v>
      </c>
    </row>
    <row r="1474" spans="1:4">
      <c r="A1474" s="7" t="s">
        <v>1304</v>
      </c>
      <c r="B1474" s="46">
        <v>492299</v>
      </c>
      <c r="C1474" s="46">
        <v>199381</v>
      </c>
      <c r="D1474" s="49">
        <f t="shared" si="41"/>
        <v>292918</v>
      </c>
    </row>
    <row r="1475" spans="1:4">
      <c r="A1475" s="7" t="s">
        <v>1305</v>
      </c>
      <c r="B1475" s="46">
        <v>506837</v>
      </c>
      <c r="C1475" s="46">
        <v>205271</v>
      </c>
      <c r="D1475" s="49">
        <f t="shared" si="41"/>
        <v>301566</v>
      </c>
    </row>
    <row r="1476" spans="1:4">
      <c r="A1476" s="7" t="s">
        <v>1306</v>
      </c>
      <c r="B1476" s="46">
        <v>470492</v>
      </c>
      <c r="C1476" s="46">
        <v>190549</v>
      </c>
      <c r="D1476" s="49">
        <f t="shared" si="41"/>
        <v>279943</v>
      </c>
    </row>
    <row r="1477" spans="1:4">
      <c r="A1477" s="7" t="s">
        <v>1307</v>
      </c>
      <c r="B1477" s="46">
        <v>474127</v>
      </c>
      <c r="C1477" s="46">
        <v>192023</v>
      </c>
      <c r="D1477" s="49">
        <f t="shared" si="41"/>
        <v>282104</v>
      </c>
    </row>
    <row r="1478" spans="1:4">
      <c r="A1478" s="7" t="s">
        <v>1308</v>
      </c>
      <c r="B1478" s="46">
        <v>506837</v>
      </c>
      <c r="C1478" s="46">
        <v>205271</v>
      </c>
      <c r="D1478" s="49">
        <f t="shared" si="41"/>
        <v>301566</v>
      </c>
    </row>
    <row r="1479" spans="1:4">
      <c r="A1479" s="7" t="s">
        <v>1309</v>
      </c>
      <c r="B1479" s="46">
        <v>519522</v>
      </c>
      <c r="C1479" s="46">
        <v>210405</v>
      </c>
      <c r="D1479" s="49">
        <f t="shared" si="41"/>
        <v>309117</v>
      </c>
    </row>
    <row r="1480" spans="1:4">
      <c r="A1480" s="7" t="s">
        <v>1310</v>
      </c>
      <c r="B1480" s="46">
        <v>461443</v>
      </c>
      <c r="C1480" s="46">
        <v>186884</v>
      </c>
      <c r="D1480" s="49">
        <f t="shared" si="41"/>
        <v>274559</v>
      </c>
    </row>
    <row r="1481" spans="1:4">
      <c r="A1481" s="7" t="s">
        <v>1311</v>
      </c>
      <c r="B1481" s="46">
        <v>532206</v>
      </c>
      <c r="C1481" s="46">
        <v>215544</v>
      </c>
      <c r="D1481" s="49">
        <f t="shared" si="41"/>
        <v>316662</v>
      </c>
    </row>
    <row r="1482" spans="1:4">
      <c r="A1482" s="7" t="s">
        <v>1312</v>
      </c>
      <c r="B1482" s="46">
        <v>517668</v>
      </c>
      <c r="C1482" s="46">
        <v>209656</v>
      </c>
      <c r="D1482" s="49">
        <f t="shared" si="41"/>
        <v>308012</v>
      </c>
    </row>
    <row r="1483" spans="1:4">
      <c r="A1483" s="7" t="s">
        <v>1313</v>
      </c>
      <c r="B1483" s="46">
        <v>515959</v>
      </c>
      <c r="C1483" s="46">
        <v>208962</v>
      </c>
      <c r="D1483" s="49">
        <f t="shared" si="41"/>
        <v>306997</v>
      </c>
    </row>
    <row r="1484" spans="1:4">
      <c r="A1484" s="7" t="s">
        <v>1314</v>
      </c>
      <c r="B1484" s="46">
        <v>461443</v>
      </c>
      <c r="C1484" s="46">
        <v>186884</v>
      </c>
      <c r="D1484" s="49">
        <f t="shared" si="41"/>
        <v>274559</v>
      </c>
    </row>
    <row r="1485" spans="1:4">
      <c r="A1485" s="7" t="s">
        <v>1315</v>
      </c>
      <c r="B1485" s="46">
        <v>517989</v>
      </c>
      <c r="C1485" s="46">
        <v>196259</v>
      </c>
      <c r="D1485" s="49">
        <f t="shared" si="41"/>
        <v>321730</v>
      </c>
    </row>
    <row r="1486" spans="1:4">
      <c r="A1486" s="7" t="s">
        <v>1316</v>
      </c>
      <c r="B1486" s="46">
        <v>443270</v>
      </c>
      <c r="C1486" s="46">
        <v>179525</v>
      </c>
      <c r="D1486" s="49">
        <f t="shared" ref="D1486:D1548" si="42">B1486-C1486</f>
        <v>263745</v>
      </c>
    </row>
    <row r="1487" spans="1:4">
      <c r="A1487" s="7" t="s">
        <v>1317</v>
      </c>
      <c r="B1487" s="46">
        <v>443270</v>
      </c>
      <c r="C1487" s="46">
        <v>179525</v>
      </c>
      <c r="D1487" s="49">
        <f t="shared" si="42"/>
        <v>263745</v>
      </c>
    </row>
    <row r="1488" spans="1:4">
      <c r="A1488" s="7" t="s">
        <v>1318</v>
      </c>
      <c r="B1488" s="46">
        <v>454173</v>
      </c>
      <c r="C1488" s="46">
        <v>183940</v>
      </c>
      <c r="D1488" s="49">
        <f t="shared" si="42"/>
        <v>270233</v>
      </c>
    </row>
    <row r="1489" spans="1:4">
      <c r="A1489" s="7" t="s">
        <v>1319</v>
      </c>
      <c r="B1489" s="46">
        <v>400958</v>
      </c>
      <c r="C1489" s="46">
        <v>162389</v>
      </c>
      <c r="D1489" s="49">
        <f t="shared" si="42"/>
        <v>238569</v>
      </c>
    </row>
    <row r="1490" spans="1:4">
      <c r="A1490" s="7" t="s">
        <v>1320</v>
      </c>
      <c r="B1490" s="46">
        <v>400958</v>
      </c>
      <c r="C1490" s="46">
        <v>162389</v>
      </c>
      <c r="D1490" s="49">
        <f t="shared" si="42"/>
        <v>238569</v>
      </c>
    </row>
    <row r="1491" spans="1:4">
      <c r="A1491" s="7" t="s">
        <v>1321</v>
      </c>
      <c r="B1491" s="46">
        <v>8580000</v>
      </c>
      <c r="C1491" s="46">
        <v>1158300</v>
      </c>
      <c r="D1491" s="49">
        <f t="shared" si="42"/>
        <v>7421700</v>
      </c>
    </row>
    <row r="1492" spans="1:4">
      <c r="A1492" s="7" t="s">
        <v>1322</v>
      </c>
      <c r="B1492" s="46">
        <v>8301150</v>
      </c>
      <c r="C1492" s="46">
        <v>1120655</v>
      </c>
      <c r="D1492" s="49">
        <f t="shared" si="42"/>
        <v>7180495</v>
      </c>
    </row>
    <row r="1493" spans="1:4">
      <c r="A1493" s="7" t="str">
        <f>"Dejtár 055/1 hrsz dilatált beton út 3 m széles"</f>
        <v>Dejtár 055/1 hrsz dilatált beton út 3 m széles</v>
      </c>
      <c r="B1493" s="46">
        <v>7149285</v>
      </c>
      <c r="C1493" s="46">
        <v>965153</v>
      </c>
      <c r="D1493" s="49">
        <f t="shared" si="42"/>
        <v>6184132</v>
      </c>
    </row>
    <row r="1494" spans="1:4">
      <c r="A1494" s="7" t="str">
        <f>"Dejtár 040/4 hrsz dilatált beton út 3m széles"</f>
        <v>Dejtár 040/4 hrsz dilatált beton út 3m széles</v>
      </c>
      <c r="B1494" s="46">
        <v>8445938</v>
      </c>
      <c r="C1494" s="46">
        <v>1140201</v>
      </c>
      <c r="D1494" s="49">
        <f t="shared" si="42"/>
        <v>7305737</v>
      </c>
    </row>
    <row r="1495" spans="1:4">
      <c r="A1495" s="7" t="str">
        <f>"Dejtár 040/3 hrsz dilatált beton út 3m széles"</f>
        <v>Dejtár 040/3 hrsz dilatált beton út 3m széles</v>
      </c>
      <c r="B1495" s="46">
        <v>4391888</v>
      </c>
      <c r="C1495" s="46">
        <v>592905</v>
      </c>
      <c r="D1495" s="49">
        <f t="shared" si="42"/>
        <v>3798983</v>
      </c>
    </row>
    <row r="1496" spans="1:4">
      <c r="A1496" s="7" t="str">
        <f>"Ipolyvece 062/14 hrsz dilatált beton út 3m széles"</f>
        <v>Ipolyvece 062/14 hrsz dilatált beton út 3m széles</v>
      </c>
      <c r="B1496" s="46">
        <v>3909263</v>
      </c>
      <c r="C1496" s="46">
        <v>527750</v>
      </c>
      <c r="D1496" s="49">
        <f t="shared" si="42"/>
        <v>3381513</v>
      </c>
    </row>
    <row r="1497" spans="1:4">
      <c r="A1497" s="7" t="str">
        <f>"Ipolyvece 062/13 hrsz dilatált beton út 3m széles"</f>
        <v>Ipolyvece 062/13 hrsz dilatált beton út 3m széles</v>
      </c>
      <c r="B1497" s="46">
        <v>1110038</v>
      </c>
      <c r="C1497" s="46">
        <v>149855</v>
      </c>
      <c r="D1497" s="49">
        <f t="shared" si="42"/>
        <v>960183</v>
      </c>
    </row>
    <row r="1498" spans="1:4">
      <c r="A1498" s="7" t="str">
        <f>"Ipolyvece062/12 dilatált beteon út 3m széles"</f>
        <v>Ipolyvece062/12 dilatált beteon út 3m széles</v>
      </c>
      <c r="B1498" s="46">
        <v>2027025</v>
      </c>
      <c r="C1498" s="46">
        <v>273649</v>
      </c>
      <c r="D1498" s="49">
        <f t="shared" si="42"/>
        <v>1753376</v>
      </c>
    </row>
    <row r="1499" spans="1:4">
      <c r="A1499" s="7" t="s">
        <v>1323</v>
      </c>
      <c r="B1499" s="46">
        <v>820463</v>
      </c>
      <c r="C1499" s="46">
        <v>110763</v>
      </c>
      <c r="D1499" s="49">
        <f t="shared" si="42"/>
        <v>709700</v>
      </c>
    </row>
    <row r="1500" spans="1:4">
      <c r="A1500" s="7" t="s">
        <v>1324</v>
      </c>
      <c r="B1500" s="46">
        <v>1978763</v>
      </c>
      <c r="C1500" s="46">
        <v>445222</v>
      </c>
      <c r="D1500" s="49">
        <f t="shared" si="42"/>
        <v>1533541</v>
      </c>
    </row>
    <row r="1501" spans="1:4">
      <c r="A1501" s="7" t="s">
        <v>1325</v>
      </c>
      <c r="B1501" s="46">
        <v>1955597</v>
      </c>
      <c r="C1501" s="46">
        <v>440009</v>
      </c>
      <c r="D1501" s="49">
        <f t="shared" si="42"/>
        <v>1515588</v>
      </c>
    </row>
    <row r="1502" spans="1:4">
      <c r="A1502" s="7" t="str">
        <f>"Dejtár 055/1 hrsz drótfonatos kerítés"</f>
        <v>Dejtár 055/1 hrsz drótfonatos kerítés</v>
      </c>
      <c r="B1502" s="46">
        <v>1013513</v>
      </c>
      <c r="C1502" s="46">
        <v>228040</v>
      </c>
      <c r="D1502" s="49">
        <f t="shared" si="42"/>
        <v>785473</v>
      </c>
    </row>
    <row r="1503" spans="1:4">
      <c r="A1503" s="7" t="str">
        <f>"Dejtár 040/4 hrsz drótfonatos kerítés"</f>
        <v>Dejtár 040/4 hrsz drótfonatos kerítés</v>
      </c>
      <c r="B1503" s="46">
        <v>1583010</v>
      </c>
      <c r="C1503" s="46">
        <v>356177</v>
      </c>
      <c r="D1503" s="49">
        <f t="shared" si="42"/>
        <v>1226833</v>
      </c>
    </row>
    <row r="1504" spans="1:4">
      <c r="A1504" s="7" t="str">
        <f>"Dejtár 040/3 hrsz drótfonatos kerítés"</f>
        <v>Dejtár 040/3 hrsz drótfonatos kerítés</v>
      </c>
      <c r="B1504" s="46">
        <v>781853</v>
      </c>
      <c r="C1504" s="46">
        <v>175915</v>
      </c>
      <c r="D1504" s="49">
        <f t="shared" si="42"/>
        <v>605938</v>
      </c>
    </row>
    <row r="1505" spans="1:4">
      <c r="A1505" s="7" t="str">
        <f>"Ipolyvece 062/14 hrsz drótfonatos kerítés "</f>
        <v xml:space="preserve">Ipolyvece 062/14 hrsz drótfonatos kerítés </v>
      </c>
      <c r="B1505" s="46">
        <v>897683</v>
      </c>
      <c r="C1505" s="46">
        <v>201977</v>
      </c>
      <c r="D1505" s="49">
        <f t="shared" si="42"/>
        <v>695706</v>
      </c>
    </row>
    <row r="1506" spans="1:4">
      <c r="A1506" s="7" t="str">
        <f>"Ipolyvece 062/13 hrsz drótfonatos kerítés"</f>
        <v>Ipolyvece 062/13 hrsz drótfonatos kerítés</v>
      </c>
      <c r="B1506" s="46">
        <v>386100</v>
      </c>
      <c r="C1506" s="46">
        <v>86873</v>
      </c>
      <c r="D1506" s="49">
        <f t="shared" si="42"/>
        <v>299227</v>
      </c>
    </row>
    <row r="1507" spans="1:4">
      <c r="A1507" s="7" t="str">
        <f>"Ipolyvece 062/12 hrsz drótfonatos kerítés"</f>
        <v>Ipolyvece 062/12 hrsz drótfonatos kerítés</v>
      </c>
      <c r="B1507" s="46">
        <v>530888</v>
      </c>
      <c r="C1507" s="46">
        <v>119450</v>
      </c>
      <c r="D1507" s="49">
        <f t="shared" si="42"/>
        <v>411438</v>
      </c>
    </row>
    <row r="1508" spans="1:4">
      <c r="A1508" s="7" t="s">
        <v>1326</v>
      </c>
      <c r="B1508" s="46">
        <v>386100</v>
      </c>
      <c r="C1508" s="46">
        <v>86873</v>
      </c>
      <c r="D1508" s="49">
        <f t="shared" si="42"/>
        <v>299227</v>
      </c>
    </row>
    <row r="1509" spans="1:4">
      <c r="A1509" s="7" t="str">
        <f>"Balassagyarmat 2689/33 Iker kontínerbe szerelt klóradagoló"</f>
        <v>Balassagyarmat 2689/33 Iker kontínerbe szerelt klóradagoló</v>
      </c>
      <c r="B1509" s="46">
        <v>813500</v>
      </c>
      <c r="C1509" s="46">
        <v>183037</v>
      </c>
      <c r="D1509" s="49">
        <f t="shared" si="42"/>
        <v>630463</v>
      </c>
    </row>
    <row r="1510" spans="1:4">
      <c r="A1510" s="7" t="s">
        <v>1327</v>
      </c>
      <c r="B1510" s="46">
        <v>29888100</v>
      </c>
      <c r="C1510" s="46">
        <v>6724823</v>
      </c>
      <c r="D1510" s="49">
        <f t="shared" si="42"/>
        <v>23163277</v>
      </c>
    </row>
    <row r="1511" spans="1:4">
      <c r="A1511" s="7" t="s">
        <v>1328</v>
      </c>
      <c r="B1511" s="46">
        <v>1930500</v>
      </c>
      <c r="C1511" s="46">
        <v>434364</v>
      </c>
      <c r="D1511" s="49">
        <f t="shared" si="42"/>
        <v>1496136</v>
      </c>
    </row>
    <row r="1512" spans="1:4">
      <c r="A1512" s="7" t="s">
        <v>1329</v>
      </c>
      <c r="B1512" s="46">
        <v>13217490</v>
      </c>
      <c r="C1512" s="46">
        <v>2973936</v>
      </c>
      <c r="D1512" s="49">
        <f t="shared" si="42"/>
        <v>10243554</v>
      </c>
    </row>
    <row r="1513" spans="1:4">
      <c r="A1513" s="7" t="s">
        <v>1330</v>
      </c>
      <c r="B1513" s="46">
        <v>1930500</v>
      </c>
      <c r="C1513" s="46">
        <v>434364</v>
      </c>
      <c r="D1513" s="49">
        <f t="shared" si="42"/>
        <v>1496136</v>
      </c>
    </row>
    <row r="1514" spans="1:4">
      <c r="A1514" s="7" t="s">
        <v>1331</v>
      </c>
      <c r="B1514" s="46">
        <v>386100</v>
      </c>
      <c r="C1514" s="46">
        <v>86873</v>
      </c>
      <c r="D1514" s="49">
        <f t="shared" si="42"/>
        <v>299227</v>
      </c>
    </row>
    <row r="1515" spans="1:4">
      <c r="A1515" s="7" t="s">
        <v>1332</v>
      </c>
      <c r="B1515" s="46">
        <v>772200</v>
      </c>
      <c r="C1515" s="46">
        <v>173745</v>
      </c>
      <c r="D1515" s="49">
        <f t="shared" si="42"/>
        <v>598455</v>
      </c>
    </row>
    <row r="1516" spans="1:4">
      <c r="A1516" s="7" t="s">
        <v>1333</v>
      </c>
      <c r="B1516" s="46">
        <v>308880</v>
      </c>
      <c r="C1516" s="46">
        <v>69498</v>
      </c>
      <c r="D1516" s="49">
        <f t="shared" si="42"/>
        <v>239382</v>
      </c>
    </row>
    <row r="1517" spans="1:4">
      <c r="A1517" s="7" t="s">
        <v>1334</v>
      </c>
      <c r="B1517" s="46">
        <v>1853280</v>
      </c>
      <c r="C1517" s="46">
        <v>166796</v>
      </c>
      <c r="D1517" s="49">
        <f t="shared" si="42"/>
        <v>1686484</v>
      </c>
    </row>
    <row r="1518" spans="1:4">
      <c r="A1518" s="7" t="s">
        <v>1335</v>
      </c>
      <c r="B1518" s="46">
        <v>729300</v>
      </c>
      <c r="C1518" s="46">
        <v>164092</v>
      </c>
      <c r="D1518" s="49">
        <f t="shared" si="42"/>
        <v>565208</v>
      </c>
    </row>
    <row r="1519" spans="1:4">
      <c r="A1519" s="7" t="s">
        <v>1336</v>
      </c>
      <c r="B1519" s="46">
        <v>92664</v>
      </c>
      <c r="C1519" s="46">
        <v>8339</v>
      </c>
      <c r="D1519" s="49">
        <f t="shared" si="42"/>
        <v>84325</v>
      </c>
    </row>
    <row r="1520" spans="1:4">
      <c r="A1520" s="7" t="s">
        <v>1337</v>
      </c>
      <c r="B1520" s="46">
        <v>1853280</v>
      </c>
      <c r="C1520" s="46">
        <v>166796</v>
      </c>
      <c r="D1520" s="49">
        <f t="shared" si="42"/>
        <v>1686484</v>
      </c>
    </row>
    <row r="1521" spans="1:4">
      <c r="A1521" s="7" t="s">
        <v>1338</v>
      </c>
      <c r="B1521" s="46">
        <v>7520634</v>
      </c>
      <c r="C1521" s="46">
        <v>676856</v>
      </c>
      <c r="D1521" s="49">
        <f t="shared" si="42"/>
        <v>6843778</v>
      </c>
    </row>
    <row r="1522" spans="1:4">
      <c r="A1522" s="7" t="s">
        <v>1339</v>
      </c>
      <c r="B1522" s="46">
        <v>7027020</v>
      </c>
      <c r="C1522" s="46">
        <v>632432</v>
      </c>
      <c r="D1522" s="49">
        <f t="shared" si="42"/>
        <v>6394588</v>
      </c>
    </row>
    <row r="1523" spans="1:4">
      <c r="A1523" s="7" t="s">
        <v>1340</v>
      </c>
      <c r="B1523" s="46">
        <v>8803080</v>
      </c>
      <c r="C1523" s="46">
        <v>792277</v>
      </c>
      <c r="D1523" s="49">
        <f t="shared" si="42"/>
        <v>8010803</v>
      </c>
    </row>
    <row r="1524" spans="1:4">
      <c r="A1524" s="7" t="s">
        <v>1341</v>
      </c>
      <c r="B1524" s="46">
        <v>18810792</v>
      </c>
      <c r="C1524" s="46">
        <v>1692971</v>
      </c>
      <c r="D1524" s="49">
        <f t="shared" si="42"/>
        <v>17117821</v>
      </c>
    </row>
    <row r="1525" spans="1:4">
      <c r="A1525" s="7" t="s">
        <v>1342</v>
      </c>
      <c r="B1525" s="46">
        <v>617760</v>
      </c>
      <c r="C1525" s="46">
        <v>55597</v>
      </c>
      <c r="D1525" s="49">
        <f t="shared" si="42"/>
        <v>562163</v>
      </c>
    </row>
    <row r="1526" spans="1:4">
      <c r="A1526" s="7" t="s">
        <v>1343</v>
      </c>
      <c r="B1526" s="46">
        <v>772200</v>
      </c>
      <c r="C1526" s="46">
        <v>69498</v>
      </c>
      <c r="D1526" s="49">
        <f t="shared" si="42"/>
        <v>702702</v>
      </c>
    </row>
    <row r="1527" spans="1:4">
      <c r="A1527" s="7" t="s">
        <v>1344</v>
      </c>
      <c r="B1527" s="46">
        <v>37503180</v>
      </c>
      <c r="C1527" s="46">
        <v>3375286</v>
      </c>
      <c r="D1527" s="49">
        <f t="shared" si="42"/>
        <v>34127894</v>
      </c>
    </row>
    <row r="1528" spans="1:4">
      <c r="A1528" s="7" t="s">
        <v>1345</v>
      </c>
      <c r="B1528" s="46">
        <v>23166000</v>
      </c>
      <c r="C1528" s="46">
        <v>2084940</v>
      </c>
      <c r="D1528" s="49">
        <f t="shared" si="42"/>
        <v>21081060</v>
      </c>
    </row>
    <row r="1529" spans="1:4">
      <c r="A1529" s="7" t="s">
        <v>1346</v>
      </c>
      <c r="B1529" s="46">
        <v>1297296</v>
      </c>
      <c r="C1529" s="46">
        <v>116758</v>
      </c>
      <c r="D1529" s="49">
        <f t="shared" si="42"/>
        <v>1180538</v>
      </c>
    </row>
    <row r="1530" spans="1:4">
      <c r="A1530" s="7" t="s">
        <v>1347</v>
      </c>
      <c r="B1530" s="46">
        <v>11261250</v>
      </c>
      <c r="C1530" s="46">
        <v>1013513</v>
      </c>
      <c r="D1530" s="49">
        <f t="shared" si="42"/>
        <v>10247737</v>
      </c>
    </row>
    <row r="1531" spans="1:4">
      <c r="A1531" s="7" t="s">
        <v>1461</v>
      </c>
      <c r="B1531" s="46">
        <v>52934</v>
      </c>
      <c r="C1531" s="46">
        <v>800</v>
      </c>
      <c r="D1531" s="49">
        <f t="shared" si="42"/>
        <v>52134</v>
      </c>
    </row>
    <row r="1532" spans="1:4">
      <c r="A1532" s="7" t="s">
        <v>1462</v>
      </c>
      <c r="B1532" s="46">
        <v>43142</v>
      </c>
      <c r="C1532" s="46">
        <v>652</v>
      </c>
      <c r="D1532" s="49">
        <f t="shared" si="42"/>
        <v>42490</v>
      </c>
    </row>
    <row r="1533" spans="1:4">
      <c r="A1533" s="7" t="s">
        <v>1463</v>
      </c>
      <c r="B1533" s="46">
        <v>51364</v>
      </c>
      <c r="C1533" s="46">
        <v>776</v>
      </c>
      <c r="D1533" s="49">
        <f t="shared" si="42"/>
        <v>50588</v>
      </c>
    </row>
    <row r="1534" spans="1:4">
      <c r="A1534" s="7" t="s">
        <v>1464</v>
      </c>
      <c r="B1534" s="46">
        <v>81565</v>
      </c>
      <c r="C1534" s="46">
        <v>1227</v>
      </c>
      <c r="D1534" s="49">
        <f t="shared" si="42"/>
        <v>80338</v>
      </c>
    </row>
    <row r="1535" spans="1:4">
      <c r="A1535" s="7" t="s">
        <v>1465</v>
      </c>
      <c r="B1535" s="46">
        <v>67821</v>
      </c>
      <c r="C1535" s="46">
        <v>1026</v>
      </c>
      <c r="D1535" s="49">
        <f t="shared" si="42"/>
        <v>66795</v>
      </c>
    </row>
    <row r="1536" spans="1:4">
      <c r="A1536" s="7" t="s">
        <v>1466</v>
      </c>
      <c r="B1536" s="46">
        <v>57483</v>
      </c>
      <c r="C1536" s="46">
        <v>870</v>
      </c>
      <c r="D1536" s="49">
        <f t="shared" si="42"/>
        <v>56613</v>
      </c>
    </row>
    <row r="1537" spans="1:4">
      <c r="A1537" s="7" t="s">
        <v>1476</v>
      </c>
      <c r="B1537" s="46">
        <v>96290</v>
      </c>
      <c r="C1537" s="46">
        <v>309</v>
      </c>
      <c r="D1537" s="49">
        <f t="shared" si="42"/>
        <v>95981</v>
      </c>
    </row>
    <row r="1538" spans="1:4">
      <c r="A1538" s="7" t="s">
        <v>1480</v>
      </c>
      <c r="B1538" s="46">
        <v>85922</v>
      </c>
      <c r="C1538" s="46">
        <v>21</v>
      </c>
      <c r="D1538" s="49">
        <f t="shared" si="42"/>
        <v>85901</v>
      </c>
    </row>
    <row r="1539" spans="1:4">
      <c r="A1539" s="7" t="s">
        <v>1481</v>
      </c>
      <c r="B1539" s="46">
        <v>178920</v>
      </c>
      <c r="C1539" s="46">
        <v>1176</v>
      </c>
      <c r="D1539" s="49">
        <f t="shared" si="42"/>
        <v>177744</v>
      </c>
    </row>
    <row r="1540" spans="1:4">
      <c r="A1540" s="7" t="s">
        <v>1482</v>
      </c>
      <c r="B1540" s="46">
        <v>31714</v>
      </c>
      <c r="C1540" s="46">
        <v>219</v>
      </c>
      <c r="D1540" s="49">
        <f t="shared" si="42"/>
        <v>31495</v>
      </c>
    </row>
    <row r="1541" spans="1:4">
      <c r="A1541" s="7" t="s">
        <v>1483</v>
      </c>
      <c r="B1541" s="46">
        <v>91544</v>
      </c>
      <c r="C1541" s="46">
        <v>406</v>
      </c>
      <c r="D1541" s="49">
        <f t="shared" si="42"/>
        <v>91138</v>
      </c>
    </row>
    <row r="1542" spans="1:4">
      <c r="A1542" s="7" t="s">
        <v>1484</v>
      </c>
      <c r="B1542" s="46">
        <v>64138</v>
      </c>
      <c r="C1542" s="46">
        <v>274</v>
      </c>
      <c r="D1542" s="49">
        <f t="shared" si="42"/>
        <v>63864</v>
      </c>
    </row>
    <row r="1543" spans="1:4">
      <c r="A1543" s="7" t="s">
        <v>1485</v>
      </c>
      <c r="B1543" s="46">
        <v>40710</v>
      </c>
      <c r="C1543" s="46">
        <v>174</v>
      </c>
      <c r="D1543" s="49">
        <f t="shared" si="42"/>
        <v>40536</v>
      </c>
    </row>
    <row r="1544" spans="1:4">
      <c r="A1544" s="7" t="s">
        <v>1486</v>
      </c>
      <c r="B1544" s="46">
        <v>83151</v>
      </c>
      <c r="C1544" s="46">
        <v>369</v>
      </c>
      <c r="D1544" s="49">
        <f t="shared" si="42"/>
        <v>82782</v>
      </c>
    </row>
    <row r="1545" spans="1:4">
      <c r="A1545" s="7" t="s">
        <v>1487</v>
      </c>
      <c r="B1545" s="46">
        <v>49373</v>
      </c>
      <c r="C1545" s="46">
        <v>227</v>
      </c>
      <c r="D1545" s="49">
        <f t="shared" si="42"/>
        <v>49146</v>
      </c>
    </row>
    <row r="1546" spans="1:4">
      <c r="A1546" s="7" t="s">
        <v>1132</v>
      </c>
      <c r="B1546" s="46">
        <v>2755928</v>
      </c>
      <c r="C1546" s="46">
        <v>372050</v>
      </c>
      <c r="D1546" s="49">
        <f t="shared" si="42"/>
        <v>2383878</v>
      </c>
    </row>
    <row r="1547" spans="1:4">
      <c r="A1547" s="7" t="s">
        <v>1133</v>
      </c>
      <c r="B1547" s="46">
        <v>14761046</v>
      </c>
      <c r="C1547" s="46">
        <v>1992738</v>
      </c>
      <c r="D1547" s="49">
        <f t="shared" si="42"/>
        <v>12768308</v>
      </c>
    </row>
    <row r="1548" spans="1:4">
      <c r="A1548" s="7" t="s">
        <v>1134</v>
      </c>
      <c r="B1548" s="46">
        <v>17830502</v>
      </c>
      <c r="C1548" s="46">
        <v>2407118</v>
      </c>
      <c r="D1548" s="49">
        <f t="shared" si="42"/>
        <v>15423384</v>
      </c>
    </row>
    <row r="1549" spans="1:4">
      <c r="A1549" s="7" t="s">
        <v>1135</v>
      </c>
      <c r="B1549" s="46">
        <v>3113618</v>
      </c>
      <c r="C1549" s="46">
        <v>420338</v>
      </c>
      <c r="D1549" s="49">
        <f t="shared" ref="D1549:D1612" si="43">B1549-C1549</f>
        <v>2693280</v>
      </c>
    </row>
    <row r="1550" spans="1:4">
      <c r="A1550" s="7" t="s">
        <v>1136</v>
      </c>
      <c r="B1550" s="46">
        <v>5333973</v>
      </c>
      <c r="C1550" s="46">
        <v>720088</v>
      </c>
      <c r="D1550" s="49">
        <f t="shared" si="43"/>
        <v>4613885</v>
      </c>
    </row>
    <row r="1551" spans="1:4">
      <c r="A1551" s="7" t="s">
        <v>1137</v>
      </c>
      <c r="B1551" s="46">
        <v>12488448</v>
      </c>
      <c r="C1551" s="46">
        <v>1685939</v>
      </c>
      <c r="D1551" s="49">
        <f t="shared" si="43"/>
        <v>10802509</v>
      </c>
    </row>
    <row r="1552" spans="1:4">
      <c r="A1552" s="7" t="s">
        <v>1138</v>
      </c>
      <c r="B1552" s="46">
        <v>16502259</v>
      </c>
      <c r="C1552" s="46">
        <v>2227809</v>
      </c>
      <c r="D1552" s="49">
        <f t="shared" si="43"/>
        <v>14274450</v>
      </c>
    </row>
    <row r="1553" spans="1:4">
      <c r="A1553" s="7" t="s">
        <v>1139</v>
      </c>
      <c r="B1553" s="46">
        <v>13054893</v>
      </c>
      <c r="C1553" s="46">
        <v>1762408</v>
      </c>
      <c r="D1553" s="49">
        <f t="shared" si="43"/>
        <v>11292485</v>
      </c>
    </row>
    <row r="1554" spans="1:4">
      <c r="A1554" s="7" t="s">
        <v>1140</v>
      </c>
      <c r="B1554" s="46">
        <v>1530075</v>
      </c>
      <c r="C1554" s="46">
        <v>206559</v>
      </c>
      <c r="D1554" s="49">
        <f t="shared" si="43"/>
        <v>1323516</v>
      </c>
    </row>
    <row r="1555" spans="1:4">
      <c r="A1555" s="7" t="s">
        <v>1141</v>
      </c>
      <c r="B1555" s="46">
        <v>18760283</v>
      </c>
      <c r="C1555" s="46">
        <v>2532641</v>
      </c>
      <c r="D1555" s="49">
        <f t="shared" si="43"/>
        <v>16227642</v>
      </c>
    </row>
    <row r="1556" spans="1:4">
      <c r="A1556" s="7" t="s">
        <v>1142</v>
      </c>
      <c r="B1556" s="46">
        <v>1416506</v>
      </c>
      <c r="C1556" s="46">
        <v>191229</v>
      </c>
      <c r="D1556" s="49">
        <f t="shared" si="43"/>
        <v>1225277</v>
      </c>
    </row>
    <row r="1557" spans="1:4">
      <c r="A1557" s="7" t="s">
        <v>1143</v>
      </c>
      <c r="B1557" s="46">
        <v>5835409</v>
      </c>
      <c r="C1557" s="46">
        <v>787779</v>
      </c>
      <c r="D1557" s="49">
        <f t="shared" si="43"/>
        <v>5047630</v>
      </c>
    </row>
    <row r="1558" spans="1:4">
      <c r="A1558" s="7" t="s">
        <v>1144</v>
      </c>
      <c r="B1558" s="46">
        <v>11396582</v>
      </c>
      <c r="C1558" s="46">
        <v>1538540</v>
      </c>
      <c r="D1558" s="49">
        <f t="shared" si="43"/>
        <v>9858042</v>
      </c>
    </row>
    <row r="1559" spans="1:4">
      <c r="A1559" s="7" t="s">
        <v>1145</v>
      </c>
      <c r="B1559" s="46">
        <v>31396922</v>
      </c>
      <c r="C1559" s="46">
        <v>4238580</v>
      </c>
      <c r="D1559" s="49">
        <f t="shared" si="43"/>
        <v>27158342</v>
      </c>
    </row>
    <row r="1560" spans="1:4">
      <c r="A1560" s="7" t="s">
        <v>1146</v>
      </c>
      <c r="B1560" s="46">
        <v>2718232</v>
      </c>
      <c r="C1560" s="46">
        <v>366961</v>
      </c>
      <c r="D1560" s="49">
        <f t="shared" si="43"/>
        <v>2351271</v>
      </c>
    </row>
    <row r="1561" spans="1:4">
      <c r="A1561" s="7" t="s">
        <v>1147</v>
      </c>
      <c r="B1561" s="46">
        <v>4275163</v>
      </c>
      <c r="C1561" s="46">
        <v>577148</v>
      </c>
      <c r="D1561" s="49">
        <f t="shared" si="43"/>
        <v>3698015</v>
      </c>
    </row>
    <row r="1562" spans="1:4">
      <c r="A1562" s="7" t="s">
        <v>1148</v>
      </c>
      <c r="B1562" s="46">
        <v>3021154</v>
      </c>
      <c r="C1562" s="46">
        <v>407856</v>
      </c>
      <c r="D1562" s="49">
        <f t="shared" si="43"/>
        <v>2613298</v>
      </c>
    </row>
    <row r="1563" spans="1:4">
      <c r="A1563" s="7" t="s">
        <v>1149</v>
      </c>
      <c r="B1563" s="46">
        <v>2657656</v>
      </c>
      <c r="C1563" s="46">
        <v>358782</v>
      </c>
      <c r="D1563" s="49">
        <f t="shared" si="43"/>
        <v>2298874</v>
      </c>
    </row>
    <row r="1564" spans="1:4">
      <c r="A1564" s="7" t="s">
        <v>1150</v>
      </c>
      <c r="B1564" s="46">
        <v>19009714</v>
      </c>
      <c r="C1564" s="46">
        <v>2566309</v>
      </c>
      <c r="D1564" s="49">
        <f t="shared" si="43"/>
        <v>16443405</v>
      </c>
    </row>
    <row r="1565" spans="1:4">
      <c r="A1565" s="7" t="s">
        <v>1151</v>
      </c>
      <c r="B1565" s="46">
        <v>17061684</v>
      </c>
      <c r="C1565" s="46">
        <v>2303327</v>
      </c>
      <c r="D1565" s="49">
        <f t="shared" si="43"/>
        <v>14758357</v>
      </c>
    </row>
    <row r="1566" spans="1:4">
      <c r="A1566" s="7" t="s">
        <v>1152</v>
      </c>
      <c r="B1566" s="46">
        <v>12619521</v>
      </c>
      <c r="C1566" s="46">
        <v>1703637</v>
      </c>
      <c r="D1566" s="49">
        <f t="shared" si="43"/>
        <v>10915884</v>
      </c>
    </row>
    <row r="1567" spans="1:4">
      <c r="A1567" s="7" t="s">
        <v>1153</v>
      </c>
      <c r="B1567" s="46">
        <v>4781393</v>
      </c>
      <c r="C1567" s="46">
        <v>645487</v>
      </c>
      <c r="D1567" s="49">
        <f t="shared" si="43"/>
        <v>4135906</v>
      </c>
    </row>
    <row r="1568" spans="1:4">
      <c r="A1568" s="7" t="s">
        <v>1154</v>
      </c>
      <c r="B1568" s="46">
        <v>12524876</v>
      </c>
      <c r="C1568" s="46">
        <v>1690861</v>
      </c>
      <c r="D1568" s="49">
        <f t="shared" si="43"/>
        <v>10834015</v>
      </c>
    </row>
    <row r="1569" spans="1:4">
      <c r="A1569" s="7" t="s">
        <v>1155</v>
      </c>
      <c r="B1569" s="46">
        <v>6877345</v>
      </c>
      <c r="C1569" s="46">
        <v>928443</v>
      </c>
      <c r="D1569" s="49">
        <f t="shared" si="43"/>
        <v>5948902</v>
      </c>
    </row>
    <row r="1570" spans="1:4">
      <c r="A1570" s="7" t="s">
        <v>1156</v>
      </c>
      <c r="B1570" s="46">
        <v>24608197</v>
      </c>
      <c r="C1570" s="46">
        <v>3322105</v>
      </c>
      <c r="D1570" s="49">
        <f t="shared" si="43"/>
        <v>21286092</v>
      </c>
    </row>
    <row r="1571" spans="1:4">
      <c r="A1571" s="7" t="s">
        <v>1157</v>
      </c>
      <c r="B1571" s="46">
        <v>9999806</v>
      </c>
      <c r="C1571" s="46">
        <v>1349970</v>
      </c>
      <c r="D1571" s="49">
        <f t="shared" si="43"/>
        <v>8649836</v>
      </c>
    </row>
    <row r="1572" spans="1:4">
      <c r="A1572" s="7" t="s">
        <v>1158</v>
      </c>
      <c r="B1572" s="46">
        <v>21530235</v>
      </c>
      <c r="C1572" s="46">
        <v>2906578</v>
      </c>
      <c r="D1572" s="49">
        <f t="shared" si="43"/>
        <v>18623657</v>
      </c>
    </row>
    <row r="1573" spans="1:4">
      <c r="A1573" s="7" t="s">
        <v>1159</v>
      </c>
      <c r="B1573" s="46">
        <v>11580767</v>
      </c>
      <c r="C1573" s="46">
        <v>1563406</v>
      </c>
      <c r="D1573" s="49">
        <f t="shared" si="43"/>
        <v>10017361</v>
      </c>
    </row>
    <row r="1574" spans="1:4">
      <c r="A1574" s="7" t="s">
        <v>1160</v>
      </c>
      <c r="B1574" s="46">
        <v>12522377</v>
      </c>
      <c r="C1574" s="46">
        <v>1690521</v>
      </c>
      <c r="D1574" s="49">
        <f t="shared" si="43"/>
        <v>10831856</v>
      </c>
    </row>
    <row r="1575" spans="1:4">
      <c r="A1575" s="7" t="s">
        <v>1161</v>
      </c>
      <c r="B1575" s="46">
        <v>9838162</v>
      </c>
      <c r="C1575" s="46">
        <v>1328151</v>
      </c>
      <c r="D1575" s="49">
        <f t="shared" si="43"/>
        <v>8510011</v>
      </c>
    </row>
    <row r="1576" spans="1:4">
      <c r="A1576" s="7" t="s">
        <v>1162</v>
      </c>
      <c r="B1576" s="46">
        <v>12020921</v>
      </c>
      <c r="C1576" s="46">
        <v>1622827</v>
      </c>
      <c r="D1576" s="49">
        <f t="shared" si="43"/>
        <v>10398094</v>
      </c>
    </row>
    <row r="1577" spans="1:4">
      <c r="A1577" s="7" t="s">
        <v>1163</v>
      </c>
      <c r="B1577" s="46">
        <v>10205474</v>
      </c>
      <c r="C1577" s="46">
        <v>1377737</v>
      </c>
      <c r="D1577" s="49">
        <f t="shared" si="43"/>
        <v>8827737</v>
      </c>
    </row>
    <row r="1578" spans="1:4">
      <c r="A1578" s="7" t="s">
        <v>1164</v>
      </c>
      <c r="B1578" s="46">
        <v>19529537</v>
      </c>
      <c r="C1578" s="46">
        <v>2423742</v>
      </c>
      <c r="D1578" s="49">
        <f t="shared" si="43"/>
        <v>17105795</v>
      </c>
    </row>
    <row r="1579" spans="1:4">
      <c r="A1579" s="7" t="s">
        <v>1165</v>
      </c>
      <c r="B1579" s="46">
        <v>10292674</v>
      </c>
      <c r="C1579" s="46">
        <v>1389513</v>
      </c>
      <c r="D1579" s="49">
        <f t="shared" si="43"/>
        <v>8903161</v>
      </c>
    </row>
    <row r="1580" spans="1:4">
      <c r="A1580" s="7" t="s">
        <v>1166</v>
      </c>
      <c r="B1580" s="46">
        <v>3012673</v>
      </c>
      <c r="C1580" s="46">
        <v>406712</v>
      </c>
      <c r="D1580" s="49">
        <f t="shared" si="43"/>
        <v>2605961</v>
      </c>
    </row>
    <row r="1581" spans="1:4">
      <c r="A1581" s="7" t="s">
        <v>1167</v>
      </c>
      <c r="B1581" s="46">
        <v>3374264</v>
      </c>
      <c r="C1581" s="46">
        <v>455525</v>
      </c>
      <c r="D1581" s="49">
        <f t="shared" si="43"/>
        <v>2918739</v>
      </c>
    </row>
    <row r="1582" spans="1:4">
      <c r="A1582" s="7" t="s">
        <v>1168</v>
      </c>
      <c r="B1582" s="46">
        <v>2626507</v>
      </c>
      <c r="C1582" s="46">
        <v>354580</v>
      </c>
      <c r="D1582" s="49">
        <f t="shared" si="43"/>
        <v>2271927</v>
      </c>
    </row>
    <row r="1583" spans="1:4">
      <c r="A1583" s="7" t="s">
        <v>1169</v>
      </c>
      <c r="B1583" s="46">
        <v>13387478</v>
      </c>
      <c r="C1583" s="46">
        <v>1807308</v>
      </c>
      <c r="D1583" s="49">
        <f t="shared" si="43"/>
        <v>11580170</v>
      </c>
    </row>
    <row r="1584" spans="1:4">
      <c r="A1584" s="7" t="s">
        <v>1170</v>
      </c>
      <c r="B1584" s="46">
        <v>31176232</v>
      </c>
      <c r="C1584" s="46">
        <v>4208792</v>
      </c>
      <c r="D1584" s="49">
        <f t="shared" si="43"/>
        <v>26967440</v>
      </c>
    </row>
    <row r="1585" spans="1:4">
      <c r="A1585" s="7" t="s">
        <v>1171</v>
      </c>
      <c r="B1585" s="46">
        <v>2556163</v>
      </c>
      <c r="C1585" s="46">
        <v>345084</v>
      </c>
      <c r="D1585" s="49">
        <f t="shared" si="43"/>
        <v>2211079</v>
      </c>
    </row>
    <row r="1586" spans="1:4">
      <c r="A1586" s="7" t="s">
        <v>1172</v>
      </c>
      <c r="B1586" s="46">
        <v>7462279</v>
      </c>
      <c r="C1586" s="46">
        <v>1007406</v>
      </c>
      <c r="D1586" s="49">
        <f t="shared" si="43"/>
        <v>6454873</v>
      </c>
    </row>
    <row r="1587" spans="1:4">
      <c r="A1587" s="7" t="s">
        <v>1173</v>
      </c>
      <c r="B1587" s="46">
        <v>5264202</v>
      </c>
      <c r="C1587" s="46">
        <v>710669</v>
      </c>
      <c r="D1587" s="49">
        <f t="shared" si="43"/>
        <v>4553533</v>
      </c>
    </row>
    <row r="1588" spans="1:4">
      <c r="A1588" s="7" t="s">
        <v>1174</v>
      </c>
      <c r="B1588" s="46">
        <v>1010866</v>
      </c>
      <c r="C1588" s="46">
        <v>136467</v>
      </c>
      <c r="D1588" s="49">
        <f t="shared" si="43"/>
        <v>874399</v>
      </c>
    </row>
    <row r="1589" spans="1:4">
      <c r="A1589" s="7" t="s">
        <v>1175</v>
      </c>
      <c r="B1589" s="46">
        <v>8403139</v>
      </c>
      <c r="C1589" s="46">
        <v>1134424</v>
      </c>
      <c r="D1589" s="49">
        <f t="shared" si="43"/>
        <v>7268715</v>
      </c>
    </row>
    <row r="1590" spans="1:4">
      <c r="A1590" s="7" t="s">
        <v>1176</v>
      </c>
      <c r="B1590" s="46">
        <v>3350684</v>
      </c>
      <c r="C1590" s="46">
        <v>452343</v>
      </c>
      <c r="D1590" s="49">
        <f t="shared" si="43"/>
        <v>2898341</v>
      </c>
    </row>
    <row r="1591" spans="1:4">
      <c r="A1591" s="7" t="s">
        <v>1177</v>
      </c>
      <c r="B1591" s="46">
        <v>7910215</v>
      </c>
      <c r="C1591" s="46">
        <v>1067879</v>
      </c>
      <c r="D1591" s="49">
        <f t="shared" si="43"/>
        <v>6842336</v>
      </c>
    </row>
    <row r="1592" spans="1:4">
      <c r="A1592" s="7" t="s">
        <v>1178</v>
      </c>
      <c r="B1592" s="46">
        <v>17641530</v>
      </c>
      <c r="C1592" s="46">
        <v>2381605</v>
      </c>
      <c r="D1592" s="49">
        <f t="shared" si="43"/>
        <v>15259925</v>
      </c>
    </row>
    <row r="1593" spans="1:4">
      <c r="A1593" s="7" t="s">
        <v>1179</v>
      </c>
      <c r="B1593" s="46">
        <v>2342072</v>
      </c>
      <c r="C1593" s="46">
        <v>316180</v>
      </c>
      <c r="D1593" s="49">
        <f t="shared" si="43"/>
        <v>2025892</v>
      </c>
    </row>
    <row r="1594" spans="1:4">
      <c r="A1594" s="7" t="s">
        <v>1180</v>
      </c>
      <c r="B1594" s="46">
        <v>31199640</v>
      </c>
      <c r="C1594" s="46">
        <v>4211950</v>
      </c>
      <c r="D1594" s="49">
        <f t="shared" si="43"/>
        <v>26987690</v>
      </c>
    </row>
    <row r="1595" spans="1:4">
      <c r="A1595" s="7" t="s">
        <v>1181</v>
      </c>
      <c r="B1595" s="46">
        <v>13752394</v>
      </c>
      <c r="C1595" s="46">
        <v>1856572</v>
      </c>
      <c r="D1595" s="49">
        <f t="shared" si="43"/>
        <v>11895822</v>
      </c>
    </row>
    <row r="1596" spans="1:4">
      <c r="A1596" s="7" t="s">
        <v>1182</v>
      </c>
      <c r="B1596" s="46">
        <v>1419082</v>
      </c>
      <c r="C1596" s="46">
        <v>191578</v>
      </c>
      <c r="D1596" s="49">
        <f t="shared" si="43"/>
        <v>1227504</v>
      </c>
    </row>
    <row r="1597" spans="1:4">
      <c r="A1597" s="7" t="s">
        <v>1183</v>
      </c>
      <c r="B1597" s="46">
        <v>16969778</v>
      </c>
      <c r="C1597" s="46">
        <v>2290924</v>
      </c>
      <c r="D1597" s="49">
        <f t="shared" si="43"/>
        <v>14678854</v>
      </c>
    </row>
    <row r="1598" spans="1:4">
      <c r="A1598" s="7" t="s">
        <v>1184</v>
      </c>
      <c r="B1598" s="46">
        <v>12247737</v>
      </c>
      <c r="C1598" s="46">
        <v>1653446</v>
      </c>
      <c r="D1598" s="49">
        <f t="shared" si="43"/>
        <v>10594291</v>
      </c>
    </row>
    <row r="1599" spans="1:4">
      <c r="A1599" s="7" t="s">
        <v>1185</v>
      </c>
      <c r="B1599" s="46">
        <v>39510004</v>
      </c>
      <c r="C1599" s="46">
        <v>5288604</v>
      </c>
      <c r="D1599" s="49">
        <f t="shared" si="43"/>
        <v>34221400</v>
      </c>
    </row>
    <row r="1600" spans="1:4">
      <c r="A1600" s="7" t="s">
        <v>1186</v>
      </c>
      <c r="B1600" s="46">
        <v>7045430</v>
      </c>
      <c r="C1600" s="46">
        <v>951134</v>
      </c>
      <c r="D1600" s="49">
        <f t="shared" si="43"/>
        <v>6094296</v>
      </c>
    </row>
    <row r="1601" spans="1:4">
      <c r="A1601" s="7" t="s">
        <v>1187</v>
      </c>
      <c r="B1601" s="46">
        <v>5574026</v>
      </c>
      <c r="C1601" s="46">
        <v>752496</v>
      </c>
      <c r="D1601" s="49">
        <f t="shared" si="43"/>
        <v>4821530</v>
      </c>
    </row>
    <row r="1602" spans="1:4">
      <c r="A1602" s="7" t="s">
        <v>1188</v>
      </c>
      <c r="B1602" s="46">
        <v>7810242</v>
      </c>
      <c r="C1602" s="46">
        <v>1054379</v>
      </c>
      <c r="D1602" s="49">
        <f t="shared" si="43"/>
        <v>6755863</v>
      </c>
    </row>
    <row r="1603" spans="1:4">
      <c r="A1603" s="7" t="s">
        <v>1189</v>
      </c>
      <c r="B1603" s="46">
        <v>52900219</v>
      </c>
      <c r="C1603" s="46">
        <v>7141535</v>
      </c>
      <c r="D1603" s="49">
        <f t="shared" si="43"/>
        <v>45758684</v>
      </c>
    </row>
    <row r="1604" spans="1:4">
      <c r="A1604" s="7" t="s">
        <v>1190</v>
      </c>
      <c r="B1604" s="46">
        <v>7553495</v>
      </c>
      <c r="C1604" s="46">
        <v>1019723</v>
      </c>
      <c r="D1604" s="49">
        <f t="shared" si="43"/>
        <v>6533772</v>
      </c>
    </row>
    <row r="1605" spans="1:4">
      <c r="A1605" s="7" t="s">
        <v>1191</v>
      </c>
      <c r="B1605" s="46">
        <v>15210284</v>
      </c>
      <c r="C1605" s="46">
        <v>2053386</v>
      </c>
      <c r="D1605" s="49">
        <f t="shared" si="43"/>
        <v>13156898</v>
      </c>
    </row>
    <row r="1606" spans="1:4">
      <c r="A1606" s="7" t="s">
        <v>1192</v>
      </c>
      <c r="B1606" s="46">
        <v>22502017</v>
      </c>
      <c r="C1606" s="46">
        <v>3037771</v>
      </c>
      <c r="D1606" s="49">
        <f t="shared" si="43"/>
        <v>19464246</v>
      </c>
    </row>
    <row r="1607" spans="1:4">
      <c r="A1607" s="7" t="s">
        <v>1193</v>
      </c>
      <c r="B1607" s="46">
        <v>38663914</v>
      </c>
      <c r="C1607" s="46">
        <v>5219628</v>
      </c>
      <c r="D1607" s="49">
        <f t="shared" si="43"/>
        <v>33444286</v>
      </c>
    </row>
    <row r="1608" spans="1:4">
      <c r="A1608" s="7" t="s">
        <v>1194</v>
      </c>
      <c r="B1608" s="46">
        <v>4269353</v>
      </c>
      <c r="C1608" s="46">
        <v>535449</v>
      </c>
      <c r="D1608" s="49">
        <f t="shared" si="43"/>
        <v>3733904</v>
      </c>
    </row>
    <row r="1609" spans="1:4">
      <c r="A1609" s="7" t="s">
        <v>1195</v>
      </c>
      <c r="B1609" s="46">
        <v>9806013</v>
      </c>
      <c r="C1609" s="46">
        <v>1323812</v>
      </c>
      <c r="D1609" s="49">
        <f t="shared" si="43"/>
        <v>8482201</v>
      </c>
    </row>
    <row r="1610" spans="1:4">
      <c r="A1610" s="7" t="s">
        <v>1196</v>
      </c>
      <c r="B1610" s="46">
        <v>2056221</v>
      </c>
      <c r="C1610" s="46">
        <v>277588</v>
      </c>
      <c r="D1610" s="49">
        <f t="shared" si="43"/>
        <v>1778633</v>
      </c>
    </row>
    <row r="1611" spans="1:4">
      <c r="A1611" s="7" t="s">
        <v>1197</v>
      </c>
      <c r="B1611" s="46">
        <v>3604020</v>
      </c>
      <c r="C1611" s="46">
        <v>486542</v>
      </c>
      <c r="D1611" s="49">
        <f t="shared" si="43"/>
        <v>3117478</v>
      </c>
    </row>
    <row r="1612" spans="1:4">
      <c r="A1612" s="7" t="s">
        <v>1198</v>
      </c>
      <c r="B1612" s="46">
        <v>28188299</v>
      </c>
      <c r="C1612" s="46">
        <v>3805422</v>
      </c>
      <c r="D1612" s="49">
        <f t="shared" si="43"/>
        <v>24382877</v>
      </c>
    </row>
    <row r="1613" spans="1:4">
      <c r="A1613" s="7" t="s">
        <v>1199</v>
      </c>
      <c r="B1613" s="46">
        <v>9374410</v>
      </c>
      <c r="C1613" s="46">
        <v>1265545</v>
      </c>
      <c r="D1613" s="49">
        <f t="shared" ref="D1613:D1676" si="44">B1613-C1613</f>
        <v>8108865</v>
      </c>
    </row>
    <row r="1614" spans="1:4">
      <c r="A1614" s="7" t="s">
        <v>1200</v>
      </c>
      <c r="B1614" s="46">
        <v>6608889</v>
      </c>
      <c r="C1614" s="46">
        <v>892201</v>
      </c>
      <c r="D1614" s="49">
        <f t="shared" si="44"/>
        <v>5716688</v>
      </c>
    </row>
    <row r="1615" spans="1:4">
      <c r="A1615" s="7" t="s">
        <v>1201</v>
      </c>
      <c r="B1615" s="46">
        <v>9810426</v>
      </c>
      <c r="C1615" s="46">
        <v>1324408</v>
      </c>
      <c r="D1615" s="49">
        <f t="shared" si="44"/>
        <v>8486018</v>
      </c>
    </row>
    <row r="1616" spans="1:4">
      <c r="A1616" s="7" t="s">
        <v>1202</v>
      </c>
      <c r="B1616" s="46">
        <v>9942808</v>
      </c>
      <c r="C1616" s="46">
        <v>1342278</v>
      </c>
      <c r="D1616" s="49">
        <f t="shared" si="44"/>
        <v>8600530</v>
      </c>
    </row>
    <row r="1617" spans="1:4">
      <c r="A1617" s="7" t="s">
        <v>1203</v>
      </c>
      <c r="B1617" s="46">
        <v>19404144</v>
      </c>
      <c r="C1617" s="46">
        <v>2619563</v>
      </c>
      <c r="D1617" s="49">
        <f t="shared" si="44"/>
        <v>16784581</v>
      </c>
    </row>
    <row r="1618" spans="1:4">
      <c r="A1618" s="7" t="s">
        <v>1204</v>
      </c>
      <c r="B1618" s="46">
        <v>65499598</v>
      </c>
      <c r="C1618" s="46">
        <v>8842443</v>
      </c>
      <c r="D1618" s="49">
        <f t="shared" si="44"/>
        <v>56657155</v>
      </c>
    </row>
    <row r="1619" spans="1:4">
      <c r="A1619" s="7" t="s">
        <v>1205</v>
      </c>
      <c r="B1619" s="46">
        <v>7105283</v>
      </c>
      <c r="C1619" s="46">
        <v>959216</v>
      </c>
      <c r="D1619" s="49">
        <f t="shared" si="44"/>
        <v>6146067</v>
      </c>
    </row>
    <row r="1620" spans="1:4">
      <c r="A1620" s="7" t="s">
        <v>1206</v>
      </c>
      <c r="B1620" s="46">
        <v>2596473</v>
      </c>
      <c r="C1620" s="46">
        <v>350525</v>
      </c>
      <c r="D1620" s="49">
        <f t="shared" si="44"/>
        <v>2245948</v>
      </c>
    </row>
    <row r="1621" spans="1:4">
      <c r="A1621" s="7" t="s">
        <v>1207</v>
      </c>
      <c r="B1621" s="46">
        <v>4018752</v>
      </c>
      <c r="C1621" s="46">
        <v>542531</v>
      </c>
      <c r="D1621" s="49">
        <f t="shared" si="44"/>
        <v>3476221</v>
      </c>
    </row>
    <row r="1622" spans="1:4">
      <c r="A1622" s="7" t="s">
        <v>1208</v>
      </c>
      <c r="B1622" s="46">
        <v>7365956</v>
      </c>
      <c r="C1622" s="46">
        <v>994406</v>
      </c>
      <c r="D1622" s="49">
        <f t="shared" si="44"/>
        <v>6371550</v>
      </c>
    </row>
    <row r="1623" spans="1:4">
      <c r="A1623" s="7" t="s">
        <v>1209</v>
      </c>
      <c r="B1623" s="46">
        <v>7868181</v>
      </c>
      <c r="C1623" s="46">
        <v>1062205</v>
      </c>
      <c r="D1623" s="49">
        <f t="shared" si="44"/>
        <v>6805976</v>
      </c>
    </row>
    <row r="1624" spans="1:4">
      <c r="A1624" s="7" t="s">
        <v>1210</v>
      </c>
      <c r="B1624" s="46">
        <v>13260930</v>
      </c>
      <c r="C1624" s="46">
        <v>1790226</v>
      </c>
      <c r="D1624" s="49">
        <f t="shared" si="44"/>
        <v>11470704</v>
      </c>
    </row>
    <row r="1625" spans="1:4">
      <c r="A1625" s="7" t="s">
        <v>1211</v>
      </c>
      <c r="B1625" s="46">
        <v>3134254</v>
      </c>
      <c r="C1625" s="46">
        <v>423125</v>
      </c>
      <c r="D1625" s="49">
        <f t="shared" si="44"/>
        <v>2711129</v>
      </c>
    </row>
    <row r="1626" spans="1:4">
      <c r="A1626" s="7" t="s">
        <v>1212</v>
      </c>
      <c r="B1626" s="46">
        <v>1818103</v>
      </c>
      <c r="C1626" s="46">
        <v>245444</v>
      </c>
      <c r="D1626" s="49">
        <f t="shared" si="44"/>
        <v>1572659</v>
      </c>
    </row>
    <row r="1627" spans="1:4">
      <c r="A1627" s="7" t="s">
        <v>1213</v>
      </c>
      <c r="B1627" s="46">
        <v>28977921</v>
      </c>
      <c r="C1627" s="46">
        <v>3912017</v>
      </c>
      <c r="D1627" s="49">
        <f t="shared" si="44"/>
        <v>25065904</v>
      </c>
    </row>
    <row r="1628" spans="1:4">
      <c r="A1628" s="7" t="s">
        <v>1214</v>
      </c>
      <c r="B1628" s="46">
        <v>10114140</v>
      </c>
      <c r="C1628" s="46">
        <v>1365411</v>
      </c>
      <c r="D1628" s="49">
        <f t="shared" si="44"/>
        <v>8748729</v>
      </c>
    </row>
    <row r="1629" spans="1:4">
      <c r="A1629" s="7" t="s">
        <v>1215</v>
      </c>
      <c r="B1629" s="46">
        <v>13945867</v>
      </c>
      <c r="C1629" s="46">
        <v>1882689</v>
      </c>
      <c r="D1629" s="49">
        <f t="shared" si="44"/>
        <v>12063178</v>
      </c>
    </row>
    <row r="1630" spans="1:4">
      <c r="A1630" s="7" t="s">
        <v>1216</v>
      </c>
      <c r="B1630" s="46">
        <v>12215846</v>
      </c>
      <c r="C1630" s="46">
        <v>1594203</v>
      </c>
      <c r="D1630" s="49">
        <f t="shared" si="44"/>
        <v>10621643</v>
      </c>
    </row>
    <row r="1631" spans="1:4">
      <c r="A1631" s="7" t="s">
        <v>1217</v>
      </c>
      <c r="B1631" s="46">
        <v>30626206</v>
      </c>
      <c r="C1631" s="46">
        <v>4134541</v>
      </c>
      <c r="D1631" s="49">
        <f t="shared" si="44"/>
        <v>26491665</v>
      </c>
    </row>
    <row r="1632" spans="1:4">
      <c r="A1632" s="7" t="s">
        <v>1218</v>
      </c>
      <c r="B1632" s="46">
        <v>3184376</v>
      </c>
      <c r="C1632" s="46">
        <v>429890</v>
      </c>
      <c r="D1632" s="49">
        <f t="shared" si="44"/>
        <v>2754486</v>
      </c>
    </row>
    <row r="1633" spans="1:4">
      <c r="A1633" s="7" t="s">
        <v>1219</v>
      </c>
      <c r="B1633" s="46">
        <v>10038403</v>
      </c>
      <c r="C1633" s="46">
        <v>1355186</v>
      </c>
      <c r="D1633" s="49">
        <f t="shared" si="44"/>
        <v>8683217</v>
      </c>
    </row>
    <row r="1634" spans="1:4">
      <c r="A1634" s="7" t="s">
        <v>1220</v>
      </c>
      <c r="B1634" s="46">
        <v>6266255</v>
      </c>
      <c r="C1634" s="46">
        <v>845944</v>
      </c>
      <c r="D1634" s="49">
        <f t="shared" si="44"/>
        <v>5420311</v>
      </c>
    </row>
    <row r="1635" spans="1:4">
      <c r="A1635" s="7" t="s">
        <v>1221</v>
      </c>
      <c r="B1635" s="46">
        <v>23390522</v>
      </c>
      <c r="C1635" s="46">
        <v>3157717</v>
      </c>
      <c r="D1635" s="49">
        <f t="shared" si="44"/>
        <v>20232805</v>
      </c>
    </row>
    <row r="1636" spans="1:4">
      <c r="A1636" s="7" t="s">
        <v>1222</v>
      </c>
      <c r="B1636" s="46">
        <v>15393706</v>
      </c>
      <c r="C1636" s="46">
        <v>2078149</v>
      </c>
      <c r="D1636" s="49">
        <f t="shared" si="44"/>
        <v>13315557</v>
      </c>
    </row>
    <row r="1637" spans="1:4">
      <c r="A1637" s="7" t="s">
        <v>1223</v>
      </c>
      <c r="B1637" s="46">
        <v>3648595</v>
      </c>
      <c r="C1637" s="46">
        <v>492559</v>
      </c>
      <c r="D1637" s="49">
        <f t="shared" si="44"/>
        <v>3156036</v>
      </c>
    </row>
    <row r="1638" spans="1:4">
      <c r="A1638" s="7" t="s">
        <v>1224</v>
      </c>
      <c r="B1638" s="46">
        <v>12120482</v>
      </c>
      <c r="C1638" s="46">
        <v>1636264</v>
      </c>
      <c r="D1638" s="49">
        <f t="shared" si="44"/>
        <v>10484218</v>
      </c>
    </row>
    <row r="1639" spans="1:4">
      <c r="A1639" s="7" t="s">
        <v>1225</v>
      </c>
      <c r="B1639" s="46">
        <v>10180238</v>
      </c>
      <c r="C1639" s="46">
        <v>1374335</v>
      </c>
      <c r="D1639" s="49">
        <f t="shared" si="44"/>
        <v>8805903</v>
      </c>
    </row>
    <row r="1640" spans="1:4">
      <c r="A1640" s="7" t="s">
        <v>1226</v>
      </c>
      <c r="B1640" s="46">
        <v>3430677</v>
      </c>
      <c r="C1640" s="46">
        <v>463143</v>
      </c>
      <c r="D1640" s="49">
        <f t="shared" si="44"/>
        <v>2967534</v>
      </c>
    </row>
    <row r="1641" spans="1:4">
      <c r="A1641" s="7" t="s">
        <v>1227</v>
      </c>
      <c r="B1641" s="46">
        <v>13963104</v>
      </c>
      <c r="C1641" s="46">
        <v>1885019</v>
      </c>
      <c r="D1641" s="49">
        <f t="shared" si="44"/>
        <v>12078085</v>
      </c>
    </row>
    <row r="1642" spans="1:4">
      <c r="A1642" s="7" t="s">
        <v>1228</v>
      </c>
      <c r="B1642" s="46">
        <v>5686560</v>
      </c>
      <c r="C1642" s="46">
        <v>767686</v>
      </c>
      <c r="D1642" s="49">
        <f t="shared" si="44"/>
        <v>4918874</v>
      </c>
    </row>
    <row r="1643" spans="1:4">
      <c r="A1643" s="7" t="s">
        <v>1229</v>
      </c>
      <c r="B1643" s="46">
        <v>14698495</v>
      </c>
      <c r="C1643" s="46">
        <v>1984300</v>
      </c>
      <c r="D1643" s="49">
        <f t="shared" si="44"/>
        <v>12714195</v>
      </c>
    </row>
    <row r="1644" spans="1:4">
      <c r="A1644" s="7" t="s">
        <v>1230</v>
      </c>
      <c r="B1644" s="46">
        <v>3815534</v>
      </c>
      <c r="C1644" s="46">
        <v>515098</v>
      </c>
      <c r="D1644" s="49">
        <f t="shared" si="44"/>
        <v>3300436</v>
      </c>
    </row>
    <row r="1645" spans="1:4">
      <c r="A1645" s="7" t="s">
        <v>1231</v>
      </c>
      <c r="B1645" s="46">
        <v>14408326</v>
      </c>
      <c r="C1645" s="46">
        <v>1945125</v>
      </c>
      <c r="D1645" s="49">
        <f t="shared" si="44"/>
        <v>12463201</v>
      </c>
    </row>
    <row r="1646" spans="1:4">
      <c r="A1646" s="7" t="s">
        <v>1232</v>
      </c>
      <c r="B1646" s="46">
        <v>7354469</v>
      </c>
      <c r="C1646" s="46">
        <v>992852</v>
      </c>
      <c r="D1646" s="49">
        <f t="shared" si="44"/>
        <v>6361617</v>
      </c>
    </row>
    <row r="1647" spans="1:4">
      <c r="A1647" s="7" t="s">
        <v>1233</v>
      </c>
      <c r="B1647" s="46">
        <v>12022401</v>
      </c>
      <c r="C1647" s="46">
        <v>1623023</v>
      </c>
      <c r="D1647" s="49">
        <f t="shared" si="44"/>
        <v>10399378</v>
      </c>
    </row>
    <row r="1648" spans="1:4">
      <c r="A1648" s="7" t="s">
        <v>1234</v>
      </c>
      <c r="B1648" s="46">
        <v>4437849</v>
      </c>
      <c r="C1648" s="46">
        <v>599108</v>
      </c>
      <c r="D1648" s="49">
        <f t="shared" si="44"/>
        <v>3838741</v>
      </c>
    </row>
    <row r="1649" spans="1:4">
      <c r="A1649" s="7" t="s">
        <v>1235</v>
      </c>
      <c r="B1649" s="46">
        <v>3256048</v>
      </c>
      <c r="C1649" s="46">
        <v>439567</v>
      </c>
      <c r="D1649" s="49">
        <f t="shared" si="44"/>
        <v>2816481</v>
      </c>
    </row>
    <row r="1650" spans="1:4">
      <c r="A1650" s="7" t="s">
        <v>1236</v>
      </c>
      <c r="B1650" s="46">
        <v>11074058</v>
      </c>
      <c r="C1650" s="46">
        <v>1494997</v>
      </c>
      <c r="D1650" s="49">
        <f t="shared" si="44"/>
        <v>9579061</v>
      </c>
    </row>
    <row r="1651" spans="1:4">
      <c r="A1651" s="7" t="s">
        <v>1237</v>
      </c>
      <c r="B1651" s="46">
        <v>8218073</v>
      </c>
      <c r="C1651" s="46">
        <v>1109438</v>
      </c>
      <c r="D1651" s="49">
        <f t="shared" si="44"/>
        <v>7108635</v>
      </c>
    </row>
    <row r="1652" spans="1:4">
      <c r="A1652" s="7" t="s">
        <v>1238</v>
      </c>
      <c r="B1652" s="46">
        <v>68932231</v>
      </c>
      <c r="C1652" s="46">
        <v>9305848</v>
      </c>
      <c r="D1652" s="49">
        <f t="shared" si="44"/>
        <v>59626383</v>
      </c>
    </row>
    <row r="1653" spans="1:4">
      <c r="A1653" s="7" t="s">
        <v>1239</v>
      </c>
      <c r="B1653" s="46">
        <v>6906108</v>
      </c>
      <c r="C1653" s="46">
        <v>932326</v>
      </c>
      <c r="D1653" s="49">
        <f t="shared" si="44"/>
        <v>5973782</v>
      </c>
    </row>
    <row r="1654" spans="1:4">
      <c r="A1654" s="7" t="s">
        <v>1240</v>
      </c>
      <c r="B1654" s="46">
        <v>20240325</v>
      </c>
      <c r="C1654" s="46">
        <v>2732443</v>
      </c>
      <c r="D1654" s="49">
        <f t="shared" si="44"/>
        <v>17507882</v>
      </c>
    </row>
    <row r="1655" spans="1:4">
      <c r="A1655" s="7" t="s">
        <v>1241</v>
      </c>
      <c r="B1655" s="46">
        <v>3899851</v>
      </c>
      <c r="C1655" s="46">
        <v>526480</v>
      </c>
      <c r="D1655" s="49">
        <f t="shared" si="44"/>
        <v>3373371</v>
      </c>
    </row>
    <row r="1656" spans="1:4">
      <c r="A1656" s="7" t="s">
        <v>1242</v>
      </c>
      <c r="B1656" s="46">
        <v>6706892</v>
      </c>
      <c r="C1656" s="46">
        <v>905429</v>
      </c>
      <c r="D1656" s="49">
        <f t="shared" si="44"/>
        <v>5801463</v>
      </c>
    </row>
    <row r="1657" spans="1:4">
      <c r="A1657" s="7" t="s">
        <v>1243</v>
      </c>
      <c r="B1657" s="46">
        <v>7510697</v>
      </c>
      <c r="C1657" s="46">
        <v>1013942</v>
      </c>
      <c r="D1657" s="49">
        <f t="shared" si="44"/>
        <v>6496755</v>
      </c>
    </row>
    <row r="1658" spans="1:4">
      <c r="A1658" s="7" t="s">
        <v>1244</v>
      </c>
      <c r="B1658" s="46">
        <v>4033116</v>
      </c>
      <c r="C1658" s="46">
        <v>544470</v>
      </c>
      <c r="D1658" s="49">
        <f t="shared" si="44"/>
        <v>3488646</v>
      </c>
    </row>
    <row r="1659" spans="1:4">
      <c r="A1659" s="7" t="s">
        <v>1245</v>
      </c>
      <c r="B1659" s="46">
        <v>4286214</v>
      </c>
      <c r="C1659" s="46">
        <v>578640</v>
      </c>
      <c r="D1659" s="49">
        <f t="shared" si="44"/>
        <v>3707574</v>
      </c>
    </row>
    <row r="1660" spans="1:4">
      <c r="A1660" s="7" t="s">
        <v>1246</v>
      </c>
      <c r="B1660" s="46">
        <v>7422113</v>
      </c>
      <c r="C1660" s="46">
        <v>1001984</v>
      </c>
      <c r="D1660" s="49">
        <f t="shared" si="44"/>
        <v>6420129</v>
      </c>
    </row>
    <row r="1661" spans="1:4">
      <c r="A1661" s="7" t="s">
        <v>1247</v>
      </c>
      <c r="B1661" s="46">
        <v>6700648</v>
      </c>
      <c r="C1661" s="46">
        <v>904587</v>
      </c>
      <c r="D1661" s="49">
        <f t="shared" si="44"/>
        <v>5796061</v>
      </c>
    </row>
    <row r="1662" spans="1:4">
      <c r="A1662" s="7" t="s">
        <v>1248</v>
      </c>
      <c r="B1662" s="46">
        <v>3946010</v>
      </c>
      <c r="C1662" s="46">
        <v>532710</v>
      </c>
      <c r="D1662" s="49">
        <f t="shared" si="44"/>
        <v>3413300</v>
      </c>
    </row>
    <row r="1663" spans="1:4">
      <c r="A1663" s="7" t="s">
        <v>1249</v>
      </c>
      <c r="B1663" s="46">
        <v>3220830</v>
      </c>
      <c r="C1663" s="46">
        <v>434811</v>
      </c>
      <c r="D1663" s="49">
        <f t="shared" si="44"/>
        <v>2786019</v>
      </c>
    </row>
    <row r="1664" spans="1:4">
      <c r="A1664" s="7" t="s">
        <v>1250</v>
      </c>
      <c r="B1664" s="46">
        <v>9944648</v>
      </c>
      <c r="C1664" s="46">
        <v>1342526</v>
      </c>
      <c r="D1664" s="49">
        <f t="shared" si="44"/>
        <v>8602122</v>
      </c>
    </row>
    <row r="1665" spans="1:4">
      <c r="A1665" s="7" t="s">
        <v>1251</v>
      </c>
      <c r="B1665" s="46">
        <v>3816485</v>
      </c>
      <c r="C1665" s="46">
        <v>515230</v>
      </c>
      <c r="D1665" s="49">
        <f t="shared" si="44"/>
        <v>3301255</v>
      </c>
    </row>
    <row r="1666" spans="1:4">
      <c r="A1666" s="7" t="s">
        <v>1252</v>
      </c>
      <c r="B1666" s="46">
        <v>4219361</v>
      </c>
      <c r="C1666" s="46">
        <v>569615</v>
      </c>
      <c r="D1666" s="49">
        <f t="shared" si="44"/>
        <v>3649746</v>
      </c>
    </row>
    <row r="1667" spans="1:4">
      <c r="A1667" s="7" t="s">
        <v>1253</v>
      </c>
      <c r="B1667" s="46">
        <v>23149577</v>
      </c>
      <c r="C1667" s="46">
        <v>3125194</v>
      </c>
      <c r="D1667" s="49">
        <f t="shared" si="44"/>
        <v>20024383</v>
      </c>
    </row>
    <row r="1668" spans="1:4">
      <c r="A1668" s="7" t="s">
        <v>1254</v>
      </c>
      <c r="B1668" s="46">
        <v>36218455</v>
      </c>
      <c r="C1668" s="46">
        <v>4889494</v>
      </c>
      <c r="D1668" s="49">
        <f t="shared" si="44"/>
        <v>31328961</v>
      </c>
    </row>
    <row r="1669" spans="1:4">
      <c r="A1669" s="7" t="s">
        <v>1255</v>
      </c>
      <c r="B1669" s="46">
        <v>3172692</v>
      </c>
      <c r="C1669" s="46">
        <v>428315</v>
      </c>
      <c r="D1669" s="49">
        <f t="shared" si="44"/>
        <v>2744377</v>
      </c>
    </row>
    <row r="1670" spans="1:4">
      <c r="A1670" s="7" t="s">
        <v>1256</v>
      </c>
      <c r="B1670" s="46">
        <v>3572750</v>
      </c>
      <c r="C1670" s="46">
        <v>482322</v>
      </c>
      <c r="D1670" s="49">
        <f t="shared" si="44"/>
        <v>3090428</v>
      </c>
    </row>
    <row r="1671" spans="1:4">
      <c r="A1671" s="7" t="s">
        <v>1257</v>
      </c>
      <c r="B1671" s="46">
        <v>5709477</v>
      </c>
      <c r="C1671" s="46">
        <v>770780</v>
      </c>
      <c r="D1671" s="49">
        <f t="shared" si="44"/>
        <v>4938697</v>
      </c>
    </row>
    <row r="1672" spans="1:4">
      <c r="A1672" s="7" t="s">
        <v>1258</v>
      </c>
      <c r="B1672" s="46">
        <v>9057495</v>
      </c>
      <c r="C1672" s="46">
        <v>1222762</v>
      </c>
      <c r="D1672" s="49">
        <f t="shared" si="44"/>
        <v>7834733</v>
      </c>
    </row>
    <row r="1673" spans="1:4">
      <c r="A1673" s="7" t="s">
        <v>1259</v>
      </c>
      <c r="B1673" s="46">
        <v>9442417</v>
      </c>
      <c r="C1673" s="46">
        <v>1274727</v>
      </c>
      <c r="D1673" s="49">
        <f t="shared" si="44"/>
        <v>8167690</v>
      </c>
    </row>
    <row r="1674" spans="1:4">
      <c r="A1674" s="7" t="s">
        <v>1260</v>
      </c>
      <c r="B1674" s="46">
        <v>3052773</v>
      </c>
      <c r="C1674" s="46">
        <v>412125</v>
      </c>
      <c r="D1674" s="49">
        <f t="shared" si="44"/>
        <v>2640648</v>
      </c>
    </row>
    <row r="1675" spans="1:4">
      <c r="A1675" s="7" t="s">
        <v>1261</v>
      </c>
      <c r="B1675" s="46">
        <v>8503066</v>
      </c>
      <c r="C1675" s="46">
        <v>1147915</v>
      </c>
      <c r="D1675" s="49">
        <f t="shared" si="44"/>
        <v>7355151</v>
      </c>
    </row>
    <row r="1676" spans="1:4">
      <c r="A1676" s="7" t="s">
        <v>1262</v>
      </c>
      <c r="B1676" s="46">
        <v>11200532</v>
      </c>
      <c r="C1676" s="46">
        <v>1512069</v>
      </c>
      <c r="D1676" s="49">
        <f t="shared" si="44"/>
        <v>9688463</v>
      </c>
    </row>
    <row r="1677" spans="1:4">
      <c r="A1677" s="7" t="s">
        <v>1263</v>
      </c>
      <c r="B1677" s="46">
        <v>9688211</v>
      </c>
      <c r="C1677" s="46">
        <v>1307909</v>
      </c>
      <c r="D1677" s="49">
        <f t="shared" ref="D1677:D1740" si="45">B1677-C1677</f>
        <v>8380302</v>
      </c>
    </row>
    <row r="1678" spans="1:4">
      <c r="A1678" s="7" t="s">
        <v>1264</v>
      </c>
      <c r="B1678" s="46">
        <v>11218018</v>
      </c>
      <c r="C1678" s="46">
        <v>1514430</v>
      </c>
      <c r="D1678" s="49">
        <f t="shared" si="45"/>
        <v>9703588</v>
      </c>
    </row>
    <row r="1679" spans="1:4">
      <c r="A1679" s="7" t="s">
        <v>1265</v>
      </c>
      <c r="B1679" s="46">
        <v>4906866</v>
      </c>
      <c r="C1679" s="46">
        <v>662427</v>
      </c>
      <c r="D1679" s="49">
        <f t="shared" si="45"/>
        <v>4244439</v>
      </c>
    </row>
    <row r="1680" spans="1:4">
      <c r="A1680" s="7" t="s">
        <v>1266</v>
      </c>
      <c r="B1680" s="46">
        <v>18448383</v>
      </c>
      <c r="C1680" s="46">
        <v>2490536</v>
      </c>
      <c r="D1680" s="49">
        <f t="shared" si="45"/>
        <v>15957847</v>
      </c>
    </row>
    <row r="1681" spans="1:4">
      <c r="A1681" s="7" t="s">
        <v>1267</v>
      </c>
      <c r="B1681" s="46">
        <v>9246143</v>
      </c>
      <c r="C1681" s="46">
        <v>824367</v>
      </c>
      <c r="D1681" s="49">
        <f t="shared" si="45"/>
        <v>8421776</v>
      </c>
    </row>
    <row r="1682" spans="1:4">
      <c r="A1682" s="7" t="s">
        <v>1268</v>
      </c>
      <c r="B1682" s="46">
        <v>4571997</v>
      </c>
      <c r="C1682" s="46">
        <v>617221</v>
      </c>
      <c r="D1682" s="49">
        <f t="shared" si="45"/>
        <v>3954776</v>
      </c>
    </row>
    <row r="1683" spans="1:4">
      <c r="A1683" s="7" t="s">
        <v>1269</v>
      </c>
      <c r="B1683" s="46">
        <v>19730882</v>
      </c>
      <c r="C1683" s="46">
        <v>2663668</v>
      </c>
      <c r="D1683" s="49">
        <f t="shared" si="45"/>
        <v>17067214</v>
      </c>
    </row>
    <row r="1684" spans="1:4">
      <c r="A1684" s="7" t="s">
        <v>1270</v>
      </c>
      <c r="B1684" s="46">
        <v>2509978</v>
      </c>
      <c r="C1684" s="46">
        <v>338848</v>
      </c>
      <c r="D1684" s="49">
        <f t="shared" si="45"/>
        <v>2171130</v>
      </c>
    </row>
    <row r="1685" spans="1:4">
      <c r="A1685" s="7" t="s">
        <v>1271</v>
      </c>
      <c r="B1685" s="46">
        <v>5539868</v>
      </c>
      <c r="C1685" s="46">
        <v>747882</v>
      </c>
      <c r="D1685" s="49">
        <f t="shared" si="45"/>
        <v>4791986</v>
      </c>
    </row>
    <row r="1686" spans="1:4">
      <c r="A1686" s="7" t="s">
        <v>1272</v>
      </c>
      <c r="B1686" s="46">
        <v>10155793</v>
      </c>
      <c r="C1686" s="46">
        <v>1371031</v>
      </c>
      <c r="D1686" s="49">
        <f t="shared" si="45"/>
        <v>8784762</v>
      </c>
    </row>
    <row r="1687" spans="1:4">
      <c r="A1687" s="7" t="s">
        <v>1273</v>
      </c>
      <c r="B1687" s="46">
        <v>7310628</v>
      </c>
      <c r="C1687" s="46">
        <v>986936</v>
      </c>
      <c r="D1687" s="49">
        <f t="shared" si="45"/>
        <v>6323692</v>
      </c>
    </row>
    <row r="1688" spans="1:4">
      <c r="A1688" s="7" t="s">
        <v>1274</v>
      </c>
      <c r="B1688" s="46">
        <v>6398374</v>
      </c>
      <c r="C1688" s="46">
        <v>863781</v>
      </c>
      <c r="D1688" s="49">
        <f t="shared" si="45"/>
        <v>5534593</v>
      </c>
    </row>
    <row r="1689" spans="1:4">
      <c r="A1689" s="7" t="s">
        <v>1275</v>
      </c>
      <c r="B1689" s="46">
        <v>4566475</v>
      </c>
      <c r="C1689" s="46">
        <v>616473</v>
      </c>
      <c r="D1689" s="49">
        <f t="shared" si="45"/>
        <v>3950002</v>
      </c>
    </row>
    <row r="1690" spans="1:4">
      <c r="A1690" s="7" t="s">
        <v>1276</v>
      </c>
      <c r="B1690" s="46">
        <v>2612975</v>
      </c>
      <c r="C1690" s="46">
        <v>352751</v>
      </c>
      <c r="D1690" s="49">
        <f t="shared" si="45"/>
        <v>2260224</v>
      </c>
    </row>
    <row r="1691" spans="1:4">
      <c r="A1691" s="7" t="s">
        <v>1277</v>
      </c>
      <c r="B1691" s="46">
        <v>5921463</v>
      </c>
      <c r="C1691" s="46">
        <v>799397</v>
      </c>
      <c r="D1691" s="49">
        <f t="shared" si="45"/>
        <v>5122066</v>
      </c>
    </row>
    <row r="1692" spans="1:4">
      <c r="A1692" s="7" t="s">
        <v>1278</v>
      </c>
      <c r="B1692" s="46">
        <v>6723910</v>
      </c>
      <c r="C1692" s="46">
        <v>3025759</v>
      </c>
      <c r="D1692" s="49">
        <f t="shared" si="45"/>
        <v>3698151</v>
      </c>
    </row>
    <row r="1693" spans="1:4">
      <c r="A1693" s="7" t="s">
        <v>1279</v>
      </c>
      <c r="B1693" s="46">
        <v>2935900</v>
      </c>
      <c r="C1693" s="46">
        <v>1321155</v>
      </c>
      <c r="D1693" s="49">
        <f t="shared" si="45"/>
        <v>1614745</v>
      </c>
    </row>
    <row r="1694" spans="1:4">
      <c r="A1694" s="7" t="s">
        <v>1280</v>
      </c>
      <c r="B1694" s="46">
        <v>1917530</v>
      </c>
      <c r="C1694" s="46">
        <v>862889</v>
      </c>
      <c r="D1694" s="49">
        <f t="shared" si="45"/>
        <v>1054641</v>
      </c>
    </row>
    <row r="1695" spans="1:4">
      <c r="A1695" s="7" t="s">
        <v>1281</v>
      </c>
      <c r="B1695" s="46">
        <v>30214873</v>
      </c>
      <c r="C1695" s="46">
        <v>13283036</v>
      </c>
      <c r="D1695" s="49">
        <f t="shared" si="45"/>
        <v>16931837</v>
      </c>
    </row>
    <row r="1696" spans="1:4">
      <c r="A1696" s="7" t="s">
        <v>1282</v>
      </c>
      <c r="B1696" s="46">
        <v>14212500</v>
      </c>
      <c r="C1696" s="46">
        <v>6395625</v>
      </c>
      <c r="D1696" s="49">
        <f t="shared" si="45"/>
        <v>7816875</v>
      </c>
    </row>
    <row r="1697" spans="1:4">
      <c r="A1697" s="7" t="s">
        <v>1283</v>
      </c>
      <c r="B1697" s="46">
        <v>3204450</v>
      </c>
      <c r="C1697" s="46">
        <v>1442004</v>
      </c>
      <c r="D1697" s="49">
        <f t="shared" si="45"/>
        <v>1762446</v>
      </c>
    </row>
    <row r="1698" spans="1:4">
      <c r="A1698" s="7" t="s">
        <v>1284</v>
      </c>
      <c r="B1698" s="46">
        <v>3762750</v>
      </c>
      <c r="C1698" s="46">
        <v>1693238</v>
      </c>
      <c r="D1698" s="49">
        <f t="shared" si="45"/>
        <v>2069512</v>
      </c>
    </row>
    <row r="1699" spans="1:4">
      <c r="A1699" s="7" t="s">
        <v>1285</v>
      </c>
      <c r="B1699" s="46">
        <v>4656560</v>
      </c>
      <c r="C1699" s="46">
        <v>2095452</v>
      </c>
      <c r="D1699" s="49">
        <f t="shared" si="45"/>
        <v>2561108</v>
      </c>
    </row>
    <row r="1700" spans="1:4">
      <c r="A1700" s="7" t="s">
        <v>1286</v>
      </c>
      <c r="B1700" s="46">
        <v>3815100</v>
      </c>
      <c r="C1700" s="46">
        <v>1716794</v>
      </c>
      <c r="D1700" s="49">
        <f t="shared" si="45"/>
        <v>2098306</v>
      </c>
    </row>
    <row r="1701" spans="1:4">
      <c r="A1701" s="7" t="s">
        <v>1287</v>
      </c>
      <c r="B1701" s="46">
        <v>3248700</v>
      </c>
      <c r="C1701" s="46">
        <v>1461915</v>
      </c>
      <c r="D1701" s="49">
        <f t="shared" si="45"/>
        <v>1786785</v>
      </c>
    </row>
    <row r="1702" spans="1:4">
      <c r="A1702" s="7" t="s">
        <v>1288</v>
      </c>
      <c r="B1702" s="46">
        <v>3133417</v>
      </c>
      <c r="C1702" s="46">
        <v>1269135</v>
      </c>
      <c r="D1702" s="49">
        <f t="shared" si="45"/>
        <v>1864282</v>
      </c>
    </row>
    <row r="1703" spans="1:4">
      <c r="A1703" s="7" t="str">
        <f>"Házi átemelő  6 db Flygt DXM 35-5/A"</f>
        <v>Házi átemelő  6 db Flygt DXM 35-5/A</v>
      </c>
      <c r="B1703" s="46">
        <v>795000</v>
      </c>
      <c r="C1703" s="46">
        <v>465076</v>
      </c>
      <c r="D1703" s="49">
        <f t="shared" si="45"/>
        <v>329924</v>
      </c>
    </row>
    <row r="1704" spans="1:4">
      <c r="A1704" s="7" t="str">
        <f>"Házi átemelő 6 db Wilo K:WRS100/2"</f>
        <v>Házi átemelő 6 db Wilo K:WRS100/2</v>
      </c>
      <c r="B1704" s="46">
        <v>795000</v>
      </c>
      <c r="C1704" s="46">
        <v>465076</v>
      </c>
      <c r="D1704" s="49">
        <f t="shared" si="45"/>
        <v>329924</v>
      </c>
    </row>
    <row r="1705" spans="1:4">
      <c r="A1705" s="7" t="s">
        <v>1348</v>
      </c>
      <c r="B1705" s="46">
        <v>552000</v>
      </c>
      <c r="C1705" s="46">
        <v>347760</v>
      </c>
      <c r="D1705" s="49">
        <f t="shared" si="45"/>
        <v>204240</v>
      </c>
    </row>
    <row r="1706" spans="1:4">
      <c r="A1706" s="7" t="s">
        <v>1349</v>
      </c>
      <c r="B1706" s="46">
        <v>552000</v>
      </c>
      <c r="C1706" s="46">
        <v>347760</v>
      </c>
      <c r="D1706" s="49">
        <f t="shared" si="45"/>
        <v>204240</v>
      </c>
    </row>
    <row r="1707" spans="1:4">
      <c r="A1707" s="7" t="s">
        <v>1350</v>
      </c>
      <c r="B1707" s="46">
        <v>552000</v>
      </c>
      <c r="C1707" s="46">
        <v>347760</v>
      </c>
      <c r="D1707" s="49">
        <f t="shared" si="45"/>
        <v>204240</v>
      </c>
    </row>
    <row r="1708" spans="1:4">
      <c r="A1708" s="7" t="s">
        <v>1351</v>
      </c>
      <c r="B1708" s="46">
        <v>5160000</v>
      </c>
      <c r="C1708" s="46">
        <v>928800</v>
      </c>
      <c r="D1708" s="49">
        <f t="shared" si="45"/>
        <v>4231200</v>
      </c>
    </row>
    <row r="1709" spans="1:4">
      <c r="A1709" s="7" t="s">
        <v>1352</v>
      </c>
      <c r="B1709" s="46">
        <v>5336910</v>
      </c>
      <c r="C1709" s="46">
        <v>3362253</v>
      </c>
      <c r="D1709" s="49">
        <f t="shared" si="45"/>
        <v>1974657</v>
      </c>
    </row>
    <row r="1710" spans="1:4">
      <c r="A1710" s="7" t="s">
        <v>1353</v>
      </c>
      <c r="B1710" s="46">
        <v>5336910</v>
      </c>
      <c r="C1710" s="46">
        <v>3362253</v>
      </c>
      <c r="D1710" s="49">
        <f t="shared" si="45"/>
        <v>1974657</v>
      </c>
    </row>
    <row r="1711" spans="1:4">
      <c r="A1711" s="7" t="s">
        <v>1354</v>
      </c>
      <c r="B1711" s="46">
        <v>7490640</v>
      </c>
      <c r="C1711" s="46">
        <v>4719103</v>
      </c>
      <c r="D1711" s="49">
        <f t="shared" si="45"/>
        <v>2771537</v>
      </c>
    </row>
    <row r="1712" spans="1:4">
      <c r="A1712" s="7" t="s">
        <v>1355</v>
      </c>
      <c r="B1712" s="46">
        <v>1404600</v>
      </c>
      <c r="C1712" s="46">
        <v>884898</v>
      </c>
      <c r="D1712" s="49">
        <f t="shared" si="45"/>
        <v>519702</v>
      </c>
    </row>
    <row r="1713" spans="1:4">
      <c r="A1713" s="7" t="s">
        <v>1356</v>
      </c>
      <c r="B1713" s="46">
        <v>1458600</v>
      </c>
      <c r="C1713" s="46">
        <v>918919</v>
      </c>
      <c r="D1713" s="49">
        <f t="shared" si="45"/>
        <v>539681</v>
      </c>
    </row>
    <row r="1714" spans="1:4">
      <c r="A1714" s="7" t="s">
        <v>1357</v>
      </c>
      <c r="B1714" s="46">
        <v>739200</v>
      </c>
      <c r="C1714" s="46">
        <v>133057</v>
      </c>
      <c r="D1714" s="49">
        <f t="shared" si="45"/>
        <v>606143</v>
      </c>
    </row>
    <row r="1715" spans="1:4">
      <c r="A1715" s="7" t="s">
        <v>1358</v>
      </c>
      <c r="B1715" s="46">
        <v>7458000</v>
      </c>
      <c r="C1715" s="46">
        <v>1342440</v>
      </c>
      <c r="D1715" s="49">
        <f t="shared" si="45"/>
        <v>6115560</v>
      </c>
    </row>
    <row r="1716" spans="1:4">
      <c r="A1716" s="7" t="s">
        <v>1359</v>
      </c>
      <c r="B1716" s="46">
        <v>354000</v>
      </c>
      <c r="C1716" s="46">
        <v>223020</v>
      </c>
      <c r="D1716" s="49">
        <f t="shared" si="45"/>
        <v>130980</v>
      </c>
    </row>
    <row r="1717" spans="1:4">
      <c r="A1717" s="7" t="s">
        <v>1360</v>
      </c>
      <c r="B1717" s="46">
        <v>424800</v>
      </c>
      <c r="C1717" s="46">
        <v>267623</v>
      </c>
      <c r="D1717" s="49">
        <f t="shared" si="45"/>
        <v>157177</v>
      </c>
    </row>
    <row r="1718" spans="1:4">
      <c r="A1718" s="7" t="s">
        <v>1361</v>
      </c>
      <c r="B1718" s="46">
        <v>1168000</v>
      </c>
      <c r="C1718" s="46">
        <v>525600</v>
      </c>
      <c r="D1718" s="49">
        <f t="shared" si="45"/>
        <v>642400</v>
      </c>
    </row>
    <row r="1719" spans="1:4">
      <c r="A1719" s="7" t="s">
        <v>1362</v>
      </c>
      <c r="B1719" s="46">
        <v>3213000</v>
      </c>
      <c r="C1719" s="46">
        <v>1012095</v>
      </c>
      <c r="D1719" s="49">
        <f t="shared" si="45"/>
        <v>2200905</v>
      </c>
    </row>
    <row r="1720" spans="1:4">
      <c r="A1720" s="7" t="s">
        <v>1363</v>
      </c>
      <c r="B1720" s="46">
        <v>23078982</v>
      </c>
      <c r="C1720" s="46">
        <v>2282614</v>
      </c>
      <c r="D1720" s="49">
        <f t="shared" si="45"/>
        <v>20796368</v>
      </c>
    </row>
    <row r="1721" spans="1:4">
      <c r="A1721" s="7" t="s">
        <v>1364</v>
      </c>
      <c r="B1721" s="46">
        <v>492000</v>
      </c>
      <c r="C1721" s="46">
        <v>309961</v>
      </c>
      <c r="D1721" s="49">
        <f t="shared" si="45"/>
        <v>182039</v>
      </c>
    </row>
    <row r="1722" spans="1:4">
      <c r="A1722" s="7" t="s">
        <v>1365</v>
      </c>
      <c r="B1722" s="46">
        <v>426000</v>
      </c>
      <c r="C1722" s="46">
        <v>191701</v>
      </c>
      <c r="D1722" s="49">
        <f t="shared" si="45"/>
        <v>234299</v>
      </c>
    </row>
    <row r="1723" spans="1:4">
      <c r="A1723" s="7" t="s">
        <v>1366</v>
      </c>
      <c r="B1723" s="46">
        <v>1180000</v>
      </c>
      <c r="C1723" s="46">
        <v>743399</v>
      </c>
      <c r="D1723" s="49">
        <f t="shared" si="45"/>
        <v>436601</v>
      </c>
    </row>
    <row r="1724" spans="1:4">
      <c r="A1724" s="7" t="s">
        <v>1367</v>
      </c>
      <c r="B1724" s="46">
        <v>9492000</v>
      </c>
      <c r="C1724" s="46">
        <v>2989980</v>
      </c>
      <c r="D1724" s="49">
        <f t="shared" si="45"/>
        <v>6502020</v>
      </c>
    </row>
    <row r="1725" spans="1:4">
      <c r="A1725" s="7" t="s">
        <v>1368</v>
      </c>
      <c r="B1725" s="46">
        <v>688800</v>
      </c>
      <c r="C1725" s="46">
        <v>433944</v>
      </c>
      <c r="D1725" s="49">
        <f t="shared" si="45"/>
        <v>254856</v>
      </c>
    </row>
    <row r="1726" spans="1:4">
      <c r="A1726" s="7" t="s">
        <v>1369</v>
      </c>
      <c r="B1726" s="46">
        <v>568000</v>
      </c>
      <c r="C1726" s="46">
        <v>255600</v>
      </c>
      <c r="D1726" s="49">
        <f t="shared" si="45"/>
        <v>312400</v>
      </c>
    </row>
    <row r="1727" spans="1:4">
      <c r="A1727" s="7" t="s">
        <v>1370</v>
      </c>
      <c r="B1727" s="46">
        <v>1982400</v>
      </c>
      <c r="C1727" s="46">
        <v>1248912</v>
      </c>
      <c r="D1727" s="49">
        <f t="shared" si="45"/>
        <v>733488</v>
      </c>
    </row>
    <row r="1728" spans="1:4">
      <c r="A1728" s="7" t="s">
        <v>1371</v>
      </c>
      <c r="B1728" s="46">
        <v>1404000</v>
      </c>
      <c r="C1728" s="46">
        <v>631799</v>
      </c>
      <c r="D1728" s="49">
        <f t="shared" si="45"/>
        <v>772201</v>
      </c>
    </row>
    <row r="1729" spans="1:4">
      <c r="A1729" s="7" t="s">
        <v>1372</v>
      </c>
      <c r="B1729" s="46">
        <v>168000</v>
      </c>
      <c r="C1729" s="46">
        <v>105839</v>
      </c>
      <c r="D1729" s="49">
        <f t="shared" si="45"/>
        <v>62161</v>
      </c>
    </row>
    <row r="1730" spans="1:4">
      <c r="A1730" s="7" t="s">
        <v>1373</v>
      </c>
      <c r="B1730" s="46">
        <v>224000</v>
      </c>
      <c r="C1730" s="46">
        <v>141120</v>
      </c>
      <c r="D1730" s="49">
        <f t="shared" si="45"/>
        <v>82880</v>
      </c>
    </row>
    <row r="1731" spans="1:4">
      <c r="A1731" s="7" t="s">
        <v>1374</v>
      </c>
      <c r="B1731" s="46">
        <v>533400</v>
      </c>
      <c r="C1731" s="46">
        <v>168021</v>
      </c>
      <c r="D1731" s="49">
        <f t="shared" si="45"/>
        <v>365379</v>
      </c>
    </row>
    <row r="1732" spans="1:4">
      <c r="A1732" s="7" t="s">
        <v>1375</v>
      </c>
      <c r="B1732" s="46">
        <v>533400</v>
      </c>
      <c r="C1732" s="46">
        <v>168021</v>
      </c>
      <c r="D1732" s="49">
        <f t="shared" si="45"/>
        <v>365379</v>
      </c>
    </row>
    <row r="1733" spans="1:4">
      <c r="A1733" s="7" t="s">
        <v>1376</v>
      </c>
      <c r="B1733" s="46">
        <v>392000</v>
      </c>
      <c r="C1733" s="46">
        <v>352800</v>
      </c>
      <c r="D1733" s="49">
        <f t="shared" si="45"/>
        <v>39200</v>
      </c>
    </row>
    <row r="1734" spans="1:4">
      <c r="A1734" s="7" t="s">
        <v>1377</v>
      </c>
      <c r="B1734" s="46">
        <v>392000</v>
      </c>
      <c r="C1734" s="46">
        <v>352800</v>
      </c>
      <c r="D1734" s="49">
        <f t="shared" si="45"/>
        <v>39200</v>
      </c>
    </row>
    <row r="1735" spans="1:4">
      <c r="A1735" s="7" t="s">
        <v>1378</v>
      </c>
      <c r="B1735" s="46">
        <v>128000</v>
      </c>
      <c r="C1735" s="46">
        <v>115200</v>
      </c>
      <c r="D1735" s="49">
        <f t="shared" si="45"/>
        <v>12800</v>
      </c>
    </row>
    <row r="1736" spans="1:4">
      <c r="A1736" s="7" t="s">
        <v>1379</v>
      </c>
      <c r="B1736" s="46">
        <v>1320000</v>
      </c>
      <c r="C1736" s="46">
        <v>415801</v>
      </c>
      <c r="D1736" s="49">
        <f t="shared" si="45"/>
        <v>904199</v>
      </c>
    </row>
    <row r="1737" spans="1:4">
      <c r="A1737" s="7" t="s">
        <v>1380</v>
      </c>
      <c r="B1737" s="46">
        <v>1320000</v>
      </c>
      <c r="C1737" s="46">
        <v>415801</v>
      </c>
      <c r="D1737" s="49">
        <f t="shared" si="45"/>
        <v>904199</v>
      </c>
    </row>
    <row r="1738" spans="1:4">
      <c r="A1738" s="7" t="s">
        <v>1381</v>
      </c>
      <c r="B1738" s="46">
        <v>2089800</v>
      </c>
      <c r="C1738" s="46">
        <v>1316574</v>
      </c>
      <c r="D1738" s="49">
        <f t="shared" si="45"/>
        <v>773226</v>
      </c>
    </row>
    <row r="1739" spans="1:4">
      <c r="A1739" s="7" t="s">
        <v>1382</v>
      </c>
      <c r="B1739" s="46">
        <v>66000</v>
      </c>
      <c r="C1739" s="46">
        <v>41555</v>
      </c>
      <c r="D1739" s="49">
        <f t="shared" si="45"/>
        <v>24445</v>
      </c>
    </row>
    <row r="1740" spans="1:4">
      <c r="A1740" s="7" t="s">
        <v>1383</v>
      </c>
      <c r="B1740" s="46">
        <v>4480000</v>
      </c>
      <c r="C1740" s="46">
        <v>1612800</v>
      </c>
      <c r="D1740" s="49">
        <f t="shared" si="45"/>
        <v>2867200</v>
      </c>
    </row>
    <row r="1741" spans="1:4">
      <c r="A1741" s="7" t="s">
        <v>1384</v>
      </c>
      <c r="B1741" s="46">
        <v>193200</v>
      </c>
      <c r="C1741" s="46">
        <v>60859</v>
      </c>
      <c r="D1741" s="49">
        <f t="shared" ref="D1741:D1806" si="46">B1741-C1741</f>
        <v>132341</v>
      </c>
    </row>
    <row r="1742" spans="1:4">
      <c r="A1742" s="7" t="s">
        <v>1385</v>
      </c>
      <c r="B1742" s="46">
        <v>5520000</v>
      </c>
      <c r="C1742" s="46">
        <v>1987200</v>
      </c>
      <c r="D1742" s="49">
        <f t="shared" si="46"/>
        <v>3532800</v>
      </c>
    </row>
    <row r="1743" spans="1:4">
      <c r="A1743" s="7" t="s">
        <v>1386</v>
      </c>
      <c r="B1743" s="46">
        <v>392000</v>
      </c>
      <c r="C1743" s="46">
        <v>246960</v>
      </c>
      <c r="D1743" s="49">
        <f t="shared" si="46"/>
        <v>145040</v>
      </c>
    </row>
    <row r="1744" spans="1:4">
      <c r="A1744" s="7" t="s">
        <v>1387</v>
      </c>
      <c r="B1744" s="46">
        <v>1920000</v>
      </c>
      <c r="C1744" s="46">
        <v>345600</v>
      </c>
      <c r="D1744" s="49">
        <f t="shared" si="46"/>
        <v>1574400</v>
      </c>
    </row>
    <row r="1745" spans="1:4">
      <c r="A1745" s="7" t="s">
        <v>1388</v>
      </c>
      <c r="B1745" s="46">
        <v>1185300</v>
      </c>
      <c r="C1745" s="46">
        <v>746738</v>
      </c>
      <c r="D1745" s="49">
        <f t="shared" si="46"/>
        <v>438562</v>
      </c>
    </row>
    <row r="1746" spans="1:4">
      <c r="A1746" s="7" t="s">
        <v>1389</v>
      </c>
      <c r="B1746" s="46">
        <v>1185300</v>
      </c>
      <c r="C1746" s="46">
        <v>746738</v>
      </c>
      <c r="D1746" s="49">
        <f t="shared" si="46"/>
        <v>438562</v>
      </c>
    </row>
    <row r="1747" spans="1:4">
      <c r="A1747" s="7" t="s">
        <v>1390</v>
      </c>
      <c r="B1747" s="46">
        <v>880000</v>
      </c>
      <c r="C1747" s="46">
        <v>277201</v>
      </c>
      <c r="D1747" s="49">
        <f t="shared" si="46"/>
        <v>602799</v>
      </c>
    </row>
    <row r="1748" spans="1:4">
      <c r="A1748" s="7" t="s">
        <v>1391</v>
      </c>
      <c r="B1748" s="46">
        <v>880000</v>
      </c>
      <c r="C1748" s="46">
        <v>277201</v>
      </c>
      <c r="D1748" s="49">
        <f t="shared" si="46"/>
        <v>602799</v>
      </c>
    </row>
    <row r="1749" spans="1:4">
      <c r="A1749" s="7" t="s">
        <v>1392</v>
      </c>
      <c r="B1749" s="46">
        <v>174000</v>
      </c>
      <c r="C1749" s="46">
        <v>54810</v>
      </c>
      <c r="D1749" s="49">
        <f t="shared" si="46"/>
        <v>119190</v>
      </c>
    </row>
    <row r="1750" spans="1:4">
      <c r="A1750" s="7" t="s">
        <v>1393</v>
      </c>
      <c r="B1750" s="46">
        <v>817048</v>
      </c>
      <c r="C1750" s="46">
        <v>28832</v>
      </c>
      <c r="D1750" s="49">
        <f t="shared" si="46"/>
        <v>788216</v>
      </c>
    </row>
    <row r="1751" spans="1:4">
      <c r="A1751" s="7" t="s">
        <v>1394</v>
      </c>
      <c r="B1751" s="46">
        <v>354000</v>
      </c>
      <c r="C1751" s="46">
        <v>223020</v>
      </c>
      <c r="D1751" s="49">
        <f t="shared" si="46"/>
        <v>130980</v>
      </c>
    </row>
    <row r="1752" spans="1:4">
      <c r="A1752" s="7" t="s">
        <v>1395</v>
      </c>
      <c r="B1752" s="46">
        <v>272000</v>
      </c>
      <c r="C1752" s="46">
        <v>85680</v>
      </c>
      <c r="D1752" s="49">
        <f t="shared" si="46"/>
        <v>186320</v>
      </c>
    </row>
    <row r="1753" spans="1:4">
      <c r="A1753" s="7" t="s">
        <v>1396</v>
      </c>
      <c r="B1753" s="46">
        <v>6833400</v>
      </c>
      <c r="C1753" s="46">
        <v>2152520</v>
      </c>
      <c r="D1753" s="49">
        <f t="shared" si="46"/>
        <v>4680880</v>
      </c>
    </row>
    <row r="1754" spans="1:4">
      <c r="A1754" s="7" t="s">
        <v>1397</v>
      </c>
      <c r="B1754" s="46">
        <v>729600</v>
      </c>
      <c r="C1754" s="46">
        <v>459648</v>
      </c>
      <c r="D1754" s="49">
        <f t="shared" si="46"/>
        <v>269952</v>
      </c>
    </row>
    <row r="1755" spans="1:4">
      <c r="A1755" s="7" t="s">
        <v>1398</v>
      </c>
      <c r="B1755" s="46">
        <v>729600</v>
      </c>
      <c r="C1755" s="46">
        <v>459648</v>
      </c>
      <c r="D1755" s="49">
        <f t="shared" si="46"/>
        <v>269952</v>
      </c>
    </row>
    <row r="1756" spans="1:4">
      <c r="A1756" s="7" t="s">
        <v>1399</v>
      </c>
      <c r="B1756" s="46">
        <v>972800</v>
      </c>
      <c r="C1756" s="46">
        <v>612865</v>
      </c>
      <c r="D1756" s="49">
        <f t="shared" si="46"/>
        <v>359935</v>
      </c>
    </row>
    <row r="1757" spans="1:4">
      <c r="A1757" s="7" t="s">
        <v>1400</v>
      </c>
      <c r="B1757" s="46">
        <v>592000</v>
      </c>
      <c r="C1757" s="46">
        <v>372959</v>
      </c>
      <c r="D1757" s="49">
        <f t="shared" si="46"/>
        <v>219041</v>
      </c>
    </row>
    <row r="1758" spans="1:4">
      <c r="A1758" s="7" t="s">
        <v>1401</v>
      </c>
      <c r="B1758" s="46">
        <v>613200</v>
      </c>
      <c r="C1758" s="46">
        <v>275940</v>
      </c>
      <c r="D1758" s="49">
        <f t="shared" si="46"/>
        <v>337260</v>
      </c>
    </row>
    <row r="1759" spans="1:4">
      <c r="A1759" s="7" t="s">
        <v>1402</v>
      </c>
      <c r="B1759" s="46">
        <v>123000</v>
      </c>
      <c r="C1759" s="46">
        <v>77489</v>
      </c>
      <c r="D1759" s="49">
        <f t="shared" si="46"/>
        <v>45511</v>
      </c>
    </row>
    <row r="1760" spans="1:4">
      <c r="A1760" s="7" t="s">
        <v>1403</v>
      </c>
      <c r="B1760" s="46">
        <v>123000</v>
      </c>
      <c r="C1760" s="46">
        <v>77489</v>
      </c>
      <c r="D1760" s="49">
        <f t="shared" si="46"/>
        <v>45511</v>
      </c>
    </row>
    <row r="1761" spans="1:4">
      <c r="A1761" s="7" t="s">
        <v>1404</v>
      </c>
      <c r="B1761" s="46">
        <v>830000</v>
      </c>
      <c r="C1761" s="46">
        <v>186750</v>
      </c>
      <c r="D1761" s="49">
        <f t="shared" si="46"/>
        <v>643250</v>
      </c>
    </row>
    <row r="1762" spans="1:4">
      <c r="A1762" s="7" t="s">
        <v>1405</v>
      </c>
      <c r="B1762" s="46">
        <v>10350000</v>
      </c>
      <c r="C1762" s="46">
        <v>2328750</v>
      </c>
      <c r="D1762" s="49">
        <f t="shared" si="46"/>
        <v>8021250</v>
      </c>
    </row>
    <row r="1763" spans="1:4">
      <c r="A1763" s="7" t="s">
        <v>1406</v>
      </c>
      <c r="B1763" s="46">
        <v>4725000</v>
      </c>
      <c r="C1763" s="46">
        <v>1063125</v>
      </c>
      <c r="D1763" s="49">
        <f t="shared" si="46"/>
        <v>3661875</v>
      </c>
    </row>
    <row r="1764" spans="1:4">
      <c r="A1764" s="7" t="s">
        <v>1407</v>
      </c>
      <c r="B1764" s="46">
        <v>350000</v>
      </c>
      <c r="C1764" s="46">
        <v>204749</v>
      </c>
      <c r="D1764" s="49">
        <f t="shared" si="46"/>
        <v>145251</v>
      </c>
    </row>
    <row r="1765" spans="1:4">
      <c r="A1765" s="7" t="s">
        <v>1408</v>
      </c>
      <c r="B1765" s="46">
        <v>650000</v>
      </c>
      <c r="C1765" s="46">
        <v>292500</v>
      </c>
      <c r="D1765" s="49">
        <f t="shared" si="46"/>
        <v>357500</v>
      </c>
    </row>
    <row r="1766" spans="1:4">
      <c r="A1766" s="7" t="s">
        <v>1409</v>
      </c>
      <c r="B1766" s="46">
        <v>2520000</v>
      </c>
      <c r="C1766" s="46">
        <v>567000</v>
      </c>
      <c r="D1766" s="49">
        <f t="shared" si="46"/>
        <v>1953000</v>
      </c>
    </row>
    <row r="1767" spans="1:4">
      <c r="A1767" s="7" t="s">
        <v>1410</v>
      </c>
      <c r="B1767" s="46">
        <v>1440000</v>
      </c>
      <c r="C1767" s="46">
        <v>324000</v>
      </c>
      <c r="D1767" s="49">
        <f t="shared" si="46"/>
        <v>1116000</v>
      </c>
    </row>
    <row r="1768" spans="1:4">
      <c r="A1768" s="7" t="s">
        <v>1411</v>
      </c>
      <c r="B1768" s="46">
        <v>8820000</v>
      </c>
      <c r="C1768" s="46">
        <v>1367100</v>
      </c>
      <c r="D1768" s="49">
        <f t="shared" si="46"/>
        <v>7452900</v>
      </c>
    </row>
    <row r="1769" spans="1:4">
      <c r="A1769" s="7" t="s">
        <v>1412</v>
      </c>
      <c r="B1769" s="46">
        <v>436500</v>
      </c>
      <c r="C1769" s="46">
        <v>98213</v>
      </c>
      <c r="D1769" s="49">
        <f t="shared" si="46"/>
        <v>338287</v>
      </c>
    </row>
    <row r="1770" spans="1:4">
      <c r="A1770" s="7" t="s">
        <v>1413</v>
      </c>
      <c r="B1770" s="46">
        <v>819000</v>
      </c>
      <c r="C1770" s="46">
        <v>126945</v>
      </c>
      <c r="D1770" s="49">
        <f t="shared" si="46"/>
        <v>692055</v>
      </c>
    </row>
    <row r="1771" spans="1:4">
      <c r="A1771" s="7" t="s">
        <v>1414</v>
      </c>
      <c r="B1771" s="46">
        <v>9569840</v>
      </c>
      <c r="C1771" s="46">
        <v>861285</v>
      </c>
      <c r="D1771" s="49">
        <f t="shared" si="46"/>
        <v>8708555</v>
      </c>
    </row>
    <row r="1772" spans="1:4">
      <c r="A1772" s="7" t="s">
        <v>1415</v>
      </c>
      <c r="B1772" s="46">
        <v>1430520</v>
      </c>
      <c r="C1772" s="46">
        <v>128746</v>
      </c>
      <c r="D1772" s="49">
        <f t="shared" si="46"/>
        <v>1301774</v>
      </c>
    </row>
    <row r="1773" spans="1:4">
      <c r="A1773" s="7" t="s">
        <v>1416</v>
      </c>
      <c r="B1773" s="46">
        <v>5237560</v>
      </c>
      <c r="C1773" s="46">
        <v>471380</v>
      </c>
      <c r="D1773" s="49">
        <f t="shared" si="46"/>
        <v>4766180</v>
      </c>
    </row>
    <row r="1774" spans="1:4">
      <c r="A1774" s="7" t="s">
        <v>1417</v>
      </c>
      <c r="B1774" s="46">
        <v>5220000</v>
      </c>
      <c r="C1774" s="46">
        <v>939600</v>
      </c>
      <c r="D1774" s="49">
        <f t="shared" si="46"/>
        <v>4280400</v>
      </c>
    </row>
    <row r="1775" spans="1:4">
      <c r="A1775" s="7" t="s">
        <v>1418</v>
      </c>
      <c r="B1775" s="46">
        <v>1440000</v>
      </c>
      <c r="C1775" s="46">
        <v>259200</v>
      </c>
      <c r="D1775" s="49">
        <f t="shared" si="46"/>
        <v>1180800</v>
      </c>
    </row>
    <row r="1776" spans="1:4">
      <c r="A1776" s="7" t="s">
        <v>1419</v>
      </c>
      <c r="B1776" s="46">
        <v>43200000</v>
      </c>
      <c r="C1776" s="46">
        <v>3887999</v>
      </c>
      <c r="D1776" s="49">
        <f t="shared" si="46"/>
        <v>39312001</v>
      </c>
    </row>
    <row r="1777" spans="1:4">
      <c r="A1777" s="7" t="s">
        <v>1420</v>
      </c>
      <c r="B1777" s="46">
        <v>8910000</v>
      </c>
      <c r="C1777" s="46">
        <v>801900</v>
      </c>
      <c r="D1777" s="49">
        <f t="shared" si="46"/>
        <v>8108100</v>
      </c>
    </row>
    <row r="1778" spans="1:4">
      <c r="A1778" s="7" t="s">
        <v>1421</v>
      </c>
      <c r="B1778" s="46">
        <v>75830740</v>
      </c>
      <c r="C1778" s="46">
        <v>6824767</v>
      </c>
      <c r="D1778" s="49">
        <f t="shared" si="46"/>
        <v>69005973</v>
      </c>
    </row>
    <row r="1779" spans="1:4">
      <c r="A1779" s="7" t="s">
        <v>1422</v>
      </c>
      <c r="B1779" s="46">
        <v>6688000</v>
      </c>
      <c r="C1779" s="46">
        <v>1203841</v>
      </c>
      <c r="D1779" s="49">
        <f t="shared" si="46"/>
        <v>5484159</v>
      </c>
    </row>
    <row r="1780" spans="1:4">
      <c r="A1780" s="7" t="s">
        <v>1423</v>
      </c>
      <c r="B1780" s="46">
        <v>17784000</v>
      </c>
      <c r="C1780" s="46">
        <v>1600560</v>
      </c>
      <c r="D1780" s="49">
        <f t="shared" si="46"/>
        <v>16183440</v>
      </c>
    </row>
    <row r="1781" spans="1:4">
      <c r="A1781" s="7" t="s">
        <v>1424</v>
      </c>
      <c r="B1781" s="46">
        <v>3472000</v>
      </c>
      <c r="C1781" s="46">
        <v>624959</v>
      </c>
      <c r="D1781" s="49">
        <f t="shared" si="46"/>
        <v>2847041</v>
      </c>
    </row>
    <row r="1782" spans="1:4">
      <c r="A1782" s="7" t="s">
        <v>1425</v>
      </c>
      <c r="B1782" s="46">
        <v>1824000</v>
      </c>
      <c r="C1782" s="46">
        <v>164160</v>
      </c>
      <c r="D1782" s="49">
        <f t="shared" si="46"/>
        <v>1659840</v>
      </c>
    </row>
    <row r="1783" spans="1:4">
      <c r="A1783" s="7" t="s">
        <v>1426</v>
      </c>
      <c r="B1783" s="46">
        <v>50377080</v>
      </c>
      <c r="C1783" s="46">
        <v>4533938</v>
      </c>
      <c r="D1783" s="49">
        <f t="shared" si="46"/>
        <v>45843142</v>
      </c>
    </row>
    <row r="1784" spans="1:4">
      <c r="A1784" s="7" t="s">
        <v>1427</v>
      </c>
      <c r="B1784" s="46">
        <v>73695720</v>
      </c>
      <c r="C1784" s="46">
        <v>6632614</v>
      </c>
      <c r="D1784" s="49">
        <f t="shared" si="46"/>
        <v>67063106</v>
      </c>
    </row>
    <row r="1785" spans="1:4">
      <c r="A1785" s="7" t="s">
        <v>1428</v>
      </c>
      <c r="B1785" s="46">
        <v>5825400</v>
      </c>
      <c r="C1785" s="46">
        <v>524285</v>
      </c>
      <c r="D1785" s="49">
        <f t="shared" si="46"/>
        <v>5301115</v>
      </c>
    </row>
    <row r="1786" spans="1:4">
      <c r="A1786" s="7" t="s">
        <v>1429</v>
      </c>
      <c r="B1786" s="46">
        <v>11808000</v>
      </c>
      <c r="C1786" s="46">
        <v>1062719</v>
      </c>
      <c r="D1786" s="49">
        <f t="shared" si="46"/>
        <v>10745281</v>
      </c>
    </row>
    <row r="1787" spans="1:4">
      <c r="A1787" s="7" t="s">
        <v>1430</v>
      </c>
      <c r="B1787" s="46">
        <v>8460000</v>
      </c>
      <c r="C1787" s="46">
        <v>1522799</v>
      </c>
      <c r="D1787" s="49">
        <f t="shared" si="46"/>
        <v>6937201</v>
      </c>
    </row>
    <row r="1788" spans="1:4">
      <c r="A1788" s="7" t="s">
        <v>1431</v>
      </c>
      <c r="B1788" s="46">
        <v>2881200</v>
      </c>
      <c r="C1788" s="46">
        <v>259308</v>
      </c>
      <c r="D1788" s="49">
        <f t="shared" si="46"/>
        <v>2621892</v>
      </c>
    </row>
    <row r="1789" spans="1:4">
      <c r="A1789" s="7" t="s">
        <v>1432</v>
      </c>
      <c r="B1789" s="46">
        <v>11005000</v>
      </c>
      <c r="C1789" s="46">
        <v>990449</v>
      </c>
      <c r="D1789" s="49">
        <f t="shared" si="46"/>
        <v>10014551</v>
      </c>
    </row>
    <row r="1790" spans="1:4">
      <c r="A1790" s="7" t="s">
        <v>1433</v>
      </c>
      <c r="B1790" s="46">
        <v>2386000</v>
      </c>
      <c r="C1790" s="46">
        <v>214609</v>
      </c>
      <c r="D1790" s="49">
        <f t="shared" si="46"/>
        <v>2171391</v>
      </c>
    </row>
    <row r="1791" spans="1:4">
      <c r="A1791" s="7" t="s">
        <v>1434</v>
      </c>
      <c r="B1791" s="46">
        <v>2386000</v>
      </c>
      <c r="C1791" s="46">
        <v>214740</v>
      </c>
      <c r="D1791" s="49">
        <f t="shared" si="46"/>
        <v>2171260</v>
      </c>
    </row>
    <row r="1792" spans="1:4">
      <c r="A1792" s="7" t="s">
        <v>1435</v>
      </c>
      <c r="B1792" s="46">
        <v>824000</v>
      </c>
      <c r="C1792" s="46">
        <v>74161</v>
      </c>
      <c r="D1792" s="49">
        <f t="shared" si="46"/>
        <v>749839</v>
      </c>
    </row>
    <row r="1793" spans="1:4">
      <c r="A1793" s="7" t="s">
        <v>1436</v>
      </c>
      <c r="B1793" s="46">
        <v>1920000</v>
      </c>
      <c r="C1793" s="46">
        <v>172800</v>
      </c>
      <c r="D1793" s="49">
        <f t="shared" si="46"/>
        <v>1747200</v>
      </c>
    </row>
    <row r="1794" spans="1:4">
      <c r="A1794" s="7" t="s">
        <v>1437</v>
      </c>
      <c r="B1794" s="46">
        <v>1008000</v>
      </c>
      <c r="C1794" s="46">
        <v>181440</v>
      </c>
      <c r="D1794" s="49">
        <f t="shared" si="46"/>
        <v>826560</v>
      </c>
    </row>
    <row r="1795" spans="1:4">
      <c r="A1795" s="7" t="s">
        <v>1438</v>
      </c>
      <c r="B1795" s="46">
        <v>733200</v>
      </c>
      <c r="C1795" s="46">
        <v>230957</v>
      </c>
      <c r="D1795" s="49">
        <f t="shared" si="46"/>
        <v>502243</v>
      </c>
    </row>
    <row r="1796" spans="1:4">
      <c r="A1796" s="7" t="s">
        <v>1439</v>
      </c>
      <c r="B1796" s="46">
        <v>1777500</v>
      </c>
      <c r="C1796" s="46">
        <v>159976</v>
      </c>
      <c r="D1796" s="49">
        <f t="shared" si="46"/>
        <v>1617524</v>
      </c>
    </row>
    <row r="1797" spans="1:4">
      <c r="A1797" s="7" t="s">
        <v>1440</v>
      </c>
      <c r="B1797" s="46">
        <v>30532500</v>
      </c>
      <c r="C1797" s="46">
        <v>2746251</v>
      </c>
      <c r="D1797" s="49">
        <f t="shared" si="46"/>
        <v>27786249</v>
      </c>
    </row>
    <row r="1798" spans="1:4">
      <c r="A1798" s="7" t="s">
        <v>1459</v>
      </c>
      <c r="B1798" s="46">
        <v>114868</v>
      </c>
      <c r="C1798" s="46">
        <v>1738</v>
      </c>
      <c r="D1798" s="49">
        <f t="shared" si="46"/>
        <v>113130</v>
      </c>
    </row>
    <row r="1799" spans="1:4">
      <c r="A1799" s="7" t="s">
        <v>1460</v>
      </c>
      <c r="B1799" s="46">
        <v>70714</v>
      </c>
      <c r="C1799" s="46">
        <v>1070</v>
      </c>
      <c r="D1799" s="49">
        <f t="shared" si="46"/>
        <v>69644</v>
      </c>
    </row>
    <row r="1800" spans="1:4">
      <c r="A1800" s="7" t="s">
        <v>1477</v>
      </c>
      <c r="B1800" s="46">
        <v>103216</v>
      </c>
      <c r="C1800" s="46">
        <v>288</v>
      </c>
      <c r="D1800" s="49">
        <f t="shared" si="46"/>
        <v>102928</v>
      </c>
    </row>
    <row r="1801" spans="1:4">
      <c r="A1801" s="7" t="s">
        <v>1478</v>
      </c>
      <c r="B1801" s="46">
        <v>146064</v>
      </c>
      <c r="C1801" s="46">
        <v>408</v>
      </c>
      <c r="D1801" s="49">
        <f t="shared" si="46"/>
        <v>145656</v>
      </c>
    </row>
    <row r="1802" spans="1:4">
      <c r="A1802" s="7" t="s">
        <v>1479</v>
      </c>
      <c r="B1802" s="46">
        <v>212215</v>
      </c>
      <c r="C1802" s="46">
        <v>209</v>
      </c>
      <c r="D1802" s="49">
        <f t="shared" si="46"/>
        <v>212006</v>
      </c>
    </row>
    <row r="1803" spans="1:4">
      <c r="A1803" s="7" t="s">
        <v>1488</v>
      </c>
      <c r="B1803" s="46">
        <v>82811</v>
      </c>
      <c r="C1803" s="46">
        <v>422</v>
      </c>
      <c r="D1803" s="49">
        <f t="shared" si="46"/>
        <v>82389</v>
      </c>
    </row>
    <row r="1804" spans="1:4">
      <c r="A1804" s="17" t="s">
        <v>2101</v>
      </c>
      <c r="B1804" s="18">
        <f>SUM(B1152:B1803)</f>
        <v>5862537653</v>
      </c>
      <c r="C1804" s="18">
        <f t="shared" ref="C1804:D1804" si="47">SUM(C1152:C1803)</f>
        <v>868318290</v>
      </c>
      <c r="D1804" s="23">
        <f t="shared" si="47"/>
        <v>4994219363</v>
      </c>
    </row>
    <row r="1805" spans="1:4">
      <c r="A1805" s="53" t="s">
        <v>2073</v>
      </c>
      <c r="B1805" s="46">
        <v>1189458</v>
      </c>
      <c r="C1805" s="46"/>
      <c r="D1805" s="49">
        <f t="shared" si="46"/>
        <v>1189458</v>
      </c>
    </row>
    <row r="1806" spans="1:4">
      <c r="A1806" s="53" t="s">
        <v>2074</v>
      </c>
      <c r="B1806" s="46">
        <v>1292500</v>
      </c>
      <c r="C1806" s="46"/>
      <c r="D1806" s="49">
        <f t="shared" si="46"/>
        <v>1292500</v>
      </c>
    </row>
    <row r="1807" spans="1:4">
      <c r="A1807" s="53" t="s">
        <v>2076</v>
      </c>
      <c r="B1807" s="46">
        <v>17506890</v>
      </c>
      <c r="C1807" s="46"/>
      <c r="D1807" s="49">
        <f t="shared" ref="D1807:D1822" si="48">B1807-C1807</f>
        <v>17506890</v>
      </c>
    </row>
    <row r="1808" spans="1:4">
      <c r="A1808" s="53" t="s">
        <v>2079</v>
      </c>
      <c r="B1808" s="46">
        <v>1650000</v>
      </c>
      <c r="C1808" s="46"/>
      <c r="D1808" s="49">
        <f t="shared" si="48"/>
        <v>1650000</v>
      </c>
    </row>
    <row r="1809" spans="1:4">
      <c r="A1809" s="53" t="s">
        <v>2082</v>
      </c>
      <c r="B1809" s="46">
        <v>160000</v>
      </c>
      <c r="C1809" s="46"/>
      <c r="D1809" s="49">
        <f t="shared" si="48"/>
        <v>160000</v>
      </c>
    </row>
    <row r="1810" spans="1:4">
      <c r="A1810" s="53" t="s">
        <v>2083</v>
      </c>
      <c r="B1810" s="46">
        <v>962600</v>
      </c>
      <c r="C1810" s="46"/>
      <c r="D1810" s="49">
        <f t="shared" si="48"/>
        <v>962600</v>
      </c>
    </row>
    <row r="1811" spans="1:4">
      <c r="A1811" s="53" t="s">
        <v>2085</v>
      </c>
      <c r="B1811" s="46">
        <v>100000</v>
      </c>
      <c r="C1811" s="46"/>
      <c r="D1811" s="49">
        <f t="shared" si="48"/>
        <v>100000</v>
      </c>
    </row>
    <row r="1812" spans="1:4">
      <c r="A1812" s="53" t="s">
        <v>2087</v>
      </c>
      <c r="B1812" s="46">
        <v>2500000</v>
      </c>
      <c r="C1812" s="46"/>
      <c r="D1812" s="49">
        <f t="shared" si="48"/>
        <v>2500000</v>
      </c>
    </row>
    <row r="1813" spans="1:4">
      <c r="A1813" s="53" t="s">
        <v>2088</v>
      </c>
      <c r="B1813" s="46">
        <v>800000</v>
      </c>
      <c r="C1813" s="46"/>
      <c r="D1813" s="49">
        <f t="shared" si="48"/>
        <v>800000</v>
      </c>
    </row>
    <row r="1814" spans="1:4">
      <c r="A1814" s="53" t="s">
        <v>2093</v>
      </c>
      <c r="B1814" s="46">
        <v>4224364</v>
      </c>
      <c r="C1814" s="46"/>
      <c r="D1814" s="49">
        <f t="shared" si="48"/>
        <v>4224364</v>
      </c>
    </row>
    <row r="1815" spans="1:4">
      <c r="A1815" s="19" t="s">
        <v>2102</v>
      </c>
      <c r="B1815" s="18">
        <f>SUM(B1805:B1814)</f>
        <v>30385812</v>
      </c>
      <c r="C1815" s="18">
        <f t="shared" ref="C1815:D1815" si="49">SUM(C1805:C1814)</f>
        <v>0</v>
      </c>
      <c r="D1815" s="23">
        <f t="shared" si="49"/>
        <v>30385812</v>
      </c>
    </row>
    <row r="1816" spans="1:4">
      <c r="A1816" s="20" t="s">
        <v>2059</v>
      </c>
      <c r="B1816" s="46">
        <v>139947467</v>
      </c>
      <c r="C1816" s="46">
        <v>3992366</v>
      </c>
      <c r="D1816" s="49">
        <f t="shared" si="48"/>
        <v>135955101</v>
      </c>
    </row>
    <row r="1817" spans="1:4">
      <c r="A1817" s="20" t="s">
        <v>2103</v>
      </c>
      <c r="B1817" s="46">
        <v>88362313</v>
      </c>
      <c r="C1817" s="46">
        <v>28312901</v>
      </c>
      <c r="D1817" s="49">
        <f t="shared" si="48"/>
        <v>60049412</v>
      </c>
    </row>
    <row r="1818" spans="1:4">
      <c r="A1818" s="20" t="s">
        <v>2060</v>
      </c>
      <c r="B1818" s="46">
        <v>30396386</v>
      </c>
      <c r="C1818" s="46">
        <v>0</v>
      </c>
      <c r="D1818" s="49">
        <f t="shared" si="48"/>
        <v>30396386</v>
      </c>
    </row>
    <row r="1819" spans="1:4">
      <c r="A1819" s="20" t="s">
        <v>2061</v>
      </c>
      <c r="B1819" s="46">
        <v>108670789</v>
      </c>
      <c r="C1819" s="46">
        <v>12949248</v>
      </c>
      <c r="D1819" s="49">
        <f t="shared" si="48"/>
        <v>95721541</v>
      </c>
    </row>
    <row r="1820" spans="1:4">
      <c r="A1820" s="20" t="s">
        <v>2062</v>
      </c>
      <c r="B1820" s="46">
        <v>229282300</v>
      </c>
      <c r="C1820" s="46">
        <v>37633239</v>
      </c>
      <c r="D1820" s="49">
        <f t="shared" si="48"/>
        <v>191649061</v>
      </c>
    </row>
    <row r="1821" spans="1:4">
      <c r="A1821" s="20" t="s">
        <v>2063</v>
      </c>
      <c r="B1821" s="46">
        <v>1014461374</v>
      </c>
      <c r="C1821" s="46">
        <v>280342438</v>
      </c>
      <c r="D1821" s="49">
        <f t="shared" si="48"/>
        <v>734118936</v>
      </c>
    </row>
    <row r="1822" spans="1:4">
      <c r="A1822" s="20" t="s">
        <v>2064</v>
      </c>
      <c r="B1822" s="46">
        <v>744993720</v>
      </c>
      <c r="C1822" s="46">
        <v>168012607</v>
      </c>
      <c r="D1822" s="49">
        <f t="shared" si="48"/>
        <v>576981113</v>
      </c>
    </row>
    <row r="1823" spans="1:4">
      <c r="A1823" s="19" t="s">
        <v>2104</v>
      </c>
      <c r="B1823" s="18">
        <f>SUM(B1816:B1822)</f>
        <v>2356114349</v>
      </c>
      <c r="C1823" s="18">
        <f t="shared" ref="C1823:D1823" si="50">SUM(C1816:C1822)</f>
        <v>531242799</v>
      </c>
      <c r="D1823" s="23">
        <f t="shared" si="50"/>
        <v>1824871550</v>
      </c>
    </row>
    <row r="1824" spans="1:4">
      <c r="A1824" s="7" t="s">
        <v>1523</v>
      </c>
      <c r="B1824" s="21">
        <v>40000</v>
      </c>
      <c r="C1824" s="21"/>
      <c r="D1824" s="22">
        <f t="shared" ref="D1824" si="51">B1824-C1824</f>
        <v>40000</v>
      </c>
    </row>
    <row r="1825" spans="1:4">
      <c r="A1825" s="17" t="s">
        <v>2105</v>
      </c>
      <c r="B1825" s="18">
        <f>SUM(B1824)</f>
        <v>40000</v>
      </c>
      <c r="C1825" s="18">
        <f>SUM(C1824)</f>
        <v>0</v>
      </c>
      <c r="D1825" s="23">
        <f>SUM(D1824)</f>
        <v>40000</v>
      </c>
    </row>
    <row r="1826" spans="1:4">
      <c r="A1826" s="7" t="s">
        <v>1747</v>
      </c>
      <c r="B1826" s="46">
        <v>9891423</v>
      </c>
      <c r="C1826" s="46">
        <v>5022843</v>
      </c>
      <c r="D1826" s="49">
        <f t="shared" ref="D1826:D1832" si="52">B1826-C1826</f>
        <v>4868580</v>
      </c>
    </row>
    <row r="1827" spans="1:4">
      <c r="A1827" s="7" t="s">
        <v>1764</v>
      </c>
      <c r="B1827" s="46">
        <v>10118952</v>
      </c>
      <c r="C1827" s="46">
        <v>5873012</v>
      </c>
      <c r="D1827" s="49">
        <f t="shared" si="52"/>
        <v>4245940</v>
      </c>
    </row>
    <row r="1828" spans="1:4">
      <c r="A1828" s="7" t="s">
        <v>1766</v>
      </c>
      <c r="B1828" s="46">
        <v>4734951</v>
      </c>
      <c r="C1828" s="46">
        <v>1399471</v>
      </c>
      <c r="D1828" s="49">
        <f t="shared" si="52"/>
        <v>3335480</v>
      </c>
    </row>
    <row r="1829" spans="1:4">
      <c r="A1829" s="7" t="s">
        <v>1767</v>
      </c>
      <c r="B1829" s="46">
        <v>719040</v>
      </c>
      <c r="C1829" s="46">
        <v>214806</v>
      </c>
      <c r="D1829" s="49">
        <f t="shared" si="52"/>
        <v>504234</v>
      </c>
    </row>
    <row r="1830" spans="1:4">
      <c r="A1830" s="7" t="s">
        <v>1768</v>
      </c>
      <c r="B1830" s="46">
        <v>821886</v>
      </c>
      <c r="C1830" s="46">
        <v>242918</v>
      </c>
      <c r="D1830" s="49">
        <f t="shared" si="52"/>
        <v>578968</v>
      </c>
    </row>
    <row r="1831" spans="1:4">
      <c r="A1831" s="7" t="s">
        <v>1916</v>
      </c>
      <c r="B1831" s="46">
        <v>23665</v>
      </c>
      <c r="C1831" s="46">
        <v>3751</v>
      </c>
      <c r="D1831" s="49">
        <f t="shared" si="52"/>
        <v>19914</v>
      </c>
    </row>
    <row r="1832" spans="1:4">
      <c r="A1832" s="7" t="s">
        <v>1917</v>
      </c>
      <c r="B1832" s="46">
        <v>83549</v>
      </c>
      <c r="C1832" s="46">
        <v>13240</v>
      </c>
      <c r="D1832" s="49">
        <f t="shared" si="52"/>
        <v>70309</v>
      </c>
    </row>
    <row r="1833" spans="1:4">
      <c r="A1833" s="7" t="s">
        <v>1918</v>
      </c>
      <c r="B1833" s="46">
        <v>71307</v>
      </c>
      <c r="C1833" s="46">
        <v>11300</v>
      </c>
      <c r="D1833" s="49">
        <f t="shared" ref="D1833:D1871" si="53">B1833-C1833</f>
        <v>60007</v>
      </c>
    </row>
    <row r="1834" spans="1:4">
      <c r="A1834" s="7" t="s">
        <v>1919</v>
      </c>
      <c r="B1834" s="46">
        <v>154225</v>
      </c>
      <c r="C1834" s="46">
        <v>24440</v>
      </c>
      <c r="D1834" s="49">
        <f t="shared" si="53"/>
        <v>129785</v>
      </c>
    </row>
    <row r="1835" spans="1:4">
      <c r="A1835" s="7" t="s">
        <v>1920</v>
      </c>
      <c r="B1835" s="46">
        <v>387746</v>
      </c>
      <c r="C1835" s="46">
        <v>61445</v>
      </c>
      <c r="D1835" s="49">
        <f t="shared" si="53"/>
        <v>326301</v>
      </c>
    </row>
    <row r="1836" spans="1:4">
      <c r="A1836" s="7" t="s">
        <v>1921</v>
      </c>
      <c r="B1836" s="46">
        <v>173500</v>
      </c>
      <c r="C1836" s="46">
        <v>25294</v>
      </c>
      <c r="D1836" s="49">
        <f t="shared" si="53"/>
        <v>148206</v>
      </c>
    </row>
    <row r="1837" spans="1:4">
      <c r="A1837" s="7" t="str">
        <f>"Szennyvíztelep ProMinet Beta /4 vegyszer adagoló szivattyú"</f>
        <v>Szennyvíztelep ProMinet Beta /4 vegyszer adagoló szivattyú</v>
      </c>
      <c r="B1837" s="46">
        <v>245000</v>
      </c>
      <c r="C1837" s="46">
        <v>35719</v>
      </c>
      <c r="D1837" s="49">
        <f t="shared" si="53"/>
        <v>209281</v>
      </c>
    </row>
    <row r="1838" spans="1:4">
      <c r="A1838" s="7" t="s">
        <v>1922</v>
      </c>
      <c r="B1838" s="46">
        <v>742550</v>
      </c>
      <c r="C1838" s="46">
        <v>108259</v>
      </c>
      <c r="D1838" s="49">
        <f t="shared" si="53"/>
        <v>634291</v>
      </c>
    </row>
    <row r="1839" spans="1:4">
      <c r="A1839" s="7" t="s">
        <v>1923</v>
      </c>
      <c r="B1839" s="46">
        <v>138250</v>
      </c>
      <c r="C1839" s="46">
        <v>20540</v>
      </c>
      <c r="D1839" s="49">
        <f t="shared" si="53"/>
        <v>117710</v>
      </c>
    </row>
    <row r="1840" spans="1:4">
      <c r="A1840" s="7" t="s">
        <v>1924</v>
      </c>
      <c r="B1840" s="46">
        <v>315000</v>
      </c>
      <c r="C1840" s="46">
        <v>45925</v>
      </c>
      <c r="D1840" s="49">
        <f t="shared" si="53"/>
        <v>269075</v>
      </c>
    </row>
    <row r="1841" spans="1:4">
      <c r="A1841" s="7" t="s">
        <v>1925</v>
      </c>
      <c r="B1841" s="46">
        <v>171719</v>
      </c>
      <c r="C1841" s="46">
        <v>25036</v>
      </c>
      <c r="D1841" s="49">
        <f t="shared" si="53"/>
        <v>146683</v>
      </c>
    </row>
    <row r="1842" spans="1:4">
      <c r="A1842" s="7" t="s">
        <v>1926</v>
      </c>
      <c r="B1842" s="46">
        <v>203724</v>
      </c>
      <c r="C1842" s="46">
        <v>29702</v>
      </c>
      <c r="D1842" s="49">
        <f t="shared" si="53"/>
        <v>174022</v>
      </c>
    </row>
    <row r="1843" spans="1:4">
      <c r="A1843" s="7" t="str">
        <f>"Dejtár Vízb 7. kút CALPEDA 4SD15/17 szivattyú beszerzése"</f>
        <v>Dejtár Vízb 7. kút CALPEDA 4SD15/17 szivattyú beszerzése</v>
      </c>
      <c r="B1843" s="46">
        <v>187736</v>
      </c>
      <c r="C1843" s="46">
        <v>27370</v>
      </c>
      <c r="D1843" s="49">
        <f t="shared" si="53"/>
        <v>160366</v>
      </c>
    </row>
    <row r="1844" spans="1:4">
      <c r="A1844" s="7" t="s">
        <v>1927</v>
      </c>
      <c r="B1844" s="46">
        <v>164365</v>
      </c>
      <c r="C1844" s="46">
        <v>23963</v>
      </c>
      <c r="D1844" s="49">
        <f t="shared" si="53"/>
        <v>140402</v>
      </c>
    </row>
    <row r="1845" spans="1:4">
      <c r="A1845" s="7" t="s">
        <v>1928</v>
      </c>
      <c r="B1845" s="46">
        <v>212182</v>
      </c>
      <c r="C1845" s="46">
        <v>30935</v>
      </c>
      <c r="D1845" s="49">
        <f t="shared" si="53"/>
        <v>181247</v>
      </c>
    </row>
    <row r="1846" spans="1:4">
      <c r="A1846" s="7" t="s">
        <v>1929</v>
      </c>
      <c r="B1846" s="46">
        <v>101407</v>
      </c>
      <c r="C1846" s="46">
        <v>14784</v>
      </c>
      <c r="D1846" s="49">
        <f t="shared" si="53"/>
        <v>86623</v>
      </c>
    </row>
    <row r="1847" spans="1:4">
      <c r="A1847" s="7" t="s">
        <v>1930</v>
      </c>
      <c r="B1847" s="46">
        <v>231323</v>
      </c>
      <c r="C1847" s="46">
        <v>33724</v>
      </c>
      <c r="D1847" s="49">
        <f t="shared" si="53"/>
        <v>197599</v>
      </c>
    </row>
    <row r="1848" spans="1:4">
      <c r="A1848" s="7" t="str">
        <f>"Dejtár vízb. 12. kút LOWARA 12GS 30T/B-L4C szivattyú beszerelése"</f>
        <v>Dejtár vízb. 12. kút LOWARA 12GS 30T/B-L4C szivattyú beszerelése</v>
      </c>
      <c r="B1848" s="46">
        <v>144763</v>
      </c>
      <c r="C1848" s="46">
        <v>21106</v>
      </c>
      <c r="D1848" s="49">
        <f t="shared" si="53"/>
        <v>123657</v>
      </c>
    </row>
    <row r="1849" spans="1:4">
      <c r="A1849" s="7" t="s">
        <v>1931</v>
      </c>
      <c r="B1849" s="46">
        <v>948650</v>
      </c>
      <c r="C1849" s="46">
        <v>138305</v>
      </c>
      <c r="D1849" s="49">
        <f t="shared" si="53"/>
        <v>810345</v>
      </c>
    </row>
    <row r="1850" spans="1:4">
      <c r="A1850" s="7" t="str">
        <f>"Szennyvíztelep 2db CB05KAC1R1/g iszapfeladó szivattyú felúj"</f>
        <v>Szennyvíztelep 2db CB05KAC1R1/g iszapfeladó szivattyú felúj</v>
      </c>
      <c r="B1850" s="46">
        <v>1754350</v>
      </c>
      <c r="C1850" s="46">
        <v>255771</v>
      </c>
      <c r="D1850" s="49">
        <f t="shared" si="53"/>
        <v>1498579</v>
      </c>
    </row>
    <row r="1851" spans="1:4">
      <c r="A1851" s="7" t="s">
        <v>1932</v>
      </c>
      <c r="B1851" s="46">
        <v>31971</v>
      </c>
      <c r="C1851" s="46">
        <v>4660</v>
      </c>
      <c r="D1851" s="49">
        <f t="shared" si="53"/>
        <v>27311</v>
      </c>
    </row>
    <row r="1852" spans="1:4">
      <c r="A1852" s="7" t="s">
        <v>1933</v>
      </c>
      <c r="B1852" s="46">
        <v>309845</v>
      </c>
      <c r="C1852" s="46">
        <v>49960</v>
      </c>
      <c r="D1852" s="49">
        <f t="shared" si="53"/>
        <v>259885</v>
      </c>
    </row>
    <row r="1853" spans="1:4">
      <c r="A1853" s="7" t="s">
        <v>1934</v>
      </c>
      <c r="B1853" s="46">
        <v>507229</v>
      </c>
      <c r="C1853" s="46">
        <v>81385</v>
      </c>
      <c r="D1853" s="49">
        <f t="shared" si="53"/>
        <v>425844</v>
      </c>
    </row>
    <row r="1854" spans="1:4">
      <c r="A1854" s="7" t="s">
        <v>1935</v>
      </c>
      <c r="B1854" s="46">
        <v>1351495</v>
      </c>
      <c r="C1854" s="46">
        <v>216848</v>
      </c>
      <c r="D1854" s="49">
        <f t="shared" si="53"/>
        <v>1134647</v>
      </c>
    </row>
    <row r="1855" spans="1:4">
      <c r="A1855" s="7" t="s">
        <v>1956</v>
      </c>
      <c r="B1855" s="46">
        <v>140107</v>
      </c>
      <c r="C1855" s="46">
        <v>17812</v>
      </c>
      <c r="D1855" s="49">
        <f t="shared" si="53"/>
        <v>122295</v>
      </c>
    </row>
    <row r="1856" spans="1:4">
      <c r="A1856" s="7" t="s">
        <v>1957</v>
      </c>
      <c r="B1856" s="46">
        <v>120975</v>
      </c>
      <c r="C1856" s="46">
        <v>15378</v>
      </c>
      <c r="D1856" s="49">
        <f t="shared" si="53"/>
        <v>105597</v>
      </c>
    </row>
    <row r="1857" spans="1:4">
      <c r="A1857" s="7" t="s">
        <v>1958</v>
      </c>
      <c r="B1857" s="46">
        <v>114001</v>
      </c>
      <c r="C1857" s="46">
        <v>14493</v>
      </c>
      <c r="D1857" s="49">
        <f t="shared" si="53"/>
        <v>99508</v>
      </c>
    </row>
    <row r="1858" spans="1:4">
      <c r="A1858" s="7" t="s">
        <v>1959</v>
      </c>
      <c r="B1858" s="46">
        <v>85027</v>
      </c>
      <c r="C1858" s="46">
        <v>10810</v>
      </c>
      <c r="D1858" s="49">
        <f t="shared" si="53"/>
        <v>74217</v>
      </c>
    </row>
    <row r="1859" spans="1:4">
      <c r="A1859" s="7" t="s">
        <v>1960</v>
      </c>
      <c r="B1859" s="46">
        <v>165838</v>
      </c>
      <c r="C1859" s="46">
        <v>21082</v>
      </c>
      <c r="D1859" s="49">
        <f t="shared" si="53"/>
        <v>144756</v>
      </c>
    </row>
    <row r="1860" spans="1:4">
      <c r="A1860" s="7" t="s">
        <v>1961</v>
      </c>
      <c r="B1860" s="46">
        <v>158502</v>
      </c>
      <c r="C1860" s="46">
        <v>20149</v>
      </c>
      <c r="D1860" s="49">
        <f t="shared" si="53"/>
        <v>138353</v>
      </c>
    </row>
    <row r="1861" spans="1:4">
      <c r="A1861" s="7" t="s">
        <v>1962</v>
      </c>
      <c r="B1861" s="46">
        <v>429750</v>
      </c>
      <c r="C1861" s="46">
        <v>57021</v>
      </c>
      <c r="D1861" s="49">
        <f t="shared" si="53"/>
        <v>372729</v>
      </c>
    </row>
    <row r="1862" spans="1:4">
      <c r="A1862" s="7" t="str">
        <f>"Főtér A/2-5 térelemek"</f>
        <v>Főtér A/2-5 térelemek</v>
      </c>
      <c r="B1862" s="46">
        <v>5258280</v>
      </c>
      <c r="C1862" s="46">
        <v>3151009</v>
      </c>
      <c r="D1862" s="49">
        <f t="shared" si="53"/>
        <v>2107271</v>
      </c>
    </row>
    <row r="1863" spans="1:4">
      <c r="A1863" s="7" t="str">
        <f>"Főtér B/8-13 térelemek"</f>
        <v>Főtér B/8-13 térelemek</v>
      </c>
      <c r="B1863" s="46">
        <v>11081500</v>
      </c>
      <c r="C1863" s="46">
        <v>6640557</v>
      </c>
      <c r="D1863" s="49">
        <f t="shared" si="53"/>
        <v>4440943</v>
      </c>
    </row>
    <row r="1864" spans="1:4">
      <c r="A1864" s="7" t="str">
        <f>"Főtér C/15-16, 18-24"</f>
        <v>Főtér C/15-16, 18-24</v>
      </c>
      <c r="B1864" s="46">
        <v>45886473</v>
      </c>
      <c r="C1864" s="46">
        <v>27497342</v>
      </c>
      <c r="D1864" s="49">
        <f t="shared" si="53"/>
        <v>18389131</v>
      </c>
    </row>
    <row r="1865" spans="1:4">
      <c r="A1865" s="7" t="s">
        <v>1769</v>
      </c>
      <c r="B1865" s="46">
        <v>376580</v>
      </c>
      <c r="C1865" s="46">
        <v>225665</v>
      </c>
      <c r="D1865" s="49">
        <f t="shared" si="53"/>
        <v>150915</v>
      </c>
    </row>
    <row r="1866" spans="1:4">
      <c r="A1866" s="7" t="s">
        <v>1770</v>
      </c>
      <c r="B1866" s="46">
        <v>19143290</v>
      </c>
      <c r="C1866" s="46">
        <v>11471573</v>
      </c>
      <c r="D1866" s="49">
        <f t="shared" si="53"/>
        <v>7671717</v>
      </c>
    </row>
    <row r="1867" spans="1:4">
      <c r="A1867" s="7" t="s">
        <v>1765</v>
      </c>
      <c r="B1867" s="46">
        <v>441000</v>
      </c>
      <c r="C1867" s="46">
        <v>441000</v>
      </c>
      <c r="D1867" s="49">
        <f t="shared" si="53"/>
        <v>0</v>
      </c>
    </row>
    <row r="1868" spans="1:4">
      <c r="A1868" s="7" t="s">
        <v>1614</v>
      </c>
      <c r="B1868" s="46">
        <v>1140000</v>
      </c>
      <c r="C1868" s="46">
        <v>1140000</v>
      </c>
      <c r="D1868" s="49">
        <f t="shared" si="53"/>
        <v>0</v>
      </c>
    </row>
    <row r="1869" spans="1:4">
      <c r="A1869" s="17" t="s">
        <v>2106</v>
      </c>
      <c r="B1869" s="18">
        <f>SUM(B1826:B1868)</f>
        <v>119483126</v>
      </c>
      <c r="C1869" s="18">
        <f t="shared" ref="C1869:D1869" si="54">SUM(C1826:C1868)</f>
        <v>64780403</v>
      </c>
      <c r="D1869" s="23">
        <f t="shared" si="54"/>
        <v>54702723</v>
      </c>
    </row>
    <row r="1870" spans="1:4">
      <c r="A1870" s="7" t="str">
        <f>"MAN TGM 18.290 4x2 BL-MUT Variopress 211/16.0 tömörítőlapos hulladékgyűjtő lármű"</f>
        <v>MAN TGM 18.290 4x2 BL-MUT Variopress 211/16.0 tömörítőlapos hulladékgyűjtő lármű</v>
      </c>
      <c r="B1870" s="46">
        <v>39170000</v>
      </c>
      <c r="C1870" s="46">
        <v>20990826</v>
      </c>
      <c r="D1870" s="49">
        <f t="shared" si="53"/>
        <v>18179174</v>
      </c>
    </row>
    <row r="1871" spans="1:4">
      <c r="A1871" s="7" t="str">
        <f>"MAN TGM 18.290 4x2 BL-MUT Rotopress 205/15.5 típusú forogva tömörítő hulladékgyűjtő jármű"</f>
        <v>MAN TGM 18.290 4x2 BL-MUT Rotopress 205/15.5 típusú forogva tömörítő hulladékgyűjtő jármű</v>
      </c>
      <c r="B1871" s="46">
        <v>40960000</v>
      </c>
      <c r="C1871" s="46">
        <v>21950071</v>
      </c>
      <c r="D1871" s="49">
        <f t="shared" si="53"/>
        <v>19009929</v>
      </c>
    </row>
    <row r="1872" spans="1:4">
      <c r="A1872" s="7" t="s">
        <v>2031</v>
      </c>
      <c r="B1872" s="46">
        <v>25323701</v>
      </c>
      <c r="C1872" s="46">
        <v>25323701</v>
      </c>
      <c r="D1872" s="49">
        <f t="shared" ref="D1872" si="55">B1872-C1872</f>
        <v>0</v>
      </c>
    </row>
    <row r="1873" spans="1:4">
      <c r="A1873" s="17" t="s">
        <v>2107</v>
      </c>
      <c r="B1873" s="18">
        <f>SUM(B1870:B1872)</f>
        <v>105453701</v>
      </c>
      <c r="C1873" s="18">
        <f t="shared" ref="C1873:D1873" si="56">SUM(C1870:C1872)</f>
        <v>68264598</v>
      </c>
      <c r="D1873" s="23">
        <f t="shared" si="56"/>
        <v>37189103</v>
      </c>
    </row>
    <row r="1874" spans="1:4">
      <c r="A1874" s="24" t="s">
        <v>2108</v>
      </c>
      <c r="B1874" s="25">
        <f>B1096+B1151+B1804+B1815+B1823+B1825+B1869+B1873</f>
        <v>9796529165</v>
      </c>
      <c r="C1874" s="25">
        <f t="shared" ref="C1874:D1874" si="57">C1096+C1151+C1804+C1815+C1823+C1825+C1869+C1873</f>
        <v>1951651847</v>
      </c>
      <c r="D1874" s="56">
        <f t="shared" si="57"/>
        <v>7844877318</v>
      </c>
    </row>
    <row r="1875" spans="1:4" ht="15.75">
      <c r="A1875" s="26" t="s">
        <v>2109</v>
      </c>
      <c r="B1875" s="27">
        <f>B1874+B1093</f>
        <v>15920470610</v>
      </c>
      <c r="C1875" s="27">
        <f t="shared" ref="C1875:D1875" si="58">C1874+C1093</f>
        <v>3998231935</v>
      </c>
      <c r="D1875" s="57">
        <f t="shared" si="58"/>
        <v>11922238675</v>
      </c>
    </row>
    <row r="1876" spans="1:4">
      <c r="A1876" s="7" t="str">
        <f>"Káptalanfüred 0114/8"</f>
        <v>Káptalanfüred 0114/8</v>
      </c>
      <c r="B1876" s="46">
        <v>5000000</v>
      </c>
      <c r="C1876" s="46"/>
      <c r="D1876" s="49">
        <f t="shared" ref="D1876:D1939" si="59">B1876-C1876</f>
        <v>5000000</v>
      </c>
    </row>
    <row r="1877" spans="1:4">
      <c r="A1877" s="7" t="str">
        <f>"Telek 3166/11"</f>
        <v>Telek 3166/11</v>
      </c>
      <c r="B1877" s="46">
        <v>2500000</v>
      </c>
      <c r="C1877" s="46"/>
      <c r="D1877" s="49">
        <f t="shared" si="59"/>
        <v>2500000</v>
      </c>
    </row>
    <row r="1878" spans="1:4">
      <c r="A1878" s="7" t="str">
        <f>"Belterület 019/6"</f>
        <v>Belterület 019/6</v>
      </c>
      <c r="B1878" s="46">
        <v>1203900</v>
      </c>
      <c r="C1878" s="46"/>
      <c r="D1878" s="49">
        <f t="shared" si="59"/>
        <v>1203900</v>
      </c>
    </row>
    <row r="1879" spans="1:4">
      <c r="A1879" s="7" t="str">
        <f>"Külterület 0130/3"</f>
        <v>Külterület 0130/3</v>
      </c>
      <c r="B1879" s="46">
        <v>230700</v>
      </c>
      <c r="C1879" s="46"/>
      <c r="D1879" s="49">
        <f t="shared" si="59"/>
        <v>230700</v>
      </c>
    </row>
    <row r="1880" spans="1:4">
      <c r="A1880" s="7" t="str">
        <f>"Külterület 0130/5"</f>
        <v>Külterület 0130/5</v>
      </c>
      <c r="B1880" s="46">
        <v>194100</v>
      </c>
      <c r="C1880" s="46"/>
      <c r="D1880" s="49">
        <f t="shared" si="59"/>
        <v>194100</v>
      </c>
    </row>
    <row r="1881" spans="1:4">
      <c r="A1881" s="7" t="str">
        <f>"Külterület 0130/23"</f>
        <v>Külterület 0130/23</v>
      </c>
      <c r="B1881" s="46">
        <v>221900</v>
      </c>
      <c r="C1881" s="46"/>
      <c r="D1881" s="49">
        <f t="shared" si="59"/>
        <v>221900</v>
      </c>
    </row>
    <row r="1882" spans="1:4">
      <c r="A1882" s="7" t="str">
        <f>"Külterület 0130/31"</f>
        <v>Külterület 0130/31</v>
      </c>
      <c r="B1882" s="46">
        <v>271100</v>
      </c>
      <c r="C1882" s="46"/>
      <c r="D1882" s="49">
        <f t="shared" si="59"/>
        <v>271100</v>
      </c>
    </row>
    <row r="1883" spans="1:4">
      <c r="A1883" s="7" t="str">
        <f>"Külterület 0130/41"</f>
        <v>Külterület 0130/41</v>
      </c>
      <c r="B1883" s="46">
        <v>240900</v>
      </c>
      <c r="C1883" s="46"/>
      <c r="D1883" s="49">
        <f t="shared" si="59"/>
        <v>240900</v>
      </c>
    </row>
    <row r="1884" spans="1:4">
      <c r="A1884" s="7" t="str">
        <f>"Külterület 0130/42"</f>
        <v>Külterület 0130/42</v>
      </c>
      <c r="B1884" s="46">
        <v>243300</v>
      </c>
      <c r="C1884" s="46"/>
      <c r="D1884" s="49">
        <f t="shared" si="59"/>
        <v>243300</v>
      </c>
    </row>
    <row r="1885" spans="1:4">
      <c r="A1885" s="7" t="str">
        <f>"Külterület 0133/24"</f>
        <v>Külterület 0133/24</v>
      </c>
      <c r="B1885" s="46">
        <v>324400</v>
      </c>
      <c r="C1885" s="46"/>
      <c r="D1885" s="49">
        <f t="shared" si="59"/>
        <v>324400</v>
      </c>
    </row>
    <row r="1886" spans="1:4">
      <c r="A1886" s="7" t="str">
        <f>"Külterület 0140/9"</f>
        <v>Külterület 0140/9</v>
      </c>
      <c r="B1886" s="46">
        <v>231200</v>
      </c>
      <c r="C1886" s="46"/>
      <c r="D1886" s="49">
        <f t="shared" si="59"/>
        <v>231200</v>
      </c>
    </row>
    <row r="1887" spans="1:4">
      <c r="A1887" s="7" t="str">
        <f>"Külterület 0155/1"</f>
        <v>Külterület 0155/1</v>
      </c>
      <c r="B1887" s="46">
        <v>1148400</v>
      </c>
      <c r="C1887" s="46"/>
      <c r="D1887" s="49">
        <f t="shared" si="59"/>
        <v>1148400</v>
      </c>
    </row>
    <row r="1888" spans="1:4">
      <c r="A1888" s="7" t="str">
        <f>"Külterület 0155/2 erdő"</f>
        <v>Külterület 0155/2 erdő</v>
      </c>
      <c r="B1888" s="46">
        <v>592800</v>
      </c>
      <c r="C1888" s="46"/>
      <c r="D1888" s="49">
        <f t="shared" si="59"/>
        <v>592800</v>
      </c>
    </row>
    <row r="1889" spans="1:4">
      <c r="A1889" s="7" t="str">
        <f>"Külterület 0182/6 szántó"</f>
        <v>Külterület 0182/6 szántó</v>
      </c>
      <c r="B1889" s="46">
        <v>106900</v>
      </c>
      <c r="C1889" s="46"/>
      <c r="D1889" s="49">
        <f t="shared" si="59"/>
        <v>106900</v>
      </c>
    </row>
    <row r="1890" spans="1:4">
      <c r="A1890" s="7" t="str">
        <f>"Külterület 0182/6 erdő"</f>
        <v>Külterület 0182/6 erdő</v>
      </c>
      <c r="B1890" s="46">
        <v>831500</v>
      </c>
      <c r="C1890" s="46"/>
      <c r="D1890" s="49">
        <f t="shared" si="59"/>
        <v>831500</v>
      </c>
    </row>
    <row r="1891" spans="1:4">
      <c r="A1891" s="7" t="str">
        <f>"Külterület 0182/8 szántó"</f>
        <v>Külterület 0182/8 szántó</v>
      </c>
      <c r="B1891" s="46">
        <v>341500</v>
      </c>
      <c r="C1891" s="46"/>
      <c r="D1891" s="49">
        <f t="shared" si="59"/>
        <v>341500</v>
      </c>
    </row>
    <row r="1892" spans="1:4">
      <c r="A1892" s="7" t="str">
        <f>"Külterület 0182/8 erdő"</f>
        <v>Külterület 0182/8 erdő</v>
      </c>
      <c r="B1892" s="46">
        <v>359400</v>
      </c>
      <c r="C1892" s="46"/>
      <c r="D1892" s="49">
        <f t="shared" si="59"/>
        <v>359400</v>
      </c>
    </row>
    <row r="1893" spans="1:4">
      <c r="A1893" s="7" t="str">
        <f>"Külterület 0182/12"</f>
        <v>Külterület 0182/12</v>
      </c>
      <c r="B1893" s="46">
        <v>457550</v>
      </c>
      <c r="C1893" s="46"/>
      <c r="D1893" s="49">
        <f t="shared" si="59"/>
        <v>457550</v>
      </c>
    </row>
    <row r="1894" spans="1:4">
      <c r="A1894" s="7" t="str">
        <f>"Külterület 0182/15"</f>
        <v>Külterület 0182/15</v>
      </c>
      <c r="B1894" s="46">
        <v>600000</v>
      </c>
      <c r="C1894" s="46"/>
      <c r="D1894" s="49">
        <f t="shared" si="59"/>
        <v>600000</v>
      </c>
    </row>
    <row r="1895" spans="1:4">
      <c r="A1895" s="7" t="str">
        <f>"Külterület 0187/3"</f>
        <v>Külterület 0187/3</v>
      </c>
      <c r="B1895" s="46">
        <v>221850</v>
      </c>
      <c r="C1895" s="46"/>
      <c r="D1895" s="49">
        <f t="shared" si="59"/>
        <v>221850</v>
      </c>
    </row>
    <row r="1896" spans="1:4">
      <c r="A1896" s="7" t="str">
        <f>"Külterület 032/5"</f>
        <v>Külterület 032/5</v>
      </c>
      <c r="B1896" s="46">
        <v>4000000</v>
      </c>
      <c r="C1896" s="46"/>
      <c r="D1896" s="49">
        <f t="shared" si="59"/>
        <v>4000000</v>
      </c>
    </row>
    <row r="1897" spans="1:4">
      <c r="A1897" s="7" t="str">
        <f>"Külterület 032/2"</f>
        <v>Külterület 032/2</v>
      </c>
      <c r="B1897" s="46">
        <v>38708000</v>
      </c>
      <c r="C1897" s="46"/>
      <c r="D1897" s="49">
        <f t="shared" si="59"/>
        <v>38708000</v>
      </c>
    </row>
    <row r="1898" spans="1:4">
      <c r="A1898" s="7" t="s">
        <v>18</v>
      </c>
      <c r="B1898" s="46">
        <v>43250</v>
      </c>
      <c r="C1898" s="46"/>
      <c r="D1898" s="49">
        <f t="shared" si="59"/>
        <v>43250</v>
      </c>
    </row>
    <row r="1899" spans="1:4">
      <c r="A1899" s="7" t="str">
        <f>"Zártkert 8612/18"</f>
        <v>Zártkert 8612/18</v>
      </c>
      <c r="B1899" s="46">
        <v>30050</v>
      </c>
      <c r="C1899" s="46"/>
      <c r="D1899" s="49">
        <f t="shared" si="59"/>
        <v>30050</v>
      </c>
    </row>
    <row r="1900" spans="1:4">
      <c r="A1900" s="7" t="str">
        <f>"Zártkert 8620/2"</f>
        <v>Zártkert 8620/2</v>
      </c>
      <c r="B1900" s="46">
        <v>37800</v>
      </c>
      <c r="C1900" s="46"/>
      <c r="D1900" s="49">
        <f t="shared" si="59"/>
        <v>37800</v>
      </c>
    </row>
    <row r="1901" spans="1:4">
      <c r="A1901" s="7" t="str">
        <f>"Zártkert 8705/3"</f>
        <v>Zártkert 8705/3</v>
      </c>
      <c r="B1901" s="46">
        <v>92100</v>
      </c>
      <c r="C1901" s="46"/>
      <c r="D1901" s="49">
        <f t="shared" si="59"/>
        <v>92100</v>
      </c>
    </row>
    <row r="1902" spans="1:4">
      <c r="A1902" s="7" t="str">
        <f>"Zártkert 8705/4"</f>
        <v>Zártkert 8705/4</v>
      </c>
      <c r="B1902" s="46">
        <v>38100</v>
      </c>
      <c r="C1902" s="46"/>
      <c r="D1902" s="49">
        <f t="shared" si="59"/>
        <v>38100</v>
      </c>
    </row>
    <row r="1903" spans="1:4">
      <c r="A1903" s="7" t="s">
        <v>19</v>
      </c>
      <c r="B1903" s="46">
        <v>158400</v>
      </c>
      <c r="C1903" s="46"/>
      <c r="D1903" s="49">
        <f t="shared" si="59"/>
        <v>158400</v>
      </c>
    </row>
    <row r="1904" spans="1:4">
      <c r="A1904" s="7" t="s">
        <v>20</v>
      </c>
      <c r="B1904" s="46">
        <v>126000</v>
      </c>
      <c r="C1904" s="46"/>
      <c r="D1904" s="49">
        <f t="shared" si="59"/>
        <v>126000</v>
      </c>
    </row>
    <row r="1905" spans="1:4">
      <c r="A1905" s="7" t="s">
        <v>21</v>
      </c>
      <c r="B1905" s="46">
        <v>28300</v>
      </c>
      <c r="C1905" s="46"/>
      <c r="D1905" s="49">
        <f t="shared" si="59"/>
        <v>28300</v>
      </c>
    </row>
    <row r="1906" spans="1:4">
      <c r="A1906" s="7" t="str">
        <f>"Zártkert 8751/2"</f>
        <v>Zártkert 8751/2</v>
      </c>
      <c r="B1906" s="46">
        <v>85300</v>
      </c>
      <c r="C1906" s="46"/>
      <c r="D1906" s="49">
        <f t="shared" si="59"/>
        <v>85300</v>
      </c>
    </row>
    <row r="1907" spans="1:4">
      <c r="A1907" s="7" t="str">
        <f>"Zártkert 8751/21"</f>
        <v>Zártkert 8751/21</v>
      </c>
      <c r="B1907" s="46">
        <v>58200</v>
      </c>
      <c r="C1907" s="46"/>
      <c r="D1907" s="49">
        <f t="shared" si="59"/>
        <v>58200</v>
      </c>
    </row>
    <row r="1908" spans="1:4">
      <c r="A1908" s="7" t="s">
        <v>22</v>
      </c>
      <c r="B1908" s="46">
        <v>68650</v>
      </c>
      <c r="C1908" s="46"/>
      <c r="D1908" s="49">
        <f t="shared" si="59"/>
        <v>68650</v>
      </c>
    </row>
    <row r="1909" spans="1:4">
      <c r="A1909" s="7" t="s">
        <v>49</v>
      </c>
      <c r="B1909" s="46">
        <v>3862000</v>
      </c>
      <c r="C1909" s="46"/>
      <c r="D1909" s="49">
        <f t="shared" si="59"/>
        <v>3862000</v>
      </c>
    </row>
    <row r="1910" spans="1:4">
      <c r="A1910" s="7" t="s">
        <v>53</v>
      </c>
      <c r="B1910" s="46">
        <v>4231500</v>
      </c>
      <c r="C1910" s="46"/>
      <c r="D1910" s="49">
        <f t="shared" si="59"/>
        <v>4231500</v>
      </c>
    </row>
    <row r="1911" spans="1:4">
      <c r="A1911" s="7" t="str">
        <f>"Szántó 038/2"</f>
        <v>Szántó 038/2</v>
      </c>
      <c r="B1911" s="46">
        <v>263300</v>
      </c>
      <c r="C1911" s="46"/>
      <c r="D1911" s="49">
        <f t="shared" si="59"/>
        <v>263300</v>
      </c>
    </row>
    <row r="1912" spans="1:4">
      <c r="A1912" s="7" t="str">
        <f>"Szántó 0130/9"</f>
        <v>Szántó 0130/9</v>
      </c>
      <c r="B1912" s="46">
        <v>104200</v>
      </c>
      <c r="C1912" s="46"/>
      <c r="D1912" s="49">
        <f t="shared" si="59"/>
        <v>104200</v>
      </c>
    </row>
    <row r="1913" spans="1:4">
      <c r="A1913" s="7" t="str">
        <f>"Szántó 0130/10"</f>
        <v>Szántó 0130/10</v>
      </c>
      <c r="B1913" s="46">
        <v>3069950</v>
      </c>
      <c r="C1913" s="46"/>
      <c r="D1913" s="49">
        <f t="shared" si="59"/>
        <v>3069950</v>
      </c>
    </row>
    <row r="1914" spans="1:4">
      <c r="A1914" s="7" t="str">
        <f>"Gyep 0163/12"</f>
        <v>Gyep 0163/12</v>
      </c>
      <c r="B1914" s="46">
        <v>1548000</v>
      </c>
      <c r="C1914" s="46"/>
      <c r="D1914" s="49">
        <f t="shared" si="59"/>
        <v>1548000</v>
      </c>
    </row>
    <row r="1915" spans="1:4">
      <c r="A1915" s="7" t="str">
        <f>"Szántó 0182/7"</f>
        <v>Szántó 0182/7</v>
      </c>
      <c r="B1915" s="46">
        <v>136800</v>
      </c>
      <c r="C1915" s="46"/>
      <c r="D1915" s="49">
        <f t="shared" si="59"/>
        <v>136800</v>
      </c>
    </row>
    <row r="1916" spans="1:4">
      <c r="A1916" s="7" t="s">
        <v>54</v>
      </c>
      <c r="B1916" s="46">
        <v>104700</v>
      </c>
      <c r="C1916" s="46"/>
      <c r="D1916" s="49">
        <f t="shared" si="59"/>
        <v>104700</v>
      </c>
    </row>
    <row r="1917" spans="1:4">
      <c r="A1917" s="7" t="str">
        <f>"Zártkert 8611/7"</f>
        <v>Zártkert 8611/7</v>
      </c>
      <c r="B1917" s="46">
        <v>3543000</v>
      </c>
      <c r="C1917" s="46"/>
      <c r="D1917" s="49">
        <f t="shared" si="59"/>
        <v>3543000</v>
      </c>
    </row>
    <row r="1918" spans="1:4">
      <c r="A1918" s="7" t="str">
        <f>"Zártkert 8751/23"</f>
        <v>Zártkert 8751/23</v>
      </c>
      <c r="B1918" s="46">
        <v>420000</v>
      </c>
      <c r="C1918" s="46"/>
      <c r="D1918" s="49">
        <f t="shared" si="59"/>
        <v>420000</v>
      </c>
    </row>
    <row r="1919" spans="1:4">
      <c r="A1919" s="7" t="s">
        <v>55</v>
      </c>
      <c r="B1919" s="46">
        <v>26200</v>
      </c>
      <c r="C1919" s="46"/>
      <c r="D1919" s="49">
        <f t="shared" si="59"/>
        <v>26200</v>
      </c>
    </row>
    <row r="1920" spans="1:4">
      <c r="A1920" s="7" t="str">
        <f>"Külterület 055/2"</f>
        <v>Külterület 055/2</v>
      </c>
      <c r="B1920" s="46">
        <v>75067</v>
      </c>
      <c r="C1920" s="46"/>
      <c r="D1920" s="49">
        <f t="shared" si="59"/>
        <v>75067</v>
      </c>
    </row>
    <row r="1921" spans="1:4">
      <c r="A1921" s="7" t="str">
        <f>"Külterület 055/1"</f>
        <v>Külterület 055/1</v>
      </c>
      <c r="B1921" s="46">
        <v>227873</v>
      </c>
      <c r="C1921" s="46"/>
      <c r="D1921" s="49">
        <f t="shared" si="59"/>
        <v>227873</v>
      </c>
    </row>
    <row r="1922" spans="1:4">
      <c r="A1922" s="7" t="str">
        <f>"Beépítetlen terület 1383/3"</f>
        <v>Beépítetlen terület 1383/3</v>
      </c>
      <c r="B1922" s="46">
        <v>495530</v>
      </c>
      <c r="C1922" s="46"/>
      <c r="D1922" s="49">
        <f t="shared" si="59"/>
        <v>495530</v>
      </c>
    </row>
    <row r="1923" spans="1:4">
      <c r="A1923" s="7" t="str">
        <f>"Beépítetlen terület 1383/5"</f>
        <v>Beépítetlen terület 1383/5</v>
      </c>
      <c r="B1923" s="46">
        <v>495530</v>
      </c>
      <c r="C1923" s="46"/>
      <c r="D1923" s="49">
        <f t="shared" si="59"/>
        <v>495530</v>
      </c>
    </row>
    <row r="1924" spans="1:4">
      <c r="A1924" s="7" t="s">
        <v>202</v>
      </c>
      <c r="B1924" s="46">
        <v>25000</v>
      </c>
      <c r="C1924" s="46"/>
      <c r="D1924" s="49">
        <f t="shared" si="59"/>
        <v>25000</v>
      </c>
    </row>
    <row r="1925" spans="1:4">
      <c r="A1925" s="7" t="str">
        <f>"Beépítetlen földterület 654/8"</f>
        <v>Beépítetlen földterület 654/8</v>
      </c>
      <c r="B1925" s="46">
        <v>60000</v>
      </c>
      <c r="C1925" s="46"/>
      <c r="D1925" s="49">
        <f t="shared" si="59"/>
        <v>60000</v>
      </c>
    </row>
    <row r="1926" spans="1:4">
      <c r="A1926" s="7" t="str">
        <f>"Udvar 654/3"</f>
        <v>Udvar 654/3</v>
      </c>
      <c r="B1926" s="46">
        <v>40000</v>
      </c>
      <c r="C1926" s="46"/>
      <c r="D1926" s="49">
        <f t="shared" si="59"/>
        <v>40000</v>
      </c>
    </row>
    <row r="1927" spans="1:4">
      <c r="A1927" s="7" t="str">
        <f>"Rákóczi út 68. 871/5 hrsz"</f>
        <v>Rákóczi út 68. 871/5 hrsz</v>
      </c>
      <c r="B1927" s="46">
        <v>4744860</v>
      </c>
      <c r="C1927" s="46"/>
      <c r="D1927" s="49">
        <f t="shared" si="59"/>
        <v>4744860</v>
      </c>
    </row>
    <row r="1928" spans="1:4">
      <c r="A1928" s="7" t="str">
        <f>"Óvodai konyha Trikál u.4. 201/1"</f>
        <v>Óvodai konyha Trikál u.4. 201/1</v>
      </c>
      <c r="B1928" s="46">
        <v>3160000</v>
      </c>
      <c r="C1928" s="46"/>
      <c r="D1928" s="49">
        <f t="shared" si="59"/>
        <v>3160000</v>
      </c>
    </row>
    <row r="1929" spans="1:4">
      <c r="A1929" s="7" t="s">
        <v>212</v>
      </c>
      <c r="B1929" s="46">
        <v>2346000</v>
      </c>
      <c r="C1929" s="46"/>
      <c r="D1929" s="49">
        <f t="shared" si="59"/>
        <v>2346000</v>
      </c>
    </row>
    <row r="1930" spans="1:4">
      <c r="A1930" s="7" t="str">
        <f>"Mesterséges megt. szántó 064/10"</f>
        <v>Mesterséges megt. szántó 064/10</v>
      </c>
      <c r="B1930" s="46">
        <v>389008</v>
      </c>
      <c r="C1930" s="46"/>
      <c r="D1930" s="49">
        <f t="shared" si="59"/>
        <v>389008</v>
      </c>
    </row>
    <row r="1931" spans="1:4">
      <c r="A1931" s="7" t="str">
        <f>"Mesterséges megt. szábtó 064/12"</f>
        <v>Mesterséges megt. szábtó 064/12</v>
      </c>
      <c r="B1931" s="46">
        <v>4596592</v>
      </c>
      <c r="C1931" s="46"/>
      <c r="D1931" s="49">
        <f t="shared" si="59"/>
        <v>4596592</v>
      </c>
    </row>
    <row r="1932" spans="1:4">
      <c r="A1932" s="7" t="str">
        <f>"Springa földt. 3134/100"</f>
        <v>Springa földt. 3134/100</v>
      </c>
      <c r="B1932" s="46">
        <v>3056600</v>
      </c>
      <c r="C1932" s="46"/>
      <c r="D1932" s="49">
        <f t="shared" si="59"/>
        <v>3056600</v>
      </c>
    </row>
    <row r="1933" spans="1:4">
      <c r="A1933" s="7" t="str">
        <f>"Springa 1835/114"</f>
        <v>Springa 1835/114</v>
      </c>
      <c r="B1933" s="46">
        <v>1745839</v>
      </c>
      <c r="C1933" s="46"/>
      <c r="D1933" s="49">
        <f t="shared" si="59"/>
        <v>1745839</v>
      </c>
    </row>
    <row r="1934" spans="1:4">
      <c r="A1934" s="7" t="str">
        <f>"Nyírjes 8711/1"</f>
        <v>Nyírjes 8711/1</v>
      </c>
      <c r="B1934" s="46">
        <v>83058</v>
      </c>
      <c r="C1934" s="46"/>
      <c r="D1934" s="49">
        <f t="shared" si="59"/>
        <v>83058</v>
      </c>
    </row>
    <row r="1935" spans="1:4">
      <c r="A1935" s="7" t="str">
        <f>"Nyírjes 8711/2"</f>
        <v>Nyírjes 8711/2</v>
      </c>
      <c r="B1935" s="46">
        <v>75898</v>
      </c>
      <c r="C1935" s="46"/>
      <c r="D1935" s="49">
        <f t="shared" si="59"/>
        <v>75898</v>
      </c>
    </row>
    <row r="1936" spans="1:4">
      <c r="A1936" s="7" t="str">
        <f>"Nyírjes 8733/1"</f>
        <v>Nyírjes 8733/1</v>
      </c>
      <c r="B1936" s="46">
        <v>105496</v>
      </c>
      <c r="C1936" s="46"/>
      <c r="D1936" s="49">
        <f t="shared" si="59"/>
        <v>105496</v>
      </c>
    </row>
    <row r="1937" spans="1:4">
      <c r="A1937" s="7" t="str">
        <f>"Nyírjes 8733/2"</f>
        <v>Nyírjes 8733/2</v>
      </c>
      <c r="B1937" s="46">
        <v>105885</v>
      </c>
      <c r="C1937" s="46"/>
      <c r="D1937" s="49">
        <f t="shared" si="59"/>
        <v>105885</v>
      </c>
    </row>
    <row r="1938" spans="1:4">
      <c r="A1938" s="7" t="str">
        <f>"Ipartelep 055/6"</f>
        <v>Ipartelep 055/6</v>
      </c>
      <c r="B1938" s="46">
        <v>5589900</v>
      </c>
      <c r="C1938" s="46"/>
      <c r="D1938" s="49">
        <f t="shared" si="59"/>
        <v>5589900</v>
      </c>
    </row>
    <row r="1939" spans="1:4">
      <c r="A1939" s="7" t="str">
        <f>"Földterület 8721/3"</f>
        <v>Földterület 8721/3</v>
      </c>
      <c r="B1939" s="46">
        <v>70000</v>
      </c>
      <c r="C1939" s="46"/>
      <c r="D1939" s="49">
        <f t="shared" si="59"/>
        <v>70000</v>
      </c>
    </row>
    <row r="1940" spans="1:4">
      <c r="A1940" s="7" t="str">
        <f t="shared" ref="A1940:A1953" si="60">"Állami föld 0154/102"</f>
        <v>Állami föld 0154/102</v>
      </c>
      <c r="B1940" s="46">
        <v>19700</v>
      </c>
      <c r="C1940" s="46"/>
      <c r="D1940" s="49">
        <f t="shared" ref="D1940:D2003" si="61">B1940-C1940</f>
        <v>19700</v>
      </c>
    </row>
    <row r="1941" spans="1:4">
      <c r="A1941" s="7" t="str">
        <f t="shared" si="60"/>
        <v>Állami föld 0154/102</v>
      </c>
      <c r="B1941" s="46">
        <v>19700</v>
      </c>
      <c r="C1941" s="46"/>
      <c r="D1941" s="49">
        <f t="shared" si="61"/>
        <v>19700</v>
      </c>
    </row>
    <row r="1942" spans="1:4">
      <c r="A1942" s="7" t="str">
        <f t="shared" si="60"/>
        <v>Állami föld 0154/102</v>
      </c>
      <c r="B1942" s="46">
        <v>19700</v>
      </c>
      <c r="C1942" s="46"/>
      <c r="D1942" s="49">
        <f t="shared" si="61"/>
        <v>19700</v>
      </c>
    </row>
    <row r="1943" spans="1:4">
      <c r="A1943" s="7" t="str">
        <f t="shared" si="60"/>
        <v>Állami föld 0154/102</v>
      </c>
      <c r="B1943" s="46">
        <v>19700</v>
      </c>
      <c r="C1943" s="46"/>
      <c r="D1943" s="49">
        <f t="shared" si="61"/>
        <v>19700</v>
      </c>
    </row>
    <row r="1944" spans="1:4">
      <c r="A1944" s="7" t="str">
        <f t="shared" si="60"/>
        <v>Állami föld 0154/102</v>
      </c>
      <c r="B1944" s="46">
        <v>19700</v>
      </c>
      <c r="C1944" s="46"/>
      <c r="D1944" s="49">
        <f t="shared" si="61"/>
        <v>19700</v>
      </c>
    </row>
    <row r="1945" spans="1:4">
      <c r="A1945" s="7" t="str">
        <f t="shared" si="60"/>
        <v>Állami föld 0154/102</v>
      </c>
      <c r="B1945" s="46">
        <v>19700</v>
      </c>
      <c r="C1945" s="46"/>
      <c r="D1945" s="49">
        <f t="shared" si="61"/>
        <v>19700</v>
      </c>
    </row>
    <row r="1946" spans="1:4">
      <c r="A1946" s="7" t="str">
        <f t="shared" si="60"/>
        <v>Állami föld 0154/102</v>
      </c>
      <c r="B1946" s="46">
        <v>19700</v>
      </c>
      <c r="C1946" s="46"/>
      <c r="D1946" s="49">
        <f t="shared" si="61"/>
        <v>19700</v>
      </c>
    </row>
    <row r="1947" spans="1:4">
      <c r="A1947" s="7" t="str">
        <f t="shared" si="60"/>
        <v>Állami föld 0154/102</v>
      </c>
      <c r="B1947" s="46">
        <v>19700</v>
      </c>
      <c r="C1947" s="46"/>
      <c r="D1947" s="49">
        <f t="shared" si="61"/>
        <v>19700</v>
      </c>
    </row>
    <row r="1948" spans="1:4">
      <c r="A1948" s="7" t="str">
        <f t="shared" si="60"/>
        <v>Állami föld 0154/102</v>
      </c>
      <c r="B1948" s="46">
        <v>19700</v>
      </c>
      <c r="C1948" s="46"/>
      <c r="D1948" s="49">
        <f t="shared" si="61"/>
        <v>19700</v>
      </c>
    </row>
    <row r="1949" spans="1:4">
      <c r="A1949" s="7" t="str">
        <f t="shared" si="60"/>
        <v>Állami föld 0154/102</v>
      </c>
      <c r="B1949" s="46">
        <v>578200</v>
      </c>
      <c r="C1949" s="46"/>
      <c r="D1949" s="49">
        <f t="shared" si="61"/>
        <v>578200</v>
      </c>
    </row>
    <row r="1950" spans="1:4">
      <c r="A1950" s="7" t="str">
        <f t="shared" si="60"/>
        <v>Állami föld 0154/102</v>
      </c>
      <c r="B1950" s="46">
        <v>578200</v>
      </c>
      <c r="C1950" s="46"/>
      <c r="D1950" s="49">
        <f t="shared" si="61"/>
        <v>578200</v>
      </c>
    </row>
    <row r="1951" spans="1:4">
      <c r="A1951" s="7" t="str">
        <f t="shared" si="60"/>
        <v>Állami föld 0154/102</v>
      </c>
      <c r="B1951" s="46">
        <v>19700</v>
      </c>
      <c r="C1951" s="46"/>
      <c r="D1951" s="49">
        <f t="shared" si="61"/>
        <v>19700</v>
      </c>
    </row>
    <row r="1952" spans="1:4">
      <c r="A1952" s="7" t="str">
        <f t="shared" si="60"/>
        <v>Állami föld 0154/102</v>
      </c>
      <c r="B1952" s="46">
        <v>20400</v>
      </c>
      <c r="C1952" s="46"/>
      <c r="D1952" s="49">
        <f t="shared" si="61"/>
        <v>20400</v>
      </c>
    </row>
    <row r="1953" spans="1:4">
      <c r="A1953" s="7" t="str">
        <f t="shared" si="60"/>
        <v>Állami föld 0154/102</v>
      </c>
      <c r="B1953" s="46">
        <v>558000</v>
      </c>
      <c r="C1953" s="46"/>
      <c r="D1953" s="49">
        <f t="shared" si="61"/>
        <v>558000</v>
      </c>
    </row>
    <row r="1954" spans="1:4">
      <c r="A1954" s="7" t="str">
        <f>"Ipoly folyó régi meder 350/1"</f>
        <v>Ipoly folyó régi meder 350/1</v>
      </c>
      <c r="B1954" s="46">
        <v>98700</v>
      </c>
      <c r="C1954" s="46"/>
      <c r="D1954" s="49">
        <f t="shared" si="61"/>
        <v>98700</v>
      </c>
    </row>
    <row r="1955" spans="1:4">
      <c r="A1955" s="7" t="str">
        <f>"Ipoly folyó régi meder 350/3"</f>
        <v>Ipoly folyó régi meder 350/3</v>
      </c>
      <c r="B1955" s="46">
        <v>317800</v>
      </c>
      <c r="C1955" s="46"/>
      <c r="D1955" s="49">
        <f t="shared" si="61"/>
        <v>317800</v>
      </c>
    </row>
    <row r="1956" spans="1:4">
      <c r="A1956" s="7" t="str">
        <f>"Szondi 15-17.  202/3"</f>
        <v>Szondi 15-17.  202/3</v>
      </c>
      <c r="B1956" s="46">
        <v>4774000</v>
      </c>
      <c r="C1956" s="46"/>
      <c r="D1956" s="49">
        <f t="shared" si="61"/>
        <v>4774000</v>
      </c>
    </row>
    <row r="1957" spans="1:4">
      <c r="A1957" s="7" t="s">
        <v>232</v>
      </c>
      <c r="B1957" s="46">
        <v>200000</v>
      </c>
      <c r="C1957" s="46"/>
      <c r="D1957" s="49">
        <f t="shared" si="61"/>
        <v>200000</v>
      </c>
    </row>
    <row r="1958" spans="1:4">
      <c r="A1958" s="7" t="str">
        <f>"Springa 1835/113"</f>
        <v>Springa 1835/113</v>
      </c>
      <c r="B1958" s="46">
        <v>582070</v>
      </c>
      <c r="C1958" s="46"/>
      <c r="D1958" s="49">
        <f t="shared" si="61"/>
        <v>582070</v>
      </c>
    </row>
    <row r="1959" spans="1:4">
      <c r="A1959" s="7" t="str">
        <f>"Ipari park földterület 3166/16"</f>
        <v>Ipari park földterület 3166/16</v>
      </c>
      <c r="B1959" s="46">
        <v>7172100</v>
      </c>
      <c r="C1959" s="46"/>
      <c r="D1959" s="49">
        <f t="shared" si="61"/>
        <v>7172100</v>
      </c>
    </row>
    <row r="1960" spans="1:4">
      <c r="A1960" s="7" t="str">
        <f>"Balassagyarmat külterület 0158/4"</f>
        <v>Balassagyarmat külterület 0158/4</v>
      </c>
      <c r="B1960" s="46">
        <v>27600</v>
      </c>
      <c r="C1960" s="46"/>
      <c r="D1960" s="49">
        <f t="shared" si="61"/>
        <v>27600</v>
      </c>
    </row>
    <row r="1961" spans="1:4">
      <c r="A1961" s="7" t="str">
        <f>"Elkerülő út földterület 02/2"</f>
        <v>Elkerülő út földterület 02/2</v>
      </c>
      <c r="B1961" s="46">
        <v>2141400</v>
      </c>
      <c r="C1961" s="46"/>
      <c r="D1961" s="49">
        <f t="shared" si="61"/>
        <v>2141400</v>
      </c>
    </row>
    <row r="1962" spans="1:4">
      <c r="A1962" s="7" t="str">
        <f>"Elkerülő út földterület 017/15"</f>
        <v>Elkerülő út földterület 017/15</v>
      </c>
      <c r="B1962" s="46">
        <v>448799</v>
      </c>
      <c r="C1962" s="46"/>
      <c r="D1962" s="49">
        <f t="shared" si="61"/>
        <v>448799</v>
      </c>
    </row>
    <row r="1963" spans="1:4">
      <c r="A1963" s="7" t="s">
        <v>234</v>
      </c>
      <c r="B1963" s="46">
        <v>17011080</v>
      </c>
      <c r="C1963" s="46"/>
      <c r="D1963" s="49">
        <f t="shared" si="61"/>
        <v>17011080</v>
      </c>
    </row>
    <row r="1964" spans="1:4">
      <c r="A1964" s="7" t="s">
        <v>241</v>
      </c>
      <c r="B1964" s="46">
        <v>81100</v>
      </c>
      <c r="C1964" s="46"/>
      <c r="D1964" s="49">
        <f t="shared" si="61"/>
        <v>81100</v>
      </c>
    </row>
    <row r="1965" spans="1:4">
      <c r="A1965" s="7" t="str">
        <f>"Móricz Zs.lakótelep 946/17"</f>
        <v>Móricz Zs.lakótelep 946/17</v>
      </c>
      <c r="B1965" s="46">
        <v>28857580</v>
      </c>
      <c r="C1965" s="46"/>
      <c r="D1965" s="49">
        <f t="shared" si="61"/>
        <v>28857580</v>
      </c>
    </row>
    <row r="1966" spans="1:4">
      <c r="A1966" s="7" t="str">
        <f>"Szántó 041/28"</f>
        <v>Szántó 041/28</v>
      </c>
      <c r="B1966" s="46">
        <v>2471200</v>
      </c>
      <c r="C1966" s="46"/>
      <c r="D1966" s="49">
        <f t="shared" si="61"/>
        <v>2471200</v>
      </c>
    </row>
    <row r="1967" spans="1:4">
      <c r="A1967" s="7" t="str">
        <f>"Zártkert 8751/22"</f>
        <v>Zártkert 8751/22</v>
      </c>
      <c r="B1967" s="46">
        <v>1521000</v>
      </c>
      <c r="C1967" s="46"/>
      <c r="D1967" s="49">
        <f t="shared" si="61"/>
        <v>1521000</v>
      </c>
    </row>
    <row r="1968" spans="1:4">
      <c r="A1968" s="7" t="str">
        <f>"Régi út 16.  5019/1"</f>
        <v>Régi út 16.  5019/1</v>
      </c>
      <c r="B1968" s="46">
        <v>3252986</v>
      </c>
      <c r="C1968" s="46"/>
      <c r="D1968" s="49">
        <f t="shared" si="61"/>
        <v>3252986</v>
      </c>
    </row>
    <row r="1969" spans="1:4">
      <c r="A1969" s="7" t="str">
        <f>"Elkerülő út rét 02/3"</f>
        <v>Elkerülő út rét 02/3</v>
      </c>
      <c r="B1969" s="46">
        <v>188400</v>
      </c>
      <c r="C1969" s="46"/>
      <c r="D1969" s="49">
        <f t="shared" si="61"/>
        <v>188400</v>
      </c>
    </row>
    <row r="1970" spans="1:4">
      <c r="A1970" s="7" t="str">
        <f>"NFA 0154/72"</f>
        <v>NFA 0154/72</v>
      </c>
      <c r="B1970" s="46">
        <v>3066325</v>
      </c>
      <c r="C1970" s="46"/>
      <c r="D1970" s="49">
        <f t="shared" si="61"/>
        <v>3066325</v>
      </c>
    </row>
    <row r="1971" spans="1:4">
      <c r="A1971" s="7" t="str">
        <f>"NFA 0154/86"</f>
        <v>NFA 0154/86</v>
      </c>
      <c r="B1971" s="46">
        <v>2301071</v>
      </c>
      <c r="C1971" s="46"/>
      <c r="D1971" s="49">
        <f t="shared" si="61"/>
        <v>2301071</v>
      </c>
    </row>
    <row r="1972" spans="1:4">
      <c r="A1972" s="7" t="str">
        <f>"NFA 0154/83"</f>
        <v>NFA 0154/83</v>
      </c>
      <c r="B1972" s="46">
        <v>474031</v>
      </c>
      <c r="C1972" s="46"/>
      <c r="D1972" s="49">
        <f t="shared" si="61"/>
        <v>474031</v>
      </c>
    </row>
    <row r="1973" spans="1:4">
      <c r="A1973" s="7" t="str">
        <f>"NFA 0154/58"</f>
        <v>NFA 0154/58</v>
      </c>
      <c r="B1973" s="46">
        <v>399632</v>
      </c>
      <c r="C1973" s="46"/>
      <c r="D1973" s="49">
        <f t="shared" si="61"/>
        <v>399632</v>
      </c>
    </row>
    <row r="1974" spans="1:4">
      <c r="A1974" s="7" t="str">
        <f>"NFA0154/84"</f>
        <v>NFA0154/84</v>
      </c>
      <c r="B1974" s="46">
        <v>136045</v>
      </c>
      <c r="C1974" s="46"/>
      <c r="D1974" s="49">
        <f t="shared" si="61"/>
        <v>136045</v>
      </c>
    </row>
    <row r="1975" spans="1:4">
      <c r="A1975" s="7" t="str">
        <f>"NFA 0154/81"</f>
        <v>NFA 0154/81</v>
      </c>
      <c r="B1975" s="46">
        <v>65896</v>
      </c>
      <c r="C1975" s="46"/>
      <c r="D1975" s="49">
        <f t="shared" si="61"/>
        <v>65896</v>
      </c>
    </row>
    <row r="1976" spans="1:4">
      <c r="A1976" s="7" t="str">
        <f>"Balassagyarmat 061/1. szántó"</f>
        <v>Balassagyarmat 061/1. szántó</v>
      </c>
      <c r="B1976" s="46">
        <v>10517000</v>
      </c>
      <c r="C1976" s="46"/>
      <c r="D1976" s="49">
        <f t="shared" si="61"/>
        <v>10517000</v>
      </c>
    </row>
    <row r="1977" spans="1:4">
      <c r="A1977" s="7" t="str">
        <f>"Balassagyarmat 061/2 szántó "</f>
        <v xml:space="preserve">Balassagyarmat 061/2 szántó </v>
      </c>
      <c r="B1977" s="46">
        <v>6961000</v>
      </c>
      <c r="C1977" s="46"/>
      <c r="D1977" s="49">
        <f t="shared" si="61"/>
        <v>6961000</v>
      </c>
    </row>
    <row r="1978" spans="1:4">
      <c r="A1978" s="7" t="str">
        <f>"Balassagyarmat 061/4"</f>
        <v>Balassagyarmat 061/4</v>
      </c>
      <c r="B1978" s="46">
        <v>735000</v>
      </c>
      <c r="C1978" s="46"/>
      <c r="D1978" s="49">
        <f t="shared" si="61"/>
        <v>735000</v>
      </c>
    </row>
    <row r="1979" spans="1:4">
      <c r="A1979" s="7" t="str">
        <f>"Balassagyarmat 061/43"</f>
        <v>Balassagyarmat 061/43</v>
      </c>
      <c r="B1979" s="46">
        <v>1621000</v>
      </c>
      <c r="C1979" s="46"/>
      <c r="D1979" s="49">
        <f t="shared" si="61"/>
        <v>1621000</v>
      </c>
    </row>
    <row r="1980" spans="1:4">
      <c r="A1980" s="7" t="str">
        <f>"Balassagyarmat 061/41"</f>
        <v>Balassagyarmat 061/41</v>
      </c>
      <c r="B1980" s="46">
        <v>8462000</v>
      </c>
      <c r="C1980" s="46"/>
      <c r="D1980" s="49">
        <f t="shared" si="61"/>
        <v>8462000</v>
      </c>
    </row>
    <row r="1981" spans="1:4">
      <c r="A1981" s="7" t="str">
        <f>"Balassagyarmat 061/42"</f>
        <v>Balassagyarmat 061/42</v>
      </c>
      <c r="B1981" s="46">
        <v>20898000</v>
      </c>
      <c r="C1981" s="46"/>
      <c r="D1981" s="49">
        <f t="shared" si="61"/>
        <v>20898000</v>
      </c>
    </row>
    <row r="1982" spans="1:4">
      <c r="A1982" s="7" t="s">
        <v>375</v>
      </c>
      <c r="B1982" s="46">
        <v>66103759</v>
      </c>
      <c r="C1982" s="46"/>
      <c r="D1982" s="49">
        <f t="shared" si="61"/>
        <v>66103759</v>
      </c>
    </row>
    <row r="1983" spans="1:4">
      <c r="A1983" s="17" t="s">
        <v>2110</v>
      </c>
      <c r="B1983" s="18">
        <f>SUM(B1876:B1982)</f>
        <v>296411710</v>
      </c>
      <c r="C1983" s="18">
        <f t="shared" ref="C1983:D1983" si="62">SUM(C1876:C1982)</f>
        <v>0</v>
      </c>
      <c r="D1983" s="23">
        <f t="shared" si="62"/>
        <v>296411710</v>
      </c>
    </row>
    <row r="1984" spans="1:4">
      <c r="A1984" s="7" t="str">
        <f>"Káptalanfüred 0114/8"</f>
        <v>Káptalanfüred 0114/8</v>
      </c>
      <c r="B1984" s="46">
        <v>1755000</v>
      </c>
      <c r="C1984" s="46"/>
      <c r="D1984" s="49">
        <f t="shared" si="61"/>
        <v>1755000</v>
      </c>
    </row>
    <row r="1985" spans="1:4">
      <c r="A1985" s="7" t="s">
        <v>23</v>
      </c>
      <c r="B1985" s="46">
        <v>30800</v>
      </c>
      <c r="C1985" s="46"/>
      <c r="D1985" s="49">
        <f t="shared" si="61"/>
        <v>30800</v>
      </c>
    </row>
    <row r="1986" spans="1:4">
      <c r="A1986" s="7" t="s">
        <v>23</v>
      </c>
      <c r="B1986" s="46">
        <v>32200</v>
      </c>
      <c r="C1986" s="46"/>
      <c r="D1986" s="49">
        <f t="shared" si="61"/>
        <v>32200</v>
      </c>
    </row>
    <row r="1987" spans="1:4">
      <c r="A1987" s="7" t="str">
        <f>"Achim út 1237/12-1237/31 telkek"</f>
        <v>Achim út 1237/12-1237/31 telkek</v>
      </c>
      <c r="B1987" s="46">
        <v>360000</v>
      </c>
      <c r="C1987" s="46"/>
      <c r="D1987" s="49">
        <f t="shared" si="61"/>
        <v>360000</v>
      </c>
    </row>
    <row r="1988" spans="1:4">
      <c r="A1988" s="7" t="s">
        <v>24</v>
      </c>
      <c r="B1988" s="46">
        <v>4122000</v>
      </c>
      <c r="C1988" s="46"/>
      <c r="D1988" s="49">
        <f t="shared" si="61"/>
        <v>4122000</v>
      </c>
    </row>
    <row r="1989" spans="1:4">
      <c r="A1989" s="7" t="s">
        <v>25</v>
      </c>
      <c r="B1989" s="46">
        <v>114000</v>
      </c>
      <c r="C1989" s="46"/>
      <c r="D1989" s="49">
        <f t="shared" si="61"/>
        <v>114000</v>
      </c>
    </row>
    <row r="1990" spans="1:4">
      <c r="A1990" s="7" t="s">
        <v>26</v>
      </c>
      <c r="B1990" s="46">
        <v>1768000</v>
      </c>
      <c r="C1990" s="46"/>
      <c r="D1990" s="49">
        <f t="shared" si="61"/>
        <v>1768000</v>
      </c>
    </row>
    <row r="1991" spans="1:4">
      <c r="A1991" s="7" t="s">
        <v>26</v>
      </c>
      <c r="B1991" s="46">
        <v>2024000</v>
      </c>
      <c r="C1991" s="46"/>
      <c r="D1991" s="49">
        <f t="shared" si="61"/>
        <v>2024000</v>
      </c>
    </row>
    <row r="1992" spans="1:4">
      <c r="A1992" s="7" t="s">
        <v>27</v>
      </c>
      <c r="B1992" s="46">
        <v>64000</v>
      </c>
      <c r="C1992" s="46"/>
      <c r="D1992" s="49">
        <f t="shared" si="61"/>
        <v>64000</v>
      </c>
    </row>
    <row r="1993" spans="1:4">
      <c r="A1993" s="7" t="s">
        <v>28</v>
      </c>
      <c r="B1993" s="46">
        <v>749000</v>
      </c>
      <c r="C1993" s="46"/>
      <c r="D1993" s="49">
        <f t="shared" si="61"/>
        <v>749000</v>
      </c>
    </row>
    <row r="1994" spans="1:4">
      <c r="A1994" s="7" t="s">
        <v>29</v>
      </c>
      <c r="B1994" s="46">
        <v>268000</v>
      </c>
      <c r="C1994" s="46"/>
      <c r="D1994" s="49">
        <f t="shared" si="61"/>
        <v>268000</v>
      </c>
    </row>
    <row r="1995" spans="1:4">
      <c r="A1995" s="7" t="s">
        <v>24</v>
      </c>
      <c r="B1995" s="46">
        <v>181000</v>
      </c>
      <c r="C1995" s="46"/>
      <c r="D1995" s="49">
        <f t="shared" si="61"/>
        <v>181000</v>
      </c>
    </row>
    <row r="1996" spans="1:4">
      <c r="A1996" s="7" t="s">
        <v>30</v>
      </c>
      <c r="B1996" s="46">
        <v>872000</v>
      </c>
      <c r="C1996" s="46"/>
      <c r="D1996" s="49">
        <f t="shared" si="61"/>
        <v>872000</v>
      </c>
    </row>
    <row r="1997" spans="1:4">
      <c r="A1997" s="7" t="s">
        <v>31</v>
      </c>
      <c r="B1997" s="46">
        <v>892000</v>
      </c>
      <c r="C1997" s="46"/>
      <c r="D1997" s="49">
        <f t="shared" si="61"/>
        <v>892000</v>
      </c>
    </row>
    <row r="1998" spans="1:4">
      <c r="A1998" s="7" t="str">
        <f>"Honti út 2637/35"</f>
        <v>Honti út 2637/35</v>
      </c>
      <c r="B1998" s="46">
        <v>1371000</v>
      </c>
      <c r="C1998" s="46"/>
      <c r="D1998" s="49">
        <f t="shared" si="61"/>
        <v>1371000</v>
      </c>
    </row>
    <row r="1999" spans="1:4">
      <c r="A1999" s="7" t="str">
        <f>"Honti út 2637/31"</f>
        <v>Honti út 2637/31</v>
      </c>
      <c r="B1999" s="46">
        <v>4788500</v>
      </c>
      <c r="C1999" s="46"/>
      <c r="D1999" s="49">
        <f t="shared" si="61"/>
        <v>4788500</v>
      </c>
    </row>
    <row r="2000" spans="1:4">
      <c r="A2000" s="7" t="s">
        <v>32</v>
      </c>
      <c r="B2000" s="46">
        <v>110400</v>
      </c>
      <c r="C2000" s="46"/>
      <c r="D2000" s="49">
        <f t="shared" si="61"/>
        <v>110400</v>
      </c>
    </row>
    <row r="2001" spans="1:4">
      <c r="A2001" s="7" t="s">
        <v>33</v>
      </c>
      <c r="B2001" s="46">
        <v>4572500</v>
      </c>
      <c r="C2001" s="46"/>
      <c r="D2001" s="49">
        <f t="shared" si="61"/>
        <v>4572500</v>
      </c>
    </row>
    <row r="2002" spans="1:4">
      <c r="A2002" s="7" t="s">
        <v>33</v>
      </c>
      <c r="B2002" s="46">
        <v>908000</v>
      </c>
      <c r="C2002" s="46"/>
      <c r="D2002" s="49">
        <f t="shared" si="61"/>
        <v>908000</v>
      </c>
    </row>
    <row r="2003" spans="1:4">
      <c r="A2003" s="7" t="s">
        <v>34</v>
      </c>
      <c r="B2003" s="46">
        <v>316800</v>
      </c>
      <c r="C2003" s="46"/>
      <c r="D2003" s="49">
        <f t="shared" si="61"/>
        <v>316800</v>
      </c>
    </row>
    <row r="2004" spans="1:4">
      <c r="A2004" s="7" t="s">
        <v>35</v>
      </c>
      <c r="B2004" s="46">
        <v>184000</v>
      </c>
      <c r="C2004" s="46"/>
      <c r="D2004" s="49">
        <f t="shared" ref="D2004:D2061" si="63">B2004-C2004</f>
        <v>184000</v>
      </c>
    </row>
    <row r="2005" spans="1:4">
      <c r="A2005" s="7" t="s">
        <v>31</v>
      </c>
      <c r="B2005" s="46">
        <v>29127500</v>
      </c>
      <c r="C2005" s="46"/>
      <c r="D2005" s="49">
        <f t="shared" si="63"/>
        <v>29127500</v>
      </c>
    </row>
    <row r="2006" spans="1:4">
      <c r="A2006" s="7" t="s">
        <v>36</v>
      </c>
      <c r="B2006" s="46">
        <v>4247000</v>
      </c>
      <c r="C2006" s="46"/>
      <c r="D2006" s="49">
        <f t="shared" si="63"/>
        <v>4247000</v>
      </c>
    </row>
    <row r="2007" spans="1:4">
      <c r="A2007" s="7" t="s">
        <v>42</v>
      </c>
      <c r="B2007" s="46">
        <v>1315200</v>
      </c>
      <c r="C2007" s="46"/>
      <c r="D2007" s="49">
        <f t="shared" si="63"/>
        <v>1315200</v>
      </c>
    </row>
    <row r="2008" spans="1:4">
      <c r="A2008" s="7" t="s">
        <v>43</v>
      </c>
      <c r="B2008" s="46">
        <v>464000</v>
      </c>
      <c r="C2008" s="46"/>
      <c r="D2008" s="49">
        <f t="shared" si="63"/>
        <v>464000</v>
      </c>
    </row>
    <row r="2009" spans="1:4">
      <c r="A2009" s="7" t="s">
        <v>44</v>
      </c>
      <c r="B2009" s="46">
        <v>795000</v>
      </c>
      <c r="C2009" s="46"/>
      <c r="D2009" s="49">
        <f t="shared" si="63"/>
        <v>795000</v>
      </c>
    </row>
    <row r="2010" spans="1:4">
      <c r="A2010" s="7" t="str">
        <f>"Névtelen tér 1971/4"</f>
        <v>Névtelen tér 1971/4</v>
      </c>
      <c r="B2010" s="46">
        <v>2540400</v>
      </c>
      <c r="C2010" s="46"/>
      <c r="D2010" s="49">
        <f t="shared" si="63"/>
        <v>2540400</v>
      </c>
    </row>
    <row r="2011" spans="1:4">
      <c r="A2011" s="7" t="s">
        <v>45</v>
      </c>
      <c r="B2011" s="46">
        <v>137800</v>
      </c>
      <c r="C2011" s="46"/>
      <c r="D2011" s="49">
        <f t="shared" si="63"/>
        <v>137800</v>
      </c>
    </row>
    <row r="2012" spans="1:4">
      <c r="A2012" s="7" t="str">
        <f>"Beépítetlen 2800/1"</f>
        <v>Beépítetlen 2800/1</v>
      </c>
      <c r="B2012" s="46">
        <v>204000</v>
      </c>
      <c r="C2012" s="46"/>
      <c r="D2012" s="49">
        <f t="shared" si="63"/>
        <v>204000</v>
      </c>
    </row>
    <row r="2013" spans="1:4">
      <c r="A2013" s="7" t="str">
        <f>"Beépítetlen 3134/32"</f>
        <v>Beépítetlen 3134/32</v>
      </c>
      <c r="B2013" s="46">
        <v>31200</v>
      </c>
      <c r="C2013" s="46"/>
      <c r="D2013" s="49">
        <f t="shared" si="63"/>
        <v>31200</v>
      </c>
    </row>
    <row r="2014" spans="1:4">
      <c r="A2014" s="7" t="str">
        <f>"Kiépítetlen terület 3134/91"</f>
        <v>Kiépítetlen terület 3134/91</v>
      </c>
      <c r="B2014" s="46">
        <v>22800</v>
      </c>
      <c r="C2014" s="46"/>
      <c r="D2014" s="49">
        <f t="shared" si="63"/>
        <v>22800</v>
      </c>
    </row>
    <row r="2015" spans="1:4">
      <c r="A2015" s="7" t="str">
        <f>"Beépítetlen terület 3134/98"</f>
        <v>Beépítetlen terület 3134/98</v>
      </c>
      <c r="B2015" s="46">
        <v>32400</v>
      </c>
      <c r="C2015" s="46"/>
      <c r="D2015" s="49">
        <f t="shared" si="63"/>
        <v>32400</v>
      </c>
    </row>
    <row r="2016" spans="1:4">
      <c r="A2016" s="7" t="str">
        <f>"Telephely 3173/2"</f>
        <v>Telephely 3173/2</v>
      </c>
      <c r="B2016" s="46">
        <v>15886500</v>
      </c>
      <c r="C2016" s="46"/>
      <c r="D2016" s="49">
        <f t="shared" si="63"/>
        <v>15886500</v>
      </c>
    </row>
    <row r="2017" spans="1:4">
      <c r="A2017" s="7" t="str">
        <f>"Telephely 3173/3"</f>
        <v>Telephely 3173/3</v>
      </c>
      <c r="B2017" s="46">
        <v>7035000</v>
      </c>
      <c r="C2017" s="46"/>
      <c r="D2017" s="49">
        <f t="shared" si="63"/>
        <v>7035000</v>
      </c>
    </row>
    <row r="2018" spans="1:4">
      <c r="A2018" s="7" t="s">
        <v>50</v>
      </c>
      <c r="B2018" s="46">
        <v>1200000</v>
      </c>
      <c r="C2018" s="46"/>
      <c r="D2018" s="49">
        <f t="shared" si="63"/>
        <v>1200000</v>
      </c>
    </row>
    <row r="2019" spans="1:4">
      <c r="A2019" s="7" t="s">
        <v>51</v>
      </c>
      <c r="B2019" s="46">
        <v>1400000</v>
      </c>
      <c r="C2019" s="46"/>
      <c r="D2019" s="49">
        <f t="shared" si="63"/>
        <v>1400000</v>
      </c>
    </row>
    <row r="2020" spans="1:4">
      <c r="A2020" s="7" t="s">
        <v>52</v>
      </c>
      <c r="B2020" s="46">
        <v>220000</v>
      </c>
      <c r="C2020" s="46"/>
      <c r="D2020" s="49">
        <f t="shared" si="63"/>
        <v>220000</v>
      </c>
    </row>
    <row r="2021" spans="1:4">
      <c r="A2021" s="7" t="s">
        <v>56</v>
      </c>
      <c r="B2021" s="46">
        <v>274000</v>
      </c>
      <c r="C2021" s="46"/>
      <c r="D2021" s="49">
        <f t="shared" si="63"/>
        <v>274000</v>
      </c>
    </row>
    <row r="2022" spans="1:4">
      <c r="A2022" s="7" t="str">
        <f>"Rákóczi u.16 udvar          509/1"</f>
        <v>Rákóczi u.16 udvar          509/1</v>
      </c>
      <c r="B2022" s="46">
        <v>1124000</v>
      </c>
      <c r="C2022" s="46"/>
      <c r="D2022" s="49">
        <f t="shared" si="63"/>
        <v>1124000</v>
      </c>
    </row>
    <row r="2023" spans="1:4">
      <c r="A2023" s="7" t="str">
        <f>"Zichy út udvar              595/1"</f>
        <v>Zichy út udvar              595/1</v>
      </c>
      <c r="B2023" s="46">
        <v>945000</v>
      </c>
      <c r="C2023" s="46"/>
      <c r="D2023" s="49">
        <f t="shared" si="63"/>
        <v>945000</v>
      </c>
    </row>
    <row r="2024" spans="1:4">
      <c r="A2024" s="7" t="s">
        <v>175</v>
      </c>
      <c r="B2024" s="46">
        <v>344000</v>
      </c>
      <c r="C2024" s="46"/>
      <c r="D2024" s="49">
        <f t="shared" si="63"/>
        <v>344000</v>
      </c>
    </row>
    <row r="2025" spans="1:4">
      <c r="A2025" s="7" t="s">
        <v>186</v>
      </c>
      <c r="B2025" s="46">
        <v>997000</v>
      </c>
      <c r="C2025" s="46"/>
      <c r="D2025" s="49">
        <f t="shared" si="63"/>
        <v>997000</v>
      </c>
    </row>
    <row r="2026" spans="1:4">
      <c r="A2026" s="7" t="str">
        <f>"Telek 015/1"</f>
        <v>Telek 015/1</v>
      </c>
      <c r="B2026" s="46">
        <v>2677200</v>
      </c>
      <c r="C2026" s="46"/>
      <c r="D2026" s="49">
        <f t="shared" si="63"/>
        <v>2677200</v>
      </c>
    </row>
    <row r="2027" spans="1:4">
      <c r="A2027" s="7" t="str">
        <f>"Telek 015/3"</f>
        <v>Telek 015/3</v>
      </c>
      <c r="B2027" s="46">
        <v>3833400</v>
      </c>
      <c r="C2027" s="46"/>
      <c r="D2027" s="49">
        <f t="shared" si="63"/>
        <v>3833400</v>
      </c>
    </row>
    <row r="2028" spans="1:4">
      <c r="A2028" s="7" t="str">
        <f>"Telek 017/14"</f>
        <v>Telek 017/14</v>
      </c>
      <c r="B2028" s="46">
        <v>7446900</v>
      </c>
      <c r="C2028" s="46"/>
      <c r="D2028" s="49">
        <f t="shared" si="63"/>
        <v>7446900</v>
      </c>
    </row>
    <row r="2029" spans="1:4">
      <c r="A2029" s="7" t="str">
        <f>"Telek 025/10"</f>
        <v>Telek 025/10</v>
      </c>
      <c r="B2029" s="46">
        <v>348900</v>
      </c>
      <c r="C2029" s="46"/>
      <c r="D2029" s="49">
        <f t="shared" si="63"/>
        <v>348900</v>
      </c>
    </row>
    <row r="2030" spans="1:4">
      <c r="A2030" s="7" t="str">
        <f>"Béri Balogh gar 1236/94"</f>
        <v>Béri Balogh gar 1236/94</v>
      </c>
      <c r="B2030" s="46">
        <v>1475000</v>
      </c>
      <c r="C2030" s="46"/>
      <c r="D2030" s="49">
        <f t="shared" si="63"/>
        <v>1475000</v>
      </c>
    </row>
    <row r="2031" spans="1:4">
      <c r="A2031" s="7" t="s">
        <v>200</v>
      </c>
      <c r="B2031" s="46">
        <v>9900000</v>
      </c>
      <c r="C2031" s="46"/>
      <c r="D2031" s="49">
        <f t="shared" si="63"/>
        <v>9900000</v>
      </c>
    </row>
    <row r="2032" spans="1:4">
      <c r="A2032" s="7" t="str">
        <f>"Béri Balogh Á 1236/97"</f>
        <v>Béri Balogh Á 1236/97</v>
      </c>
      <c r="B2032" s="46">
        <v>345130</v>
      </c>
      <c r="C2032" s="46"/>
      <c r="D2032" s="49">
        <f t="shared" si="63"/>
        <v>345130</v>
      </c>
    </row>
    <row r="2033" spans="1:4">
      <c r="A2033" s="7" t="str">
        <f>"Beépítetlen terület 1648/2"</f>
        <v>Beépítetlen terület 1648/2</v>
      </c>
      <c r="B2033" s="46">
        <v>27800</v>
      </c>
      <c r="C2033" s="46"/>
      <c r="D2033" s="49">
        <f t="shared" si="63"/>
        <v>27800</v>
      </c>
    </row>
    <row r="2034" spans="1:4">
      <c r="A2034" s="7" t="s">
        <v>203</v>
      </c>
      <c r="B2034" s="46">
        <v>8951584</v>
      </c>
      <c r="C2034" s="46"/>
      <c r="D2034" s="49">
        <f t="shared" si="63"/>
        <v>8951584</v>
      </c>
    </row>
    <row r="2035" spans="1:4">
      <c r="A2035" s="7" t="s">
        <v>205</v>
      </c>
      <c r="B2035" s="46">
        <v>480000</v>
      </c>
      <c r="C2035" s="46"/>
      <c r="D2035" s="49">
        <f t="shared" si="63"/>
        <v>480000</v>
      </c>
    </row>
    <row r="2036" spans="1:4">
      <c r="A2036" s="7" t="s">
        <v>210</v>
      </c>
      <c r="B2036" s="46">
        <v>1744000</v>
      </c>
      <c r="C2036" s="46"/>
      <c r="D2036" s="49">
        <f t="shared" si="63"/>
        <v>1744000</v>
      </c>
    </row>
    <row r="2037" spans="1:4">
      <c r="A2037" s="7" t="s">
        <v>211</v>
      </c>
      <c r="B2037" s="46">
        <v>183300</v>
      </c>
      <c r="C2037" s="46"/>
      <c r="D2037" s="49">
        <f t="shared" si="63"/>
        <v>183300</v>
      </c>
    </row>
    <row r="2038" spans="1:4">
      <c r="A2038" s="7" t="s">
        <v>213</v>
      </c>
      <c r="B2038" s="46">
        <v>386000</v>
      </c>
      <c r="C2038" s="46"/>
      <c r="D2038" s="49">
        <f t="shared" si="63"/>
        <v>386000</v>
      </c>
    </row>
    <row r="2039" spans="1:4">
      <c r="A2039" s="7" t="str">
        <f>"Springa 1835/115 telek"</f>
        <v>Springa 1835/115 telek</v>
      </c>
      <c r="B2039" s="46">
        <v>1135621</v>
      </c>
      <c r="C2039" s="46"/>
      <c r="D2039" s="49">
        <f t="shared" si="63"/>
        <v>1135621</v>
      </c>
    </row>
    <row r="2040" spans="1:4">
      <c r="A2040" s="7" t="str">
        <f>"Springa 1835/116 telek"</f>
        <v>Springa 1835/116 telek</v>
      </c>
      <c r="B2040" s="46">
        <v>235789</v>
      </c>
      <c r="C2040" s="46"/>
      <c r="D2040" s="49">
        <f t="shared" si="63"/>
        <v>235789</v>
      </c>
    </row>
    <row r="2041" spans="1:4">
      <c r="A2041" s="7" t="str">
        <f>"Springa 1835/117 telek"</f>
        <v>Springa 1835/117 telek</v>
      </c>
      <c r="B2041" s="46">
        <v>235789</v>
      </c>
      <c r="C2041" s="46"/>
      <c r="D2041" s="49">
        <f t="shared" si="63"/>
        <v>235789</v>
      </c>
    </row>
    <row r="2042" spans="1:4">
      <c r="A2042" s="7" t="str">
        <f>"Springa 1835/118 telek"</f>
        <v>Springa 1835/118 telek</v>
      </c>
      <c r="B2042" s="46">
        <v>235789</v>
      </c>
      <c r="C2042" s="46"/>
      <c r="D2042" s="49">
        <f t="shared" si="63"/>
        <v>235789</v>
      </c>
    </row>
    <row r="2043" spans="1:4">
      <c r="A2043" s="7" t="str">
        <f>"Nyírjes 5234/4"</f>
        <v>Nyírjes 5234/4</v>
      </c>
      <c r="B2043" s="46">
        <v>4909193</v>
      </c>
      <c r="C2043" s="46"/>
      <c r="D2043" s="49">
        <f t="shared" si="63"/>
        <v>4909193</v>
      </c>
    </row>
    <row r="2044" spans="1:4">
      <c r="A2044" s="7" t="str">
        <f>"Nyírjes 5234/7"</f>
        <v>Nyírjes 5234/7</v>
      </c>
      <c r="B2044" s="46">
        <v>619982</v>
      </c>
      <c r="C2044" s="46"/>
      <c r="D2044" s="49">
        <f t="shared" si="63"/>
        <v>619982</v>
      </c>
    </row>
    <row r="2045" spans="1:4">
      <c r="A2045" s="7" t="str">
        <f>"Nyírjes 5234/8"</f>
        <v>Nyírjes 5234/8</v>
      </c>
      <c r="B2045" s="46">
        <v>619982</v>
      </c>
      <c r="C2045" s="46"/>
      <c r="D2045" s="49">
        <f t="shared" si="63"/>
        <v>619982</v>
      </c>
    </row>
    <row r="2046" spans="1:4">
      <c r="A2046" s="7" t="str">
        <f>"Nyírjes 5234/9"</f>
        <v>Nyírjes 5234/9</v>
      </c>
      <c r="B2046" s="46">
        <v>619982</v>
      </c>
      <c r="C2046" s="46"/>
      <c r="D2046" s="49">
        <f t="shared" si="63"/>
        <v>619982</v>
      </c>
    </row>
    <row r="2047" spans="1:4">
      <c r="A2047" s="7" t="str">
        <f>"Nyírjes 5234/10"</f>
        <v>Nyírjes 5234/10</v>
      </c>
      <c r="B2047" s="46">
        <v>621315</v>
      </c>
      <c r="C2047" s="46"/>
      <c r="D2047" s="49">
        <f t="shared" si="63"/>
        <v>621315</v>
      </c>
    </row>
    <row r="2048" spans="1:4">
      <c r="A2048" s="7" t="str">
        <f>"Nyírjes 5234/12"</f>
        <v>Nyírjes 5234/12</v>
      </c>
      <c r="B2048" s="46">
        <v>622648</v>
      </c>
      <c r="C2048" s="46"/>
      <c r="D2048" s="49">
        <f t="shared" si="63"/>
        <v>622648</v>
      </c>
    </row>
    <row r="2049" spans="1:4">
      <c r="A2049" s="7" t="str">
        <f>"Nyírjes 5234/13"</f>
        <v>Nyírjes 5234/13</v>
      </c>
      <c r="B2049" s="46">
        <v>622648</v>
      </c>
      <c r="C2049" s="46"/>
      <c r="D2049" s="49">
        <f t="shared" si="63"/>
        <v>622648</v>
      </c>
    </row>
    <row r="2050" spans="1:4">
      <c r="A2050" s="7" t="str">
        <f>"Régi u. 16.      5019/3"</f>
        <v>Régi u. 16.      5019/3</v>
      </c>
      <c r="B2050" s="46">
        <v>118455</v>
      </c>
      <c r="C2050" s="46"/>
      <c r="D2050" s="49">
        <f t="shared" si="63"/>
        <v>118455</v>
      </c>
    </row>
    <row r="2051" spans="1:4">
      <c r="A2051" s="7" t="str">
        <f>"Temető u.27.     1768/1"</f>
        <v>Temető u.27.     1768/1</v>
      </c>
      <c r="B2051" s="46">
        <v>962000</v>
      </c>
      <c r="C2051" s="46"/>
      <c r="D2051" s="49">
        <f t="shared" si="63"/>
        <v>962000</v>
      </c>
    </row>
    <row r="2052" spans="1:4">
      <c r="A2052" s="7" t="s">
        <v>220</v>
      </c>
      <c r="B2052" s="46">
        <v>484000</v>
      </c>
      <c r="C2052" s="46"/>
      <c r="D2052" s="49">
        <f t="shared" si="63"/>
        <v>484000</v>
      </c>
    </row>
    <row r="2053" spans="1:4">
      <c r="A2053" s="7" t="str">
        <f>"Külterület 0130/2"</f>
        <v>Külterület 0130/2</v>
      </c>
      <c r="B2053" s="46">
        <v>492300</v>
      </c>
      <c r="C2053" s="46"/>
      <c r="D2053" s="49">
        <f t="shared" si="63"/>
        <v>492300</v>
      </c>
    </row>
    <row r="2054" spans="1:4">
      <c r="A2054" s="7" t="str">
        <f>"Vak Bottyán 3183/1"</f>
        <v>Vak Bottyán 3183/1</v>
      </c>
      <c r="B2054" s="46">
        <v>495530</v>
      </c>
      <c r="C2054" s="46"/>
      <c r="D2054" s="49">
        <f t="shared" si="63"/>
        <v>495530</v>
      </c>
    </row>
    <row r="2055" spans="1:4">
      <c r="A2055" s="7" t="str">
        <f>"Vak Bottyán 3183/2"</f>
        <v>Vak Bottyán 3183/2</v>
      </c>
      <c r="B2055" s="46">
        <v>495530</v>
      </c>
      <c r="C2055" s="46"/>
      <c r="D2055" s="49">
        <f t="shared" si="63"/>
        <v>495530</v>
      </c>
    </row>
    <row r="2056" spans="1:4">
      <c r="A2056" s="7" t="str">
        <f>"Vak Bottyán 3183/3"</f>
        <v>Vak Bottyán 3183/3</v>
      </c>
      <c r="B2056" s="46">
        <v>495530</v>
      </c>
      <c r="C2056" s="46"/>
      <c r="D2056" s="49">
        <f t="shared" si="63"/>
        <v>495530</v>
      </c>
    </row>
    <row r="2057" spans="1:4">
      <c r="A2057" s="7" t="str">
        <f>"Vak Bottyán 3183/4"</f>
        <v>Vak Bottyán 3183/4</v>
      </c>
      <c r="B2057" s="46">
        <v>495530</v>
      </c>
      <c r="C2057" s="46"/>
      <c r="D2057" s="49">
        <f t="shared" si="63"/>
        <v>495530</v>
      </c>
    </row>
    <row r="2058" spans="1:4">
      <c r="A2058" s="7" t="str">
        <f>"Vak Bottyán 3183/5"</f>
        <v>Vak Bottyán 3183/5</v>
      </c>
      <c r="B2058" s="46">
        <v>495530</v>
      </c>
      <c r="C2058" s="46"/>
      <c r="D2058" s="49">
        <f t="shared" si="63"/>
        <v>495530</v>
      </c>
    </row>
    <row r="2059" spans="1:4">
      <c r="A2059" s="7" t="str">
        <f>"Vak Bottyán 3183/7"</f>
        <v>Vak Bottyán 3183/7</v>
      </c>
      <c r="B2059" s="46">
        <v>495530</v>
      </c>
      <c r="C2059" s="46"/>
      <c r="D2059" s="49">
        <f t="shared" si="63"/>
        <v>495530</v>
      </c>
    </row>
    <row r="2060" spans="1:4">
      <c r="A2060" s="7" t="str">
        <f>"Vak Bottyán 3183/8"</f>
        <v>Vak Bottyán 3183/8</v>
      </c>
      <c r="B2060" s="46">
        <v>495530</v>
      </c>
      <c r="C2060" s="46"/>
      <c r="D2060" s="49">
        <f t="shared" si="63"/>
        <v>495530</v>
      </c>
    </row>
    <row r="2061" spans="1:4">
      <c r="A2061" s="7" t="str">
        <f>"Vak Bottyán 3183/9"</f>
        <v>Vak Bottyán 3183/9</v>
      </c>
      <c r="B2061" s="46">
        <v>495530</v>
      </c>
      <c r="C2061" s="46"/>
      <c r="D2061" s="49">
        <f t="shared" si="63"/>
        <v>495530</v>
      </c>
    </row>
    <row r="2062" spans="1:4">
      <c r="A2062" s="7" t="s">
        <v>223</v>
      </c>
      <c r="B2062" s="46">
        <v>2209000</v>
      </c>
      <c r="C2062" s="46"/>
      <c r="D2062" s="49">
        <f t="shared" ref="D2062:D2124" si="64">B2062-C2062</f>
        <v>2209000</v>
      </c>
    </row>
    <row r="2063" spans="1:4">
      <c r="A2063" s="7" t="s">
        <v>224</v>
      </c>
      <c r="B2063" s="46">
        <v>1123000</v>
      </c>
      <c r="C2063" s="46"/>
      <c r="D2063" s="49">
        <f t="shared" si="64"/>
        <v>1123000</v>
      </c>
    </row>
    <row r="2064" spans="1:4">
      <c r="A2064" s="7" t="str">
        <f>"Névtelen út Vak B. 3183/6"</f>
        <v>Névtelen út Vak B. 3183/6</v>
      </c>
      <c r="B2064" s="46">
        <v>514177</v>
      </c>
      <c r="C2064" s="46"/>
      <c r="D2064" s="49">
        <f t="shared" si="64"/>
        <v>514177</v>
      </c>
    </row>
    <row r="2065" spans="1:4">
      <c r="A2065" s="7" t="str">
        <f>"Névtelen út Vak B. 3183/12"</f>
        <v>Névtelen út Vak B. 3183/12</v>
      </c>
      <c r="B2065" s="46">
        <v>303188</v>
      </c>
      <c r="C2065" s="46"/>
      <c r="D2065" s="49">
        <f t="shared" si="64"/>
        <v>303188</v>
      </c>
    </row>
    <row r="2066" spans="1:4">
      <c r="A2066" s="7" t="s">
        <v>225</v>
      </c>
      <c r="B2066" s="46">
        <v>60000</v>
      </c>
      <c r="C2066" s="46"/>
      <c r="D2066" s="49">
        <f t="shared" si="64"/>
        <v>60000</v>
      </c>
    </row>
    <row r="2067" spans="1:4">
      <c r="A2067" s="7" t="str">
        <f>"Kóvár telek 5009/2"</f>
        <v>Kóvár telek 5009/2</v>
      </c>
      <c r="B2067" s="46">
        <v>60000</v>
      </c>
      <c r="C2067" s="46"/>
      <c r="D2067" s="49">
        <f t="shared" si="64"/>
        <v>60000</v>
      </c>
    </row>
    <row r="2068" spans="1:4">
      <c r="A2068" s="7" t="str">
        <f>"Kóvár telek 5009/4"</f>
        <v>Kóvár telek 5009/4</v>
      </c>
      <c r="B2068" s="46">
        <v>60000</v>
      </c>
      <c r="C2068" s="46"/>
      <c r="D2068" s="49">
        <f t="shared" si="64"/>
        <v>60000</v>
      </c>
    </row>
    <row r="2069" spans="1:4">
      <c r="A2069" s="7" t="str">
        <f>"Kóvár telek 5009/5"</f>
        <v>Kóvár telek 5009/5</v>
      </c>
      <c r="B2069" s="46">
        <v>60000</v>
      </c>
      <c r="C2069" s="46"/>
      <c r="D2069" s="49">
        <f t="shared" si="64"/>
        <v>60000</v>
      </c>
    </row>
    <row r="2070" spans="1:4">
      <c r="A2070" s="7" t="s">
        <v>226</v>
      </c>
      <c r="B2070" s="46">
        <v>1741000</v>
      </c>
      <c r="C2070" s="46"/>
      <c r="D2070" s="49">
        <f t="shared" si="64"/>
        <v>1741000</v>
      </c>
    </row>
    <row r="2071" spans="1:4">
      <c r="A2071" s="7" t="s">
        <v>227</v>
      </c>
      <c r="B2071" s="46">
        <v>1710000</v>
      </c>
      <c r="C2071" s="46"/>
      <c r="D2071" s="49">
        <f t="shared" si="64"/>
        <v>1710000</v>
      </c>
    </row>
    <row r="2072" spans="1:4">
      <c r="A2072" s="7" t="str">
        <f>"Bgy 730/2 Polgárőr"</f>
        <v>Bgy 730/2 Polgárőr</v>
      </c>
      <c r="B2072" s="46">
        <v>4679000</v>
      </c>
      <c r="C2072" s="46"/>
      <c r="D2072" s="49">
        <f t="shared" si="64"/>
        <v>4679000</v>
      </c>
    </row>
    <row r="2073" spans="1:4">
      <c r="A2073" s="7" t="str">
        <f>"Beépitettlen terület 1236/116"</f>
        <v>Beépitettlen terület 1236/116</v>
      </c>
      <c r="B2073" s="46">
        <v>1790000</v>
      </c>
      <c r="C2073" s="46"/>
      <c r="D2073" s="49">
        <f t="shared" si="64"/>
        <v>1790000</v>
      </c>
    </row>
    <row r="2074" spans="1:4">
      <c r="A2074" s="7" t="s">
        <v>228</v>
      </c>
      <c r="B2074" s="46">
        <v>3764400</v>
      </c>
      <c r="C2074" s="46"/>
      <c r="D2074" s="49">
        <f t="shared" si="64"/>
        <v>3764400</v>
      </c>
    </row>
    <row r="2075" spans="1:4">
      <c r="A2075" s="7" t="s">
        <v>229</v>
      </c>
      <c r="B2075" s="46">
        <v>63400</v>
      </c>
      <c r="C2075" s="46"/>
      <c r="D2075" s="49">
        <f t="shared" si="64"/>
        <v>63400</v>
      </c>
    </row>
    <row r="2076" spans="1:4">
      <c r="A2076" s="7" t="str">
        <f>"Springa 1835/119 telek"</f>
        <v>Springa 1835/119 telek</v>
      </c>
      <c r="B2076" s="46">
        <v>235789</v>
      </c>
      <c r="C2076" s="46"/>
      <c r="D2076" s="49">
        <f t="shared" si="64"/>
        <v>235789</v>
      </c>
    </row>
    <row r="2077" spans="1:4">
      <c r="A2077" s="7" t="str">
        <f>"Springa 3134/102 árok"</f>
        <v>Springa 3134/102 árok</v>
      </c>
      <c r="B2077" s="46">
        <v>334862</v>
      </c>
      <c r="C2077" s="46"/>
      <c r="D2077" s="49">
        <f t="shared" si="64"/>
        <v>334862</v>
      </c>
    </row>
    <row r="2078" spans="1:4">
      <c r="A2078" s="7" t="str">
        <f>"Springa 3134/103 telek"</f>
        <v>Springa 3134/103 telek</v>
      </c>
      <c r="B2078" s="46">
        <v>209511</v>
      </c>
      <c r="C2078" s="46"/>
      <c r="D2078" s="49">
        <f t="shared" si="64"/>
        <v>209511</v>
      </c>
    </row>
    <row r="2079" spans="1:4">
      <c r="A2079" s="7" t="str">
        <f>"Springa 3134/104 telek"</f>
        <v>Springa 3134/104 telek</v>
      </c>
      <c r="B2079" s="46">
        <v>219454</v>
      </c>
      <c r="C2079" s="46"/>
      <c r="D2079" s="49">
        <f t="shared" si="64"/>
        <v>219454</v>
      </c>
    </row>
    <row r="2080" spans="1:4">
      <c r="A2080" s="7" t="str">
        <f>"Springa 3134/105 telek"</f>
        <v>Springa 3134/105 telek</v>
      </c>
      <c r="B2080" s="46">
        <v>219454</v>
      </c>
      <c r="C2080" s="46"/>
      <c r="D2080" s="49">
        <f t="shared" si="64"/>
        <v>219454</v>
      </c>
    </row>
    <row r="2081" spans="1:4">
      <c r="A2081" s="7" t="str">
        <f>"Springa 3134/106 telek"</f>
        <v>Springa 3134/106 telek</v>
      </c>
      <c r="B2081" s="46">
        <v>220874</v>
      </c>
      <c r="C2081" s="46"/>
      <c r="D2081" s="49">
        <f t="shared" si="64"/>
        <v>220874</v>
      </c>
    </row>
    <row r="2082" spans="1:4">
      <c r="A2082" s="7" t="str">
        <f>"Springa 3134/108 telek"</f>
        <v>Springa 3134/108 telek</v>
      </c>
      <c r="B2082" s="46">
        <v>158021</v>
      </c>
      <c r="C2082" s="46"/>
      <c r="D2082" s="49">
        <f t="shared" si="64"/>
        <v>158021</v>
      </c>
    </row>
    <row r="2083" spans="1:4">
      <c r="A2083" s="7" t="str">
        <f>"Springa 3134/109 telek"</f>
        <v>Springa 3134/109 telek</v>
      </c>
      <c r="B2083" s="46">
        <v>164058</v>
      </c>
      <c r="C2083" s="46"/>
      <c r="D2083" s="49">
        <f t="shared" si="64"/>
        <v>164058</v>
      </c>
    </row>
    <row r="2084" spans="1:4">
      <c r="A2084" s="7" t="str">
        <f>"Springa 3134/110 telek"</f>
        <v>Springa 3134/110 telek</v>
      </c>
      <c r="B2084" s="46">
        <v>164058</v>
      </c>
      <c r="C2084" s="46"/>
      <c r="D2084" s="49">
        <f t="shared" si="64"/>
        <v>164058</v>
      </c>
    </row>
    <row r="2085" spans="1:4">
      <c r="A2085" s="7" t="str">
        <f>"Springa 3134/111 telek"</f>
        <v>Springa 3134/111 telek</v>
      </c>
      <c r="B2085" s="46">
        <v>162282</v>
      </c>
      <c r="C2085" s="46"/>
      <c r="D2085" s="49">
        <f t="shared" si="64"/>
        <v>162282</v>
      </c>
    </row>
    <row r="2086" spans="1:4">
      <c r="A2086" s="7" t="str">
        <f>"Springa 3134/112 telek"</f>
        <v>Springa 3134/112 telek</v>
      </c>
      <c r="B2086" s="46">
        <v>162282</v>
      </c>
      <c r="C2086" s="46"/>
      <c r="D2086" s="49">
        <f t="shared" si="64"/>
        <v>162282</v>
      </c>
    </row>
    <row r="2087" spans="1:4">
      <c r="A2087" s="7" t="str">
        <f>"Springa 3134/113 telek"</f>
        <v>Springa 3134/113 telek</v>
      </c>
      <c r="B2087" s="46">
        <v>163703</v>
      </c>
      <c r="C2087" s="46"/>
      <c r="D2087" s="49">
        <f t="shared" si="64"/>
        <v>163703</v>
      </c>
    </row>
    <row r="2088" spans="1:4">
      <c r="A2088" s="7" t="str">
        <f>"Springa 3134/114 telek"</f>
        <v>Springa 3134/114 telek</v>
      </c>
      <c r="B2088" s="46">
        <v>163703</v>
      </c>
      <c r="C2088" s="46"/>
      <c r="D2088" s="49">
        <f t="shared" si="64"/>
        <v>163703</v>
      </c>
    </row>
    <row r="2089" spans="1:4">
      <c r="A2089" s="7" t="str">
        <f>"Springa 3134/115 telek"</f>
        <v>Springa 3134/115 telek</v>
      </c>
      <c r="B2089" s="46">
        <v>157311</v>
      </c>
      <c r="C2089" s="46"/>
      <c r="D2089" s="49">
        <f t="shared" si="64"/>
        <v>157311</v>
      </c>
    </row>
    <row r="2090" spans="1:4">
      <c r="A2090" s="7" t="str">
        <f>"Springa 3134/117 telek"</f>
        <v>Springa 3134/117 telek</v>
      </c>
      <c r="B2090" s="46">
        <v>156601</v>
      </c>
      <c r="C2090" s="46"/>
      <c r="D2090" s="49">
        <f t="shared" si="64"/>
        <v>156601</v>
      </c>
    </row>
    <row r="2091" spans="1:4">
      <c r="A2091" s="7" t="str">
        <f>"Springa 3134/118 telek"</f>
        <v>Springa 3134/118 telek</v>
      </c>
      <c r="B2091" s="46">
        <v>162992</v>
      </c>
      <c r="C2091" s="46"/>
      <c r="D2091" s="49">
        <f t="shared" si="64"/>
        <v>162992</v>
      </c>
    </row>
    <row r="2092" spans="1:4">
      <c r="A2092" s="7" t="str">
        <f>"Springa 3134/119 telek"</f>
        <v>Springa 3134/119 telek</v>
      </c>
      <c r="B2092" s="46">
        <v>162992</v>
      </c>
      <c r="C2092" s="46"/>
      <c r="D2092" s="49">
        <f t="shared" si="64"/>
        <v>162992</v>
      </c>
    </row>
    <row r="2093" spans="1:4">
      <c r="A2093" s="7" t="str">
        <f>"Springa 3134/120 telek"</f>
        <v>Springa 3134/120 telek</v>
      </c>
      <c r="B2093" s="46">
        <v>161572</v>
      </c>
      <c r="C2093" s="46"/>
      <c r="D2093" s="49">
        <f t="shared" si="64"/>
        <v>161572</v>
      </c>
    </row>
    <row r="2094" spans="1:4">
      <c r="A2094" s="7" t="str">
        <f>"Springa 3134/121 telek"</f>
        <v>Springa 3134/121 telek</v>
      </c>
      <c r="B2094" s="46">
        <v>172225</v>
      </c>
      <c r="C2094" s="46"/>
      <c r="D2094" s="49">
        <f t="shared" si="64"/>
        <v>172225</v>
      </c>
    </row>
    <row r="2095" spans="1:4">
      <c r="A2095" s="7" t="str">
        <f>"Springa 3134/122 telek"</f>
        <v>Springa 3134/122 telek</v>
      </c>
      <c r="B2095" s="46">
        <v>162282</v>
      </c>
      <c r="C2095" s="46"/>
      <c r="D2095" s="49">
        <f t="shared" si="64"/>
        <v>162282</v>
      </c>
    </row>
    <row r="2096" spans="1:4">
      <c r="A2096" s="7" t="str">
        <f>"Springa 3134/123 telek"</f>
        <v>Springa 3134/123 telek</v>
      </c>
      <c r="B2096" s="46">
        <v>162282</v>
      </c>
      <c r="C2096" s="46"/>
      <c r="D2096" s="49">
        <f t="shared" si="64"/>
        <v>162282</v>
      </c>
    </row>
    <row r="2097" spans="1:4">
      <c r="A2097" s="7" t="str">
        <f>"Springa 3134/124 telek"</f>
        <v>Springa 3134/124 telek</v>
      </c>
      <c r="B2097" s="46">
        <v>154115</v>
      </c>
      <c r="C2097" s="46"/>
      <c r="D2097" s="49">
        <f t="shared" si="64"/>
        <v>154115</v>
      </c>
    </row>
    <row r="2098" spans="1:4">
      <c r="A2098" s="7" t="str">
        <f>"Springa 3134/126 telek"</f>
        <v>Springa 3134/126 telek</v>
      </c>
      <c r="B2098" s="46">
        <v>249283</v>
      </c>
      <c r="C2098" s="46"/>
      <c r="D2098" s="49">
        <f t="shared" si="64"/>
        <v>249283</v>
      </c>
    </row>
    <row r="2099" spans="1:4">
      <c r="A2099" s="7" t="str">
        <f>"Springa 3134/127 telek"</f>
        <v>Springa 3134/127 telek</v>
      </c>
      <c r="B2099" s="46">
        <v>271654</v>
      </c>
      <c r="C2099" s="46"/>
      <c r="D2099" s="49">
        <f t="shared" si="64"/>
        <v>271654</v>
      </c>
    </row>
    <row r="2100" spans="1:4">
      <c r="A2100" s="7" t="str">
        <f>"Springa 3134/128 telek"</f>
        <v>Springa 3134/128 telek</v>
      </c>
      <c r="B2100" s="46">
        <v>246087</v>
      </c>
      <c r="C2100" s="46"/>
      <c r="D2100" s="49">
        <f t="shared" si="64"/>
        <v>246087</v>
      </c>
    </row>
    <row r="2101" spans="1:4">
      <c r="A2101" s="7" t="str">
        <f>"Springa 3134/129 telek"</f>
        <v>Springa 3134/129 telek</v>
      </c>
      <c r="B2101" s="46">
        <v>271299</v>
      </c>
      <c r="C2101" s="46"/>
      <c r="D2101" s="49">
        <f t="shared" si="64"/>
        <v>271299</v>
      </c>
    </row>
    <row r="2102" spans="1:4">
      <c r="A2102" s="7" t="s">
        <v>233</v>
      </c>
      <c r="B2102" s="46">
        <v>11075498</v>
      </c>
      <c r="C2102" s="46"/>
      <c r="D2102" s="49">
        <f t="shared" si="64"/>
        <v>11075498</v>
      </c>
    </row>
    <row r="2103" spans="1:4">
      <c r="A2103" s="7" t="str">
        <f>"Garázs hely 327/7"</f>
        <v>Garázs hely 327/7</v>
      </c>
      <c r="B2103" s="46">
        <v>88000</v>
      </c>
      <c r="C2103" s="46"/>
      <c r="D2103" s="49">
        <f t="shared" si="64"/>
        <v>88000</v>
      </c>
    </row>
    <row r="2104" spans="1:4">
      <c r="A2104" s="7" t="str">
        <f>"Beépítetlen terület 340/1"</f>
        <v>Beépítetlen terület 340/1</v>
      </c>
      <c r="B2104" s="46">
        <v>2320000</v>
      </c>
      <c r="C2104" s="46"/>
      <c r="D2104" s="49">
        <f t="shared" si="64"/>
        <v>2320000</v>
      </c>
    </row>
    <row r="2105" spans="1:4">
      <c r="A2105" s="7" t="str">
        <f>"Altalaj 592/4  Bőr üzlet  592/2"</f>
        <v>Altalaj 592/4  Bőr üzlet  592/2</v>
      </c>
      <c r="B2105" s="46">
        <v>225000</v>
      </c>
      <c r="C2105" s="46"/>
      <c r="D2105" s="49">
        <f t="shared" si="64"/>
        <v>225000</v>
      </c>
    </row>
    <row r="2106" spans="1:4">
      <c r="A2106" s="7" t="str">
        <f>"Altalaj 592/5 Gyermekruha 592/2"</f>
        <v>Altalaj 592/5 Gyermekruha 592/2</v>
      </c>
      <c r="B2106" s="46">
        <v>225000</v>
      </c>
      <c r="C2106" s="46"/>
      <c r="D2106" s="49">
        <f t="shared" si="64"/>
        <v>225000</v>
      </c>
    </row>
    <row r="2107" spans="1:4">
      <c r="A2107" s="7" t="str">
        <f>"Udvar 621/1"</f>
        <v>Udvar 621/1</v>
      </c>
      <c r="B2107" s="46">
        <v>248000</v>
      </c>
      <c r="C2107" s="46"/>
      <c r="D2107" s="49">
        <f t="shared" si="64"/>
        <v>248000</v>
      </c>
    </row>
    <row r="2108" spans="1:4">
      <c r="A2108" s="7" t="str">
        <f>"Beépítetlen 730/1"</f>
        <v>Beépítetlen 730/1</v>
      </c>
      <c r="B2108" s="46">
        <v>4740000</v>
      </c>
      <c r="C2108" s="46"/>
      <c r="D2108" s="49">
        <f t="shared" si="64"/>
        <v>4740000</v>
      </c>
    </row>
    <row r="2109" spans="1:4">
      <c r="A2109" s="7" t="s">
        <v>235</v>
      </c>
      <c r="B2109" s="46">
        <v>4244727</v>
      </c>
      <c r="C2109" s="46"/>
      <c r="D2109" s="49">
        <f t="shared" si="64"/>
        <v>4244727</v>
      </c>
    </row>
    <row r="2110" spans="1:4">
      <c r="A2110" s="7" t="str">
        <f>"Rákóczi út 66-2/A"</f>
        <v>Rákóczi út 66-2/A</v>
      </c>
      <c r="B2110" s="46">
        <v>3186702</v>
      </c>
      <c r="C2110" s="46"/>
      <c r="D2110" s="49">
        <f t="shared" si="64"/>
        <v>3186702</v>
      </c>
    </row>
    <row r="2111" spans="1:4">
      <c r="A2111" s="7" t="str">
        <f>"Rákóczi út 66-4/A 867/3"</f>
        <v>Rákóczi út 66-4/A 867/3</v>
      </c>
      <c r="B2111" s="46">
        <v>773500</v>
      </c>
      <c r="C2111" s="46"/>
      <c r="D2111" s="49">
        <f t="shared" si="64"/>
        <v>773500</v>
      </c>
    </row>
    <row r="2112" spans="1:4">
      <c r="A2112" s="7" t="str">
        <f>"Belterület 946/69"</f>
        <v>Belterület 946/69</v>
      </c>
      <c r="B2112" s="46">
        <v>336000</v>
      </c>
      <c r="C2112" s="46"/>
      <c r="D2112" s="49">
        <f t="shared" si="64"/>
        <v>336000</v>
      </c>
    </row>
    <row r="2113" spans="1:4">
      <c r="A2113" s="7" t="str">
        <f>"Beépítetlen terület  1236/73"</f>
        <v>Beépítetlen terület  1236/73</v>
      </c>
      <c r="B2113" s="46">
        <v>31500</v>
      </c>
      <c r="C2113" s="46"/>
      <c r="D2113" s="49">
        <f t="shared" si="64"/>
        <v>31500</v>
      </c>
    </row>
    <row r="2114" spans="1:4">
      <c r="A2114" s="7" t="str">
        <f>"Beépítetlen terület  1236/96"</f>
        <v>Beépítetlen terület  1236/96</v>
      </c>
      <c r="B2114" s="46">
        <v>484500</v>
      </c>
      <c r="C2114" s="46"/>
      <c r="D2114" s="49">
        <f t="shared" si="64"/>
        <v>484500</v>
      </c>
    </row>
    <row r="2115" spans="1:4">
      <c r="A2115" s="7" t="s">
        <v>239</v>
      </c>
      <c r="B2115" s="46">
        <v>379050</v>
      </c>
      <c r="C2115" s="46"/>
      <c r="D2115" s="49">
        <f t="shared" si="64"/>
        <v>379050</v>
      </c>
    </row>
    <row r="2116" spans="1:4">
      <c r="A2116" s="7" t="str">
        <f>"Vásártér 1427/2 Rákóczi út 59-2"</f>
        <v>Vásártér 1427/2 Rákóczi út 59-2</v>
      </c>
      <c r="B2116" s="46">
        <v>380000</v>
      </c>
      <c r="C2116" s="46"/>
      <c r="D2116" s="49">
        <f t="shared" si="64"/>
        <v>380000</v>
      </c>
    </row>
    <row r="2117" spans="1:4">
      <c r="A2117" s="7" t="s">
        <v>240</v>
      </c>
      <c r="B2117" s="46">
        <v>892200</v>
      </c>
      <c r="C2117" s="46"/>
      <c r="D2117" s="49">
        <f t="shared" si="64"/>
        <v>892200</v>
      </c>
    </row>
    <row r="2118" spans="1:4">
      <c r="A2118" s="7" t="str">
        <f>"Ipolyszög telek 5009/6"</f>
        <v>Ipolyszög telek 5009/6</v>
      </c>
      <c r="B2118" s="46">
        <v>164057</v>
      </c>
      <c r="C2118" s="46"/>
      <c r="D2118" s="49">
        <f t="shared" si="64"/>
        <v>164057</v>
      </c>
    </row>
    <row r="2119" spans="1:4">
      <c r="A2119" s="7" t="str">
        <f>"Ipolyszög telek 5009/7"</f>
        <v>Ipolyszög telek 5009/7</v>
      </c>
      <c r="B2119" s="46">
        <v>162068</v>
      </c>
      <c r="C2119" s="46"/>
      <c r="D2119" s="49">
        <f t="shared" si="64"/>
        <v>162068</v>
      </c>
    </row>
    <row r="2120" spans="1:4">
      <c r="A2120" s="7" t="str">
        <f>"Ipolyszög telek 5009/8"</f>
        <v>Ipolyszög telek 5009/8</v>
      </c>
      <c r="B2120" s="46">
        <v>160577</v>
      </c>
      <c r="C2120" s="46"/>
      <c r="D2120" s="49">
        <f t="shared" si="64"/>
        <v>160577</v>
      </c>
    </row>
    <row r="2121" spans="1:4">
      <c r="A2121" s="7" t="str">
        <f>"Ipolyszög telek 5009/9"</f>
        <v>Ipolyszög telek 5009/9</v>
      </c>
      <c r="B2121" s="46">
        <v>158588</v>
      </c>
      <c r="C2121" s="46"/>
      <c r="D2121" s="49">
        <f t="shared" si="64"/>
        <v>158588</v>
      </c>
    </row>
    <row r="2122" spans="1:4">
      <c r="A2122" s="7" t="str">
        <f>"Ipolyszög telek 5009/10"</f>
        <v>Ipolyszög telek 5009/10</v>
      </c>
      <c r="B2122" s="46">
        <v>156600</v>
      </c>
      <c r="C2122" s="46"/>
      <c r="D2122" s="49">
        <f t="shared" si="64"/>
        <v>156600</v>
      </c>
    </row>
    <row r="2123" spans="1:4">
      <c r="A2123" s="7" t="str">
        <f>"Ipolyszög telek 5009/11"</f>
        <v>Ipolyszög telek 5009/11</v>
      </c>
      <c r="B2123" s="46">
        <v>198110</v>
      </c>
      <c r="C2123" s="46"/>
      <c r="D2123" s="49">
        <f t="shared" si="64"/>
        <v>198110</v>
      </c>
    </row>
    <row r="2124" spans="1:4">
      <c r="A2124" s="7" t="str">
        <f>"Vak Bottyán telek 2635/1"</f>
        <v>Vak Bottyán telek 2635/1</v>
      </c>
      <c r="B2124" s="46">
        <v>582000</v>
      </c>
      <c r="C2124" s="46"/>
      <c r="D2124" s="49">
        <f t="shared" si="64"/>
        <v>582000</v>
      </c>
    </row>
    <row r="2125" spans="1:4">
      <c r="A2125" s="7" t="str">
        <f>"Vak Bottyán telek 2635/2"</f>
        <v>Vak Bottyán telek 2635/2</v>
      </c>
      <c r="B2125" s="46">
        <v>583500</v>
      </c>
      <c r="C2125" s="46"/>
      <c r="D2125" s="49">
        <f t="shared" ref="D2125:D2190" si="65">B2125-C2125</f>
        <v>583500</v>
      </c>
    </row>
    <row r="2126" spans="1:4">
      <c r="A2126" s="7" t="str">
        <f>"Vak Bottyán telek 2635/3"</f>
        <v>Vak Bottyán telek 2635/3</v>
      </c>
      <c r="B2126" s="46">
        <v>583500</v>
      </c>
      <c r="C2126" s="46"/>
      <c r="D2126" s="49">
        <f t="shared" si="65"/>
        <v>583500</v>
      </c>
    </row>
    <row r="2127" spans="1:4">
      <c r="A2127" s="7" t="str">
        <f>"Vak Bottyán telek 2635/4"</f>
        <v>Vak Bottyán telek 2635/4</v>
      </c>
      <c r="B2127" s="46">
        <v>583500</v>
      </c>
      <c r="C2127" s="46"/>
      <c r="D2127" s="49">
        <f t="shared" si="65"/>
        <v>583500</v>
      </c>
    </row>
    <row r="2128" spans="1:4">
      <c r="A2128" s="7" t="str">
        <f>"Vak Bottyán telek 2635/5"</f>
        <v>Vak Bottyán telek 2635/5</v>
      </c>
      <c r="B2128" s="46">
        <v>583500</v>
      </c>
      <c r="C2128" s="46"/>
      <c r="D2128" s="49">
        <f t="shared" si="65"/>
        <v>583500</v>
      </c>
    </row>
    <row r="2129" spans="1:4">
      <c r="A2129" s="7" t="str">
        <f>"Vak Bottyán telek 2635/6"</f>
        <v>Vak Bottyán telek 2635/6</v>
      </c>
      <c r="B2129" s="46">
        <v>583500</v>
      </c>
      <c r="C2129" s="46"/>
      <c r="D2129" s="49">
        <f t="shared" si="65"/>
        <v>583500</v>
      </c>
    </row>
    <row r="2130" spans="1:4">
      <c r="A2130" s="7" t="str">
        <f>"Vak Bottyán telek 2635/7"</f>
        <v>Vak Bottyán telek 2635/7</v>
      </c>
      <c r="B2130" s="46">
        <v>582500</v>
      </c>
      <c r="C2130" s="46"/>
      <c r="D2130" s="49">
        <f t="shared" si="65"/>
        <v>582500</v>
      </c>
    </row>
    <row r="2131" spans="1:4">
      <c r="A2131" s="7" t="str">
        <f>"Vak Bottyán gyalogút 2635/8"</f>
        <v>Vak Bottyán gyalogút 2635/8</v>
      </c>
      <c r="B2131" s="46">
        <v>289500</v>
      </c>
      <c r="C2131" s="46"/>
      <c r="D2131" s="49">
        <f t="shared" si="65"/>
        <v>289500</v>
      </c>
    </row>
    <row r="2132" spans="1:4">
      <c r="A2132" s="7" t="str">
        <f>"Vak Bottyán telek 2635/12"</f>
        <v>Vak Bottyán telek 2635/12</v>
      </c>
      <c r="B2132" s="46">
        <v>11830500</v>
      </c>
      <c r="C2132" s="46"/>
      <c r="D2132" s="49">
        <f t="shared" si="65"/>
        <v>11830500</v>
      </c>
    </row>
    <row r="2133" spans="1:4">
      <c r="A2133" s="7" t="s">
        <v>242</v>
      </c>
      <c r="B2133" s="46">
        <v>67000</v>
      </c>
      <c r="C2133" s="46"/>
      <c r="D2133" s="49">
        <f t="shared" si="65"/>
        <v>67000</v>
      </c>
    </row>
    <row r="2134" spans="1:4">
      <c r="A2134" s="7" t="s">
        <v>56</v>
      </c>
      <c r="B2134" s="46">
        <v>260000</v>
      </c>
      <c r="C2134" s="46"/>
      <c r="D2134" s="49">
        <f t="shared" si="65"/>
        <v>260000</v>
      </c>
    </row>
    <row r="2135" spans="1:4">
      <c r="A2135" s="7" t="s">
        <v>56</v>
      </c>
      <c r="B2135" s="46">
        <v>172000</v>
      </c>
      <c r="C2135" s="46"/>
      <c r="D2135" s="49">
        <f t="shared" si="65"/>
        <v>172000</v>
      </c>
    </row>
    <row r="2136" spans="1:4">
      <c r="A2136" s="7" t="s">
        <v>56</v>
      </c>
      <c r="B2136" s="46">
        <v>172000</v>
      </c>
      <c r="C2136" s="46"/>
      <c r="D2136" s="49">
        <f t="shared" si="65"/>
        <v>172000</v>
      </c>
    </row>
    <row r="2137" spans="1:4">
      <c r="A2137" s="7" t="s">
        <v>56</v>
      </c>
      <c r="B2137" s="46">
        <v>174000</v>
      </c>
      <c r="C2137" s="46"/>
      <c r="D2137" s="49">
        <f t="shared" si="65"/>
        <v>174000</v>
      </c>
    </row>
    <row r="2138" spans="1:4">
      <c r="A2138" s="7" t="s">
        <v>56</v>
      </c>
      <c r="B2138" s="46">
        <v>174000</v>
      </c>
      <c r="C2138" s="46"/>
      <c r="D2138" s="49">
        <f t="shared" si="65"/>
        <v>174000</v>
      </c>
    </row>
    <row r="2139" spans="1:4">
      <c r="A2139" s="7" t="s">
        <v>56</v>
      </c>
      <c r="B2139" s="46">
        <v>176000</v>
      </c>
      <c r="C2139" s="46"/>
      <c r="D2139" s="49">
        <f t="shared" si="65"/>
        <v>176000</v>
      </c>
    </row>
    <row r="2140" spans="1:4">
      <c r="A2140" s="7" t="str">
        <f>"Trafóház Dózsa út           1062/44"</f>
        <v>Trafóház Dózsa út           1062/44</v>
      </c>
      <c r="B2140" s="46">
        <v>53000</v>
      </c>
      <c r="C2140" s="46"/>
      <c r="D2140" s="49">
        <f t="shared" si="65"/>
        <v>53000</v>
      </c>
    </row>
    <row r="2141" spans="1:4">
      <c r="A2141" s="7" t="str">
        <f>"Vár út 8 / Volt vár területe /"</f>
        <v>Vár út 8 / Volt vár területe /</v>
      </c>
      <c r="B2141" s="46">
        <v>1800000</v>
      </c>
      <c r="C2141" s="46"/>
      <c r="D2141" s="49">
        <f t="shared" si="65"/>
        <v>1800000</v>
      </c>
    </row>
    <row r="2142" spans="1:4">
      <c r="A2142" s="7" t="s">
        <v>24</v>
      </c>
      <c r="B2142" s="46">
        <v>7041900</v>
      </c>
      <c r="C2142" s="46"/>
      <c r="D2142" s="49">
        <f t="shared" si="65"/>
        <v>7041900</v>
      </c>
    </row>
    <row r="2143" spans="1:4">
      <c r="A2143" s="7" t="s">
        <v>351</v>
      </c>
      <c r="B2143" s="46">
        <v>2741000</v>
      </c>
      <c r="C2143" s="46"/>
      <c r="D2143" s="49">
        <f t="shared" si="65"/>
        <v>2741000</v>
      </c>
    </row>
    <row r="2144" spans="1:4">
      <c r="A2144" s="7" t="s">
        <v>352</v>
      </c>
      <c r="B2144" s="46">
        <v>911000</v>
      </c>
      <c r="C2144" s="46"/>
      <c r="D2144" s="49">
        <f t="shared" si="65"/>
        <v>911000</v>
      </c>
    </row>
    <row r="2145" spans="1:4">
      <c r="A2145" s="7" t="s">
        <v>23</v>
      </c>
      <c r="B2145" s="46">
        <v>36400</v>
      </c>
      <c r="C2145" s="46"/>
      <c r="D2145" s="49">
        <f t="shared" si="65"/>
        <v>36400</v>
      </c>
    </row>
    <row r="2146" spans="1:4">
      <c r="A2146" s="7" t="s">
        <v>23</v>
      </c>
      <c r="B2146" s="46">
        <v>36400</v>
      </c>
      <c r="C2146" s="46"/>
      <c r="D2146" s="49">
        <f t="shared" si="65"/>
        <v>36400</v>
      </c>
    </row>
    <row r="2147" spans="1:4">
      <c r="A2147" s="7" t="s">
        <v>353</v>
      </c>
      <c r="B2147" s="46">
        <v>36400</v>
      </c>
      <c r="C2147" s="46"/>
      <c r="D2147" s="49">
        <f t="shared" si="65"/>
        <v>36400</v>
      </c>
    </row>
    <row r="2148" spans="1:4">
      <c r="A2148" s="7" t="s">
        <v>41</v>
      </c>
      <c r="B2148" s="46">
        <v>480000</v>
      </c>
      <c r="C2148" s="46"/>
      <c r="D2148" s="49">
        <f t="shared" si="65"/>
        <v>480000</v>
      </c>
    </row>
    <row r="2149" spans="1:4">
      <c r="A2149" s="7" t="s">
        <v>41</v>
      </c>
      <c r="B2149" s="46">
        <v>1741000</v>
      </c>
      <c r="C2149" s="46"/>
      <c r="D2149" s="49">
        <f t="shared" si="65"/>
        <v>1741000</v>
      </c>
    </row>
    <row r="2150" spans="1:4">
      <c r="A2150" s="7" t="s">
        <v>41</v>
      </c>
      <c r="B2150" s="46">
        <v>298000</v>
      </c>
      <c r="C2150" s="46"/>
      <c r="D2150" s="49">
        <f t="shared" si="65"/>
        <v>298000</v>
      </c>
    </row>
    <row r="2151" spans="1:4">
      <c r="A2151" s="7" t="s">
        <v>41</v>
      </c>
      <c r="B2151" s="46">
        <v>435000</v>
      </c>
      <c r="C2151" s="46"/>
      <c r="D2151" s="49">
        <f t="shared" si="65"/>
        <v>435000</v>
      </c>
    </row>
    <row r="2152" spans="1:4">
      <c r="A2152" s="7" t="s">
        <v>354</v>
      </c>
      <c r="B2152" s="46">
        <v>678000</v>
      </c>
      <c r="C2152" s="46"/>
      <c r="D2152" s="49">
        <f t="shared" si="65"/>
        <v>678000</v>
      </c>
    </row>
    <row r="2153" spans="1:4">
      <c r="A2153" s="7" t="s">
        <v>355</v>
      </c>
      <c r="B2153" s="46">
        <v>2355300</v>
      </c>
      <c r="C2153" s="46"/>
      <c r="D2153" s="49">
        <f t="shared" si="65"/>
        <v>2355300</v>
      </c>
    </row>
    <row r="2154" spans="1:4">
      <c r="A2154" s="7" t="s">
        <v>356</v>
      </c>
      <c r="B2154" s="46">
        <v>11040000</v>
      </c>
      <c r="C2154" s="46"/>
      <c r="D2154" s="49">
        <f t="shared" si="65"/>
        <v>11040000</v>
      </c>
    </row>
    <row r="2155" spans="1:4">
      <c r="A2155" s="7" t="s">
        <v>357</v>
      </c>
      <c r="B2155" s="46">
        <v>1780000</v>
      </c>
      <c r="C2155" s="46"/>
      <c r="D2155" s="49">
        <f t="shared" si="65"/>
        <v>1780000</v>
      </c>
    </row>
    <row r="2156" spans="1:4">
      <c r="A2156" s="7" t="s">
        <v>357</v>
      </c>
      <c r="B2156" s="46">
        <v>606000</v>
      </c>
      <c r="C2156" s="46"/>
      <c r="D2156" s="49">
        <f t="shared" si="65"/>
        <v>606000</v>
      </c>
    </row>
    <row r="2157" spans="1:4">
      <c r="A2157" s="7" t="s">
        <v>358</v>
      </c>
      <c r="B2157" s="46">
        <v>477000</v>
      </c>
      <c r="C2157" s="46"/>
      <c r="D2157" s="49">
        <f t="shared" si="65"/>
        <v>477000</v>
      </c>
    </row>
    <row r="2158" spans="1:4">
      <c r="A2158" s="7" t="s">
        <v>359</v>
      </c>
      <c r="B2158" s="46">
        <v>595800</v>
      </c>
      <c r="C2158" s="46"/>
      <c r="D2158" s="49">
        <f t="shared" si="65"/>
        <v>595800</v>
      </c>
    </row>
    <row r="2159" spans="1:4">
      <c r="A2159" s="7" t="str">
        <f>"Belt. 5234/3"</f>
        <v>Belt. 5234/3</v>
      </c>
      <c r="B2159" s="46">
        <v>620837</v>
      </c>
      <c r="C2159" s="46"/>
      <c r="D2159" s="49">
        <f t="shared" si="65"/>
        <v>620837</v>
      </c>
    </row>
    <row r="2160" spans="1:4">
      <c r="A2160" s="7" t="str">
        <f>"Régimalom út 351/21"</f>
        <v>Régimalom út 351/21</v>
      </c>
      <c r="B2160" s="46">
        <v>36000</v>
      </c>
      <c r="C2160" s="46"/>
      <c r="D2160" s="49">
        <f t="shared" si="65"/>
        <v>36000</v>
      </c>
    </row>
    <row r="2161" spans="1:4">
      <c r="A2161" s="7" t="str">
        <f>"Régimalom út 351/29"</f>
        <v>Régimalom út 351/29</v>
      </c>
      <c r="B2161" s="46">
        <v>404000</v>
      </c>
      <c r="C2161" s="46"/>
      <c r="D2161" s="49">
        <f t="shared" si="65"/>
        <v>404000</v>
      </c>
    </row>
    <row r="2162" spans="1:4">
      <c r="A2162" s="7" t="str">
        <f>"Régimalom út 351/30"</f>
        <v>Régimalom út 351/30</v>
      </c>
      <c r="B2162" s="46">
        <v>130000</v>
      </c>
      <c r="C2162" s="46"/>
      <c r="D2162" s="49">
        <f t="shared" si="65"/>
        <v>130000</v>
      </c>
    </row>
    <row r="2163" spans="1:4">
      <c r="A2163" s="7" t="str">
        <f>"Kóvári út 351/31"</f>
        <v>Kóvári út 351/31</v>
      </c>
      <c r="B2163" s="46">
        <v>38000</v>
      </c>
      <c r="C2163" s="46"/>
      <c r="D2163" s="49">
        <f t="shared" si="65"/>
        <v>38000</v>
      </c>
    </row>
    <row r="2164" spans="1:4">
      <c r="A2164" s="7" t="str">
        <f>"Régimalom út 351/32"</f>
        <v>Régimalom út 351/32</v>
      </c>
      <c r="B2164" s="46">
        <v>136000</v>
      </c>
      <c r="C2164" s="46"/>
      <c r="D2164" s="49">
        <f t="shared" si="65"/>
        <v>136000</v>
      </c>
    </row>
    <row r="2165" spans="1:4">
      <c r="A2165" s="7" t="str">
        <f>"Régimalom út 352/2"</f>
        <v>Régimalom út 352/2</v>
      </c>
      <c r="B2165" s="46">
        <v>595000</v>
      </c>
      <c r="C2165" s="46"/>
      <c r="D2165" s="49">
        <f t="shared" si="65"/>
        <v>595000</v>
      </c>
    </row>
    <row r="2166" spans="1:4">
      <c r="A2166" s="7" t="s">
        <v>360</v>
      </c>
      <c r="B2166" s="46">
        <v>59000</v>
      </c>
      <c r="C2166" s="46"/>
      <c r="D2166" s="49">
        <f t="shared" si="65"/>
        <v>59000</v>
      </c>
    </row>
    <row r="2167" spans="1:4">
      <c r="A2167" s="7" t="s">
        <v>361</v>
      </c>
      <c r="B2167" s="46">
        <v>2517000</v>
      </c>
      <c r="C2167" s="46"/>
      <c r="D2167" s="49">
        <f t="shared" si="65"/>
        <v>2517000</v>
      </c>
    </row>
    <row r="2168" spans="1:4">
      <c r="A2168" s="7" t="s">
        <v>362</v>
      </c>
      <c r="B2168" s="46">
        <v>1136000</v>
      </c>
      <c r="C2168" s="46"/>
      <c r="D2168" s="49">
        <f t="shared" si="65"/>
        <v>1136000</v>
      </c>
    </row>
    <row r="2169" spans="1:4">
      <c r="A2169" s="7" t="s">
        <v>363</v>
      </c>
      <c r="B2169" s="46">
        <v>183000</v>
      </c>
      <c r="C2169" s="46"/>
      <c r="D2169" s="49">
        <f t="shared" si="65"/>
        <v>183000</v>
      </c>
    </row>
    <row r="2170" spans="1:4">
      <c r="A2170" s="7" t="s">
        <v>364</v>
      </c>
      <c r="B2170" s="46">
        <v>7301310</v>
      </c>
      <c r="C2170" s="46"/>
      <c r="D2170" s="49">
        <f t="shared" si="65"/>
        <v>7301310</v>
      </c>
    </row>
    <row r="2171" spans="1:4">
      <c r="A2171" s="7" t="s">
        <v>365</v>
      </c>
      <c r="B2171" s="46">
        <v>1580000</v>
      </c>
      <c r="C2171" s="46"/>
      <c r="D2171" s="49">
        <f t="shared" si="65"/>
        <v>1580000</v>
      </c>
    </row>
    <row r="2172" spans="1:4">
      <c r="A2172" s="7" t="s">
        <v>366</v>
      </c>
      <c r="B2172" s="46">
        <v>7426000</v>
      </c>
      <c r="C2172" s="46"/>
      <c r="D2172" s="49">
        <f t="shared" si="65"/>
        <v>7426000</v>
      </c>
    </row>
    <row r="2173" spans="1:4">
      <c r="A2173" s="7" t="s">
        <v>367</v>
      </c>
      <c r="B2173" s="46">
        <v>16000</v>
      </c>
      <c r="C2173" s="46"/>
      <c r="D2173" s="49">
        <f t="shared" si="65"/>
        <v>16000</v>
      </c>
    </row>
    <row r="2174" spans="1:4">
      <c r="A2174" s="7" t="s">
        <v>23</v>
      </c>
      <c r="B2174" s="46">
        <v>9000</v>
      </c>
      <c r="C2174" s="46"/>
      <c r="D2174" s="49">
        <f t="shared" si="65"/>
        <v>9000</v>
      </c>
    </row>
    <row r="2175" spans="1:4">
      <c r="A2175" s="7" t="s">
        <v>368</v>
      </c>
      <c r="B2175" s="46">
        <v>504000</v>
      </c>
      <c r="C2175" s="46"/>
      <c r="D2175" s="49">
        <f t="shared" si="65"/>
        <v>504000</v>
      </c>
    </row>
    <row r="2176" spans="1:4">
      <c r="A2176" s="7" t="s">
        <v>370</v>
      </c>
      <c r="B2176" s="46">
        <v>40000</v>
      </c>
      <c r="C2176" s="46"/>
      <c r="D2176" s="49">
        <f t="shared" si="65"/>
        <v>40000</v>
      </c>
    </row>
    <row r="2177" spans="1:4">
      <c r="A2177" s="7" t="s">
        <v>371</v>
      </c>
      <c r="B2177" s="46">
        <v>9025000</v>
      </c>
      <c r="C2177" s="46"/>
      <c r="D2177" s="49">
        <f t="shared" si="65"/>
        <v>9025000</v>
      </c>
    </row>
    <row r="2178" spans="1:4">
      <c r="A2178" s="7" t="s">
        <v>372</v>
      </c>
      <c r="B2178" s="46">
        <v>40808000</v>
      </c>
      <c r="C2178" s="46"/>
      <c r="D2178" s="49">
        <f t="shared" si="65"/>
        <v>40808000</v>
      </c>
    </row>
    <row r="2179" spans="1:4">
      <c r="A2179" s="7" t="str">
        <f>"Balassagyarmat 02/1 Ebtenyésztők"</f>
        <v>Balassagyarmat 02/1 Ebtenyésztők</v>
      </c>
      <c r="B2179" s="46">
        <v>2950000</v>
      </c>
      <c r="C2179" s="46"/>
      <c r="D2179" s="49">
        <f t="shared" si="65"/>
        <v>2950000</v>
      </c>
    </row>
    <row r="2180" spans="1:4">
      <c r="A2180" s="7" t="str">
        <f>"Balassagyarmat 064/13 hrsz"</f>
        <v>Balassagyarmat 064/13 hrsz</v>
      </c>
      <c r="B2180" s="46">
        <v>5075000</v>
      </c>
      <c r="C2180" s="46"/>
      <c r="D2180" s="49">
        <f t="shared" si="65"/>
        <v>5075000</v>
      </c>
    </row>
    <row r="2181" spans="1:4">
      <c r="A2181" s="7" t="str">
        <f>"Balassagyarmat 064/14 hrsz"</f>
        <v>Balassagyarmat 064/14 hrsz</v>
      </c>
      <c r="B2181" s="46">
        <v>14925000</v>
      </c>
      <c r="C2181" s="46"/>
      <c r="D2181" s="49">
        <f t="shared" si="65"/>
        <v>14925000</v>
      </c>
    </row>
    <row r="2182" spans="1:4">
      <c r="A2182" s="7" t="str">
        <f>"Ipari park 3166/6"</f>
        <v>Ipari park 3166/6</v>
      </c>
      <c r="B2182" s="46">
        <v>855230</v>
      </c>
      <c r="C2182" s="46"/>
      <c r="D2182" s="49">
        <f t="shared" si="65"/>
        <v>855230</v>
      </c>
    </row>
    <row r="2183" spans="1:4">
      <c r="A2183" s="7" t="str">
        <f>"Ipari Park 3166/7"</f>
        <v>Ipari Park 3166/7</v>
      </c>
      <c r="B2183" s="46">
        <v>3219687</v>
      </c>
      <c r="C2183" s="46"/>
      <c r="D2183" s="49">
        <f t="shared" si="65"/>
        <v>3219687</v>
      </c>
    </row>
    <row r="2184" spans="1:4">
      <c r="A2184" s="7" t="str">
        <f>"Ipari Park 3166/10"</f>
        <v>Ipari Park 3166/10</v>
      </c>
      <c r="B2184" s="46">
        <v>1861382</v>
      </c>
      <c r="C2184" s="46"/>
      <c r="D2184" s="49">
        <f t="shared" si="65"/>
        <v>1861382</v>
      </c>
    </row>
    <row r="2185" spans="1:4">
      <c r="A2185" s="7" t="str">
        <f>"Ipari Park 3166/17"</f>
        <v>Ipari Park 3166/17</v>
      </c>
      <c r="B2185" s="46">
        <v>5835684</v>
      </c>
      <c r="C2185" s="46"/>
      <c r="D2185" s="49">
        <f t="shared" si="65"/>
        <v>5835684</v>
      </c>
    </row>
    <row r="2186" spans="1:4">
      <c r="A2186" s="7" t="s">
        <v>373</v>
      </c>
      <c r="B2186" s="46">
        <v>36940000</v>
      </c>
      <c r="C2186" s="46"/>
      <c r="D2186" s="49">
        <f t="shared" si="65"/>
        <v>36940000</v>
      </c>
    </row>
    <row r="2187" spans="1:4">
      <c r="A2187" s="7" t="s">
        <v>374</v>
      </c>
      <c r="B2187" s="46">
        <v>8655000</v>
      </c>
      <c r="C2187" s="46"/>
      <c r="D2187" s="49">
        <f t="shared" si="65"/>
        <v>8655000</v>
      </c>
    </row>
    <row r="2188" spans="1:4">
      <c r="A2188" s="28" t="s">
        <v>2111</v>
      </c>
      <c r="B2188" s="29">
        <f>SUM(B1984:B2187)</f>
        <v>405380865</v>
      </c>
      <c r="C2188" s="29">
        <f t="shared" ref="C2188:D2188" si="66">SUM(C1984:C2187)</f>
        <v>0</v>
      </c>
      <c r="D2188" s="58">
        <f t="shared" si="66"/>
        <v>405380865</v>
      </c>
    </row>
    <row r="2189" spans="1:4">
      <c r="A2189" s="7" t="s">
        <v>376</v>
      </c>
      <c r="B2189" s="46">
        <v>1394517</v>
      </c>
      <c r="C2189" s="46">
        <v>529692</v>
      </c>
      <c r="D2189" s="49">
        <f t="shared" si="65"/>
        <v>864825</v>
      </c>
    </row>
    <row r="2190" spans="1:4">
      <c r="A2190" s="7" t="s">
        <v>377</v>
      </c>
      <c r="B2190" s="46">
        <v>3600000</v>
      </c>
      <c r="C2190" s="46">
        <v>1368185</v>
      </c>
      <c r="D2190" s="49">
        <f t="shared" si="65"/>
        <v>2231815</v>
      </c>
    </row>
    <row r="2191" spans="1:4">
      <c r="A2191" s="7" t="s">
        <v>378</v>
      </c>
      <c r="B2191" s="46">
        <v>41081879</v>
      </c>
      <c r="C2191" s="46">
        <v>13825770</v>
      </c>
      <c r="D2191" s="49">
        <f t="shared" ref="D2191:D2248" si="67">B2191-C2191</f>
        <v>27256109</v>
      </c>
    </row>
    <row r="2192" spans="1:4">
      <c r="A2192" s="7" t="s">
        <v>379</v>
      </c>
      <c r="B2192" s="46">
        <v>4720000</v>
      </c>
      <c r="C2192" s="46">
        <v>1793846</v>
      </c>
      <c r="D2192" s="49">
        <f t="shared" si="67"/>
        <v>2926154</v>
      </c>
    </row>
    <row r="2193" spans="1:4">
      <c r="A2193" s="7" t="s">
        <v>380</v>
      </c>
      <c r="B2193" s="46">
        <v>3264615</v>
      </c>
      <c r="C2193" s="46">
        <v>1161899</v>
      </c>
      <c r="D2193" s="49">
        <f t="shared" si="67"/>
        <v>2102716</v>
      </c>
    </row>
    <row r="2194" spans="1:4">
      <c r="A2194" s="7" t="s">
        <v>381</v>
      </c>
      <c r="B2194" s="46">
        <v>1758300</v>
      </c>
      <c r="C2194" s="46">
        <v>619578</v>
      </c>
      <c r="D2194" s="49">
        <f t="shared" si="67"/>
        <v>1138722</v>
      </c>
    </row>
    <row r="2195" spans="1:4">
      <c r="A2195" s="7" t="s">
        <v>382</v>
      </c>
      <c r="B2195" s="46">
        <v>3987674</v>
      </c>
      <c r="C2195" s="46">
        <v>1481587</v>
      </c>
      <c r="D2195" s="49">
        <f t="shared" si="67"/>
        <v>2506087</v>
      </c>
    </row>
    <row r="2196" spans="1:4">
      <c r="A2196" s="7" t="s">
        <v>383</v>
      </c>
      <c r="B2196" s="46">
        <v>19237870</v>
      </c>
      <c r="C2196" s="46">
        <v>6061470</v>
      </c>
      <c r="D2196" s="49">
        <f t="shared" si="67"/>
        <v>13176400</v>
      </c>
    </row>
    <row r="2197" spans="1:4">
      <c r="A2197" s="7" t="s">
        <v>384</v>
      </c>
      <c r="B2197" s="46">
        <v>610788</v>
      </c>
      <c r="C2197" s="46">
        <v>221158</v>
      </c>
      <c r="D2197" s="49">
        <f t="shared" si="67"/>
        <v>389630</v>
      </c>
    </row>
    <row r="2198" spans="1:4">
      <c r="A2198" s="7" t="s">
        <v>385</v>
      </c>
      <c r="B2198" s="46">
        <v>655799</v>
      </c>
      <c r="C2198" s="46">
        <v>238256</v>
      </c>
      <c r="D2198" s="49">
        <f t="shared" si="67"/>
        <v>417543</v>
      </c>
    </row>
    <row r="2199" spans="1:4">
      <c r="A2199" s="7" t="s">
        <v>386</v>
      </c>
      <c r="B2199" s="46">
        <v>2160000</v>
      </c>
      <c r="C2199" s="46">
        <v>820910</v>
      </c>
      <c r="D2199" s="49">
        <f t="shared" si="67"/>
        <v>1339090</v>
      </c>
    </row>
    <row r="2200" spans="1:4">
      <c r="A2200" s="7" t="s">
        <v>387</v>
      </c>
      <c r="B2200" s="46">
        <v>3261348</v>
      </c>
      <c r="C2200" s="46">
        <v>1217579</v>
      </c>
      <c r="D2200" s="49">
        <f t="shared" si="67"/>
        <v>2043769</v>
      </c>
    </row>
    <row r="2201" spans="1:4">
      <c r="A2201" s="7" t="str">
        <f>"Pannónia Múzeum Kossuth út 1/a"</f>
        <v>Pannónia Múzeum Kossuth út 1/a</v>
      </c>
      <c r="B2201" s="46">
        <v>7220000</v>
      </c>
      <c r="C2201" s="46">
        <v>2743988</v>
      </c>
      <c r="D2201" s="49">
        <f t="shared" si="67"/>
        <v>4476012</v>
      </c>
    </row>
    <row r="2202" spans="1:4">
      <c r="A2202" s="7" t="str">
        <f>"Köztársaság tér 5 /WC/"</f>
        <v>Köztársaság tér 5 /WC/</v>
      </c>
      <c r="B2202" s="46">
        <v>1150000</v>
      </c>
      <c r="C2202" s="46">
        <v>437050</v>
      </c>
      <c r="D2202" s="49">
        <f t="shared" si="67"/>
        <v>712950</v>
      </c>
    </row>
    <row r="2203" spans="1:4">
      <c r="A2203" s="7" t="s">
        <v>388</v>
      </c>
      <c r="B2203" s="46">
        <v>7480000</v>
      </c>
      <c r="C2203" s="46">
        <v>2842801</v>
      </c>
      <c r="D2203" s="49">
        <f t="shared" si="67"/>
        <v>4637199</v>
      </c>
    </row>
    <row r="2204" spans="1:4">
      <c r="A2204" s="7" t="str">
        <f>"Volt ANTSZ Üres Madách u.1 /503/"</f>
        <v>Volt ANTSZ Üres Madách u.1 /503/</v>
      </c>
      <c r="B2204" s="46">
        <v>5130000</v>
      </c>
      <c r="C2204" s="46">
        <v>1949677</v>
      </c>
      <c r="D2204" s="49">
        <f t="shared" si="67"/>
        <v>3180323</v>
      </c>
    </row>
    <row r="2205" spans="1:4">
      <c r="A2205" s="7" t="str">
        <f>"Üres Volt Utasell Madách u.1./503/"</f>
        <v>Üres Volt Utasell Madách u.1./503/</v>
      </c>
      <c r="B2205" s="46">
        <v>320000</v>
      </c>
      <c r="C2205" s="46">
        <v>121613</v>
      </c>
      <c r="D2205" s="49">
        <f t="shared" si="67"/>
        <v>198387</v>
      </c>
    </row>
    <row r="2206" spans="1:4">
      <c r="A2206" s="7" t="str">
        <f>"Üres Rákóczi út 6 / pince /"</f>
        <v>Üres Rákóczi út 6 / pince /</v>
      </c>
      <c r="B2206" s="46">
        <v>560000</v>
      </c>
      <c r="C2206" s="46">
        <v>212826</v>
      </c>
      <c r="D2206" s="49">
        <f t="shared" si="67"/>
        <v>347174</v>
      </c>
    </row>
    <row r="2207" spans="1:4">
      <c r="A2207" s="7" t="s">
        <v>389</v>
      </c>
      <c r="B2207" s="46">
        <v>2461243</v>
      </c>
      <c r="C2207" s="46">
        <v>360611</v>
      </c>
      <c r="D2207" s="49">
        <f t="shared" si="67"/>
        <v>2100632</v>
      </c>
    </row>
    <row r="2208" spans="1:4">
      <c r="A2208" s="7" t="s">
        <v>390</v>
      </c>
      <c r="B2208" s="46">
        <v>5280000</v>
      </c>
      <c r="C2208" s="46">
        <v>2006677</v>
      </c>
      <c r="D2208" s="49">
        <f t="shared" si="67"/>
        <v>3273323</v>
      </c>
    </row>
    <row r="2209" spans="1:4">
      <c r="A2209" s="7" t="s">
        <v>391</v>
      </c>
      <c r="B2209" s="46">
        <v>1620000</v>
      </c>
      <c r="C2209" s="46">
        <v>615689</v>
      </c>
      <c r="D2209" s="49">
        <f t="shared" si="67"/>
        <v>1004311</v>
      </c>
    </row>
    <row r="2210" spans="1:4">
      <c r="A2210" s="7" t="s">
        <v>392</v>
      </c>
      <c r="B2210" s="46">
        <v>1833804</v>
      </c>
      <c r="C2210" s="46">
        <v>651184</v>
      </c>
      <c r="D2210" s="49">
        <f t="shared" si="67"/>
        <v>1182620</v>
      </c>
    </row>
    <row r="2211" spans="1:4">
      <c r="A2211" s="7" t="str">
        <f>"Kisebbségi Önkormányzat Rákóczi út 18/A"</f>
        <v>Kisebbségi Önkormányzat Rákóczi út 18/A</v>
      </c>
      <c r="B2211" s="46">
        <v>9019825</v>
      </c>
      <c r="C2211" s="46">
        <v>2328501</v>
      </c>
      <c r="D2211" s="49">
        <f t="shared" si="67"/>
        <v>6691324</v>
      </c>
    </row>
    <row r="2212" spans="1:4">
      <c r="A2212" s="7" t="s">
        <v>393</v>
      </c>
      <c r="B2212" s="46">
        <v>8855000</v>
      </c>
      <c r="C2212" s="46">
        <v>3365373</v>
      </c>
      <c r="D2212" s="49">
        <f t="shared" si="67"/>
        <v>5489627</v>
      </c>
    </row>
    <row r="2213" spans="1:4">
      <c r="A2213" s="7" t="s">
        <v>394</v>
      </c>
      <c r="B2213" s="46">
        <v>22005372</v>
      </c>
      <c r="C2213" s="46">
        <v>7451116</v>
      </c>
      <c r="D2213" s="49">
        <f t="shared" si="67"/>
        <v>14554256</v>
      </c>
    </row>
    <row r="2214" spans="1:4">
      <c r="A2214" s="7" t="s">
        <v>395</v>
      </c>
      <c r="B2214" s="46">
        <v>7131324</v>
      </c>
      <c r="C2214" s="46">
        <v>2361707</v>
      </c>
      <c r="D2214" s="49">
        <f t="shared" si="67"/>
        <v>4769617</v>
      </c>
    </row>
    <row r="2215" spans="1:4">
      <c r="A2215" s="7" t="s">
        <v>397</v>
      </c>
      <c r="B2215" s="46">
        <v>229096473</v>
      </c>
      <c r="C2215" s="46">
        <v>177065718</v>
      </c>
      <c r="D2215" s="49">
        <f t="shared" si="67"/>
        <v>52030755</v>
      </c>
    </row>
    <row r="2216" spans="1:4">
      <c r="A2216" s="7" t="str">
        <f>"PIAC üzlethelység 1431/7/AD"</f>
        <v>PIAC üzlethelység 1431/7/AD</v>
      </c>
      <c r="B2216" s="46">
        <v>2000000</v>
      </c>
      <c r="C2216" s="46">
        <v>320110</v>
      </c>
      <c r="D2216" s="49">
        <f t="shared" si="67"/>
        <v>1679890</v>
      </c>
    </row>
    <row r="2217" spans="1:4">
      <c r="A2217" s="7" t="s">
        <v>545</v>
      </c>
      <c r="B2217" s="46">
        <v>500000</v>
      </c>
      <c r="C2217" s="46">
        <v>81568</v>
      </c>
      <c r="D2217" s="49">
        <f t="shared" si="67"/>
        <v>418432</v>
      </c>
    </row>
    <row r="2218" spans="1:4">
      <c r="A2218" s="7" t="s">
        <v>549</v>
      </c>
      <c r="B2218" s="46">
        <v>4508000</v>
      </c>
      <c r="C2218" s="46">
        <v>2248147</v>
      </c>
      <c r="D2218" s="49">
        <f t="shared" si="67"/>
        <v>2259853</v>
      </c>
    </row>
    <row r="2219" spans="1:4">
      <c r="A2219" s="7" t="s">
        <v>555</v>
      </c>
      <c r="B2219" s="46">
        <v>11879176</v>
      </c>
      <c r="C2219" s="46">
        <v>4579445</v>
      </c>
      <c r="D2219" s="49">
        <f t="shared" si="67"/>
        <v>7299731</v>
      </c>
    </row>
    <row r="2220" spans="1:4">
      <c r="A2220" s="7" t="s">
        <v>557</v>
      </c>
      <c r="B2220" s="46">
        <v>3931668</v>
      </c>
      <c r="C2220" s="46">
        <v>1835873</v>
      </c>
      <c r="D2220" s="49">
        <f t="shared" si="67"/>
        <v>2095795</v>
      </c>
    </row>
    <row r="2221" spans="1:4">
      <c r="A2221" s="7" t="s">
        <v>558</v>
      </c>
      <c r="B2221" s="46">
        <v>794000</v>
      </c>
      <c r="C2221" s="46">
        <v>539004</v>
      </c>
      <c r="D2221" s="49">
        <f t="shared" si="67"/>
        <v>254996</v>
      </c>
    </row>
    <row r="2222" spans="1:4">
      <c r="A2222" s="7" t="s">
        <v>559</v>
      </c>
      <c r="B2222" s="46">
        <v>218000</v>
      </c>
      <c r="C2222" s="46">
        <v>157124</v>
      </c>
      <c r="D2222" s="49">
        <f t="shared" si="67"/>
        <v>60876</v>
      </c>
    </row>
    <row r="2223" spans="1:4">
      <c r="A2223" s="7" t="s">
        <v>560</v>
      </c>
      <c r="B2223" s="46">
        <v>443500</v>
      </c>
      <c r="C2223" s="46">
        <v>310309</v>
      </c>
      <c r="D2223" s="49">
        <f t="shared" si="67"/>
        <v>133191</v>
      </c>
    </row>
    <row r="2224" spans="1:4">
      <c r="A2224" s="7" t="s">
        <v>561</v>
      </c>
      <c r="B2224" s="46">
        <v>812000</v>
      </c>
      <c r="C2224" s="46">
        <v>563107</v>
      </c>
      <c r="D2224" s="49">
        <f t="shared" si="67"/>
        <v>248893</v>
      </c>
    </row>
    <row r="2225" spans="1:4">
      <c r="A2225" s="7" t="s">
        <v>562</v>
      </c>
      <c r="B2225" s="46">
        <v>757440</v>
      </c>
      <c r="C2225" s="46">
        <v>508752</v>
      </c>
      <c r="D2225" s="49">
        <f t="shared" si="67"/>
        <v>248688</v>
      </c>
    </row>
    <row r="2226" spans="1:4">
      <c r="A2226" s="7" t="s">
        <v>563</v>
      </c>
      <c r="B2226" s="46">
        <v>979000</v>
      </c>
      <c r="C2226" s="46">
        <v>658905</v>
      </c>
      <c r="D2226" s="49">
        <f t="shared" si="67"/>
        <v>320095</v>
      </c>
    </row>
    <row r="2227" spans="1:4">
      <c r="A2227" s="7" t="s">
        <v>564</v>
      </c>
      <c r="B2227" s="46">
        <v>757000</v>
      </c>
      <c r="C2227" s="46">
        <v>532417</v>
      </c>
      <c r="D2227" s="49">
        <f t="shared" si="67"/>
        <v>224583</v>
      </c>
    </row>
    <row r="2228" spans="1:4">
      <c r="A2228" s="7" t="s">
        <v>565</v>
      </c>
      <c r="B2228" s="46">
        <v>3300000</v>
      </c>
      <c r="C2228" s="46">
        <v>1188177</v>
      </c>
      <c r="D2228" s="49">
        <f t="shared" si="67"/>
        <v>2111823</v>
      </c>
    </row>
    <row r="2229" spans="1:4">
      <c r="A2229" s="7" t="s">
        <v>566</v>
      </c>
      <c r="B2229" s="46">
        <v>1576179</v>
      </c>
      <c r="C2229" s="46">
        <v>798345</v>
      </c>
      <c r="D2229" s="49">
        <f t="shared" si="67"/>
        <v>777834</v>
      </c>
    </row>
    <row r="2230" spans="1:4">
      <c r="A2230" s="7" t="s">
        <v>567</v>
      </c>
      <c r="B2230" s="46">
        <v>479000</v>
      </c>
      <c r="C2230" s="46">
        <v>310878</v>
      </c>
      <c r="D2230" s="49">
        <f t="shared" si="67"/>
        <v>168122</v>
      </c>
    </row>
    <row r="2231" spans="1:4">
      <c r="A2231" s="7" t="s">
        <v>568</v>
      </c>
      <c r="B2231" s="46">
        <v>954000</v>
      </c>
      <c r="C2231" s="46">
        <v>619403</v>
      </c>
      <c r="D2231" s="49">
        <f t="shared" si="67"/>
        <v>334597</v>
      </c>
    </row>
    <row r="2232" spans="1:4">
      <c r="A2232" s="7" t="s">
        <v>569</v>
      </c>
      <c r="B2232" s="46">
        <v>1631195</v>
      </c>
      <c r="C2232" s="46">
        <v>1620048</v>
      </c>
      <c r="D2232" s="49">
        <f t="shared" si="67"/>
        <v>11147</v>
      </c>
    </row>
    <row r="2233" spans="1:4">
      <c r="A2233" s="7" t="s">
        <v>570</v>
      </c>
      <c r="B2233" s="46">
        <v>941195</v>
      </c>
      <c r="C2233" s="46">
        <v>730595</v>
      </c>
      <c r="D2233" s="49">
        <f t="shared" si="67"/>
        <v>210600</v>
      </c>
    </row>
    <row r="2234" spans="1:4">
      <c r="A2234" s="7" t="s">
        <v>571</v>
      </c>
      <c r="B2234" s="46">
        <v>946000</v>
      </c>
      <c r="C2234" s="46">
        <v>792684</v>
      </c>
      <c r="D2234" s="49">
        <f t="shared" si="67"/>
        <v>153316</v>
      </c>
    </row>
    <row r="2235" spans="1:4">
      <c r="A2235" s="7" t="s">
        <v>576</v>
      </c>
      <c r="B2235" s="46">
        <v>5403000</v>
      </c>
      <c r="C2235" s="46">
        <v>3254175</v>
      </c>
      <c r="D2235" s="49">
        <f t="shared" si="67"/>
        <v>2148825</v>
      </c>
    </row>
    <row r="2236" spans="1:4">
      <c r="A2236" s="7" t="s">
        <v>577</v>
      </c>
      <c r="B2236" s="46">
        <v>338000</v>
      </c>
      <c r="C2236" s="46">
        <v>209687</v>
      </c>
      <c r="D2236" s="49">
        <f t="shared" si="67"/>
        <v>128313</v>
      </c>
    </row>
    <row r="2237" spans="1:4">
      <c r="A2237" s="7" t="str">
        <f>"Önkorm.lakás Rákóczi út 96/A. 1db"</f>
        <v>Önkorm.lakás Rákóczi út 96/A. 1db</v>
      </c>
      <c r="B2237" s="46">
        <v>86750</v>
      </c>
      <c r="C2237" s="46">
        <v>46608</v>
      </c>
      <c r="D2237" s="49">
        <f t="shared" si="67"/>
        <v>40142</v>
      </c>
    </row>
    <row r="2238" spans="1:4">
      <c r="A2238" s="7" t="s">
        <v>578</v>
      </c>
      <c r="B2238" s="46">
        <v>1550000</v>
      </c>
      <c r="C2238" s="46">
        <v>775081</v>
      </c>
      <c r="D2238" s="49">
        <f t="shared" si="67"/>
        <v>774919</v>
      </c>
    </row>
    <row r="2239" spans="1:4">
      <c r="A2239" s="7" t="s">
        <v>579</v>
      </c>
      <c r="B2239" s="46">
        <v>590437</v>
      </c>
      <c r="C2239" s="46">
        <v>320396</v>
      </c>
      <c r="D2239" s="49">
        <f t="shared" si="67"/>
        <v>270041</v>
      </c>
    </row>
    <row r="2240" spans="1:4">
      <c r="A2240" s="7" t="s">
        <v>581</v>
      </c>
      <c r="B2240" s="46">
        <v>1013000</v>
      </c>
      <c r="C2240" s="46">
        <v>599476</v>
      </c>
      <c r="D2240" s="49">
        <f t="shared" si="67"/>
        <v>413524</v>
      </c>
    </row>
    <row r="2241" spans="1:4">
      <c r="A2241" s="7" t="s">
        <v>582</v>
      </c>
      <c r="B2241" s="46">
        <v>6094172</v>
      </c>
      <c r="C2241" s="46">
        <v>1568927</v>
      </c>
      <c r="D2241" s="49">
        <f t="shared" si="67"/>
        <v>4525245</v>
      </c>
    </row>
    <row r="2242" spans="1:4">
      <c r="A2242" s="7" t="s">
        <v>583</v>
      </c>
      <c r="B2242" s="46">
        <v>4412000</v>
      </c>
      <c r="C2242" s="46">
        <v>1125701</v>
      </c>
      <c r="D2242" s="49">
        <f t="shared" si="67"/>
        <v>3286299</v>
      </c>
    </row>
    <row r="2243" spans="1:4">
      <c r="A2243" s="7" t="s">
        <v>584</v>
      </c>
      <c r="B2243" s="46">
        <v>2446000</v>
      </c>
      <c r="C2243" s="46">
        <v>685144</v>
      </c>
      <c r="D2243" s="49">
        <f t="shared" si="67"/>
        <v>1760856</v>
      </c>
    </row>
    <row r="2244" spans="1:4">
      <c r="A2244" s="7" t="str">
        <f>"Trikál u. 4 Óvodai Konyha 201/1"</f>
        <v>Trikál u. 4 Óvodai Konyha 201/1</v>
      </c>
      <c r="B2244" s="46">
        <v>4582900</v>
      </c>
      <c r="C2244" s="46">
        <v>2785502</v>
      </c>
      <c r="D2244" s="49">
        <f t="shared" si="67"/>
        <v>1797398</v>
      </c>
    </row>
    <row r="2245" spans="1:4">
      <c r="A2245" s="7" t="s">
        <v>596</v>
      </c>
      <c r="B2245" s="46">
        <v>3271585</v>
      </c>
      <c r="C2245" s="46">
        <v>2639678</v>
      </c>
      <c r="D2245" s="49">
        <f t="shared" si="67"/>
        <v>631907</v>
      </c>
    </row>
    <row r="2246" spans="1:4">
      <c r="A2246" s="7" t="s">
        <v>598</v>
      </c>
      <c r="B2246" s="46">
        <v>1126497</v>
      </c>
      <c r="C2246" s="46">
        <v>713853</v>
      </c>
      <c r="D2246" s="49">
        <f t="shared" si="67"/>
        <v>412644</v>
      </c>
    </row>
    <row r="2247" spans="1:4">
      <c r="A2247" s="7" t="s">
        <v>599</v>
      </c>
      <c r="B2247" s="46">
        <v>180000</v>
      </c>
      <c r="C2247" s="46">
        <v>151178</v>
      </c>
      <c r="D2247" s="49">
        <f t="shared" si="67"/>
        <v>28822</v>
      </c>
    </row>
    <row r="2248" spans="1:4">
      <c r="A2248" s="7" t="str">
        <f>"Szent-Györgyi A. Garázs 946/18"</f>
        <v>Szent-Györgyi A. Garázs 946/18</v>
      </c>
      <c r="B2248" s="46">
        <v>92752</v>
      </c>
      <c r="C2248" s="46">
        <v>11133</v>
      </c>
      <c r="D2248" s="49">
        <f t="shared" si="67"/>
        <v>81619</v>
      </c>
    </row>
    <row r="2249" spans="1:4">
      <c r="A2249" s="7" t="s">
        <v>600</v>
      </c>
      <c r="B2249" s="46">
        <v>545909</v>
      </c>
      <c r="C2249" s="46">
        <v>248426</v>
      </c>
      <c r="D2249" s="49">
        <f t="shared" ref="D2249:D2306" si="68">B2249-C2249</f>
        <v>297483</v>
      </c>
    </row>
    <row r="2250" spans="1:4">
      <c r="A2250" s="7" t="s">
        <v>601</v>
      </c>
      <c r="B2250" s="46">
        <v>1180294</v>
      </c>
      <c r="C2250" s="46">
        <v>878711</v>
      </c>
      <c r="D2250" s="49">
        <f t="shared" si="68"/>
        <v>301583</v>
      </c>
    </row>
    <row r="2251" spans="1:4">
      <c r="A2251" s="7" t="s">
        <v>603</v>
      </c>
      <c r="B2251" s="46">
        <v>595600</v>
      </c>
      <c r="C2251" s="46">
        <v>585680</v>
      </c>
      <c r="D2251" s="49">
        <f t="shared" si="68"/>
        <v>9920</v>
      </c>
    </row>
    <row r="2252" spans="1:4">
      <c r="A2252" s="7" t="s">
        <v>604</v>
      </c>
      <c r="B2252" s="46">
        <v>792000</v>
      </c>
      <c r="C2252" s="46">
        <v>620949</v>
      </c>
      <c r="D2252" s="49">
        <f t="shared" si="68"/>
        <v>171051</v>
      </c>
    </row>
    <row r="2253" spans="1:4">
      <c r="A2253" s="7" t="str">
        <f>"Mikszát 12 kazánház 698/1/A/2"</f>
        <v>Mikszát 12 kazánház 698/1/A/2</v>
      </c>
      <c r="B2253" s="46">
        <v>490220</v>
      </c>
      <c r="C2253" s="46">
        <v>41687</v>
      </c>
      <c r="D2253" s="49">
        <f t="shared" si="68"/>
        <v>448533</v>
      </c>
    </row>
    <row r="2254" spans="1:4">
      <c r="A2254" s="7" t="str">
        <f>"Rákóczi út 25. 1/7.  1583/A/7"</f>
        <v>Rákóczi út 25. 1/7.  1583/A/7</v>
      </c>
      <c r="B2254" s="46">
        <v>3800000</v>
      </c>
      <c r="C2254" s="46">
        <v>306499</v>
      </c>
      <c r="D2254" s="49">
        <f t="shared" si="68"/>
        <v>3493501</v>
      </c>
    </row>
    <row r="2255" spans="1:4">
      <c r="A2255" s="7" t="s">
        <v>607</v>
      </c>
      <c r="B2255" s="46">
        <v>7756644</v>
      </c>
      <c r="C2255" s="46">
        <v>620956</v>
      </c>
      <c r="D2255" s="49">
        <f t="shared" si="68"/>
        <v>7135688</v>
      </c>
    </row>
    <row r="2256" spans="1:4">
      <c r="A2256" s="7" t="str">
        <f>"Lakás Rákóczi út 25. I/6 1583/A/6"</f>
        <v>Lakás Rákóczi út 25. I/6 1583/A/6</v>
      </c>
      <c r="B2256" s="46">
        <v>3400000</v>
      </c>
      <c r="C2256" s="46">
        <v>273677</v>
      </c>
      <c r="D2256" s="49">
        <f t="shared" si="68"/>
        <v>3126323</v>
      </c>
    </row>
    <row r="2257" spans="1:4">
      <c r="A2257" s="7" t="s">
        <v>633</v>
      </c>
      <c r="B2257" s="46">
        <v>6600000</v>
      </c>
      <c r="C2257" s="46">
        <v>1352910</v>
      </c>
      <c r="D2257" s="49">
        <f t="shared" si="68"/>
        <v>5247090</v>
      </c>
    </row>
    <row r="2258" spans="1:4">
      <c r="A2258" s="7" t="s">
        <v>635</v>
      </c>
      <c r="B2258" s="46">
        <v>6181760</v>
      </c>
      <c r="C2258" s="46">
        <v>1216423</v>
      </c>
      <c r="D2258" s="49">
        <f t="shared" si="68"/>
        <v>4965337</v>
      </c>
    </row>
    <row r="2259" spans="1:4">
      <c r="A2259" s="7" t="s">
        <v>647</v>
      </c>
      <c r="B2259" s="46">
        <v>611000</v>
      </c>
      <c r="C2259" s="46">
        <v>367769</v>
      </c>
      <c r="D2259" s="49">
        <f t="shared" si="68"/>
        <v>243231</v>
      </c>
    </row>
    <row r="2260" spans="1:4">
      <c r="A2260" s="7" t="s">
        <v>648</v>
      </c>
      <c r="B2260" s="46">
        <v>1065000</v>
      </c>
      <c r="C2260" s="46">
        <v>693150</v>
      </c>
      <c r="D2260" s="49">
        <f t="shared" si="68"/>
        <v>371850</v>
      </c>
    </row>
    <row r="2261" spans="1:4">
      <c r="A2261" s="7" t="s">
        <v>649</v>
      </c>
      <c r="B2261" s="46">
        <v>13596602</v>
      </c>
      <c r="C2261" s="46">
        <v>5573951</v>
      </c>
      <c r="D2261" s="49">
        <f t="shared" si="68"/>
        <v>8022651</v>
      </c>
    </row>
    <row r="2262" spans="1:4">
      <c r="A2262" s="7" t="str">
        <f>"Önkorm.lakás Dózsa Gy.u.41/A. 7db"</f>
        <v>Önkorm.lakás Dózsa Gy.u.41/A. 7db</v>
      </c>
      <c r="B2262" s="46">
        <v>18961200</v>
      </c>
      <c r="C2262" s="46">
        <v>8652269</v>
      </c>
      <c r="D2262" s="49">
        <f t="shared" si="68"/>
        <v>10308931</v>
      </c>
    </row>
    <row r="2263" spans="1:4">
      <c r="A2263" s="7" t="str">
        <f>"Önkorm.lakás Dózsa Gy.u.41/B. 7db"</f>
        <v>Önkorm.lakás Dózsa Gy.u.41/B. 7db</v>
      </c>
      <c r="B2263" s="46">
        <v>38506307</v>
      </c>
      <c r="C2263" s="46">
        <v>14138027</v>
      </c>
      <c r="D2263" s="49">
        <f t="shared" si="68"/>
        <v>24368280</v>
      </c>
    </row>
    <row r="2264" spans="1:4">
      <c r="A2264" s="7" t="s">
        <v>651</v>
      </c>
      <c r="B2264" s="46">
        <v>8006000</v>
      </c>
      <c r="C2264" s="46">
        <v>5136474</v>
      </c>
      <c r="D2264" s="49">
        <f t="shared" si="68"/>
        <v>2869526</v>
      </c>
    </row>
    <row r="2265" spans="1:4">
      <c r="A2265" s="7" t="s">
        <v>652</v>
      </c>
      <c r="B2265" s="46">
        <v>1279000</v>
      </c>
      <c r="C2265" s="46">
        <v>1233922</v>
      </c>
      <c r="D2265" s="49">
        <f t="shared" si="68"/>
        <v>45078</v>
      </c>
    </row>
    <row r="2266" spans="1:4">
      <c r="A2266" s="7" t="s">
        <v>653</v>
      </c>
      <c r="B2266" s="46">
        <v>215000</v>
      </c>
      <c r="C2266" s="46">
        <v>208104</v>
      </c>
      <c r="D2266" s="49">
        <f t="shared" si="68"/>
        <v>6896</v>
      </c>
    </row>
    <row r="2267" spans="1:4">
      <c r="A2267" s="7" t="s">
        <v>655</v>
      </c>
      <c r="B2267" s="46">
        <v>592000</v>
      </c>
      <c r="C2267" s="46">
        <v>352295</v>
      </c>
      <c r="D2267" s="49">
        <f t="shared" si="68"/>
        <v>239705</v>
      </c>
    </row>
    <row r="2268" spans="1:4">
      <c r="A2268" s="7" t="s">
        <v>657</v>
      </c>
      <c r="B2268" s="46">
        <v>1438901</v>
      </c>
      <c r="C2268" s="46">
        <v>664437</v>
      </c>
      <c r="D2268" s="49">
        <f t="shared" si="68"/>
        <v>774464</v>
      </c>
    </row>
    <row r="2269" spans="1:4">
      <c r="A2269" s="7" t="s">
        <v>658</v>
      </c>
      <c r="B2269" s="46">
        <v>4716235</v>
      </c>
      <c r="C2269" s="46">
        <v>1634794</v>
      </c>
      <c r="D2269" s="49">
        <f t="shared" si="68"/>
        <v>3081441</v>
      </c>
    </row>
    <row r="2270" spans="1:4">
      <c r="A2270" s="7" t="s">
        <v>659</v>
      </c>
      <c r="B2270" s="46">
        <v>2316000</v>
      </c>
      <c r="C2270" s="46">
        <v>1210554</v>
      </c>
      <c r="D2270" s="49">
        <f t="shared" si="68"/>
        <v>1105446</v>
      </c>
    </row>
    <row r="2271" spans="1:4">
      <c r="A2271" s="7" t="s">
        <v>660</v>
      </c>
      <c r="B2271" s="46">
        <v>1100000</v>
      </c>
      <c r="C2271" s="46">
        <v>550051</v>
      </c>
      <c r="D2271" s="49">
        <f t="shared" si="68"/>
        <v>549949</v>
      </c>
    </row>
    <row r="2272" spans="1:4">
      <c r="A2272" s="7" t="s">
        <v>661</v>
      </c>
      <c r="B2272" s="46">
        <v>235000</v>
      </c>
      <c r="C2272" s="46">
        <v>144909</v>
      </c>
      <c r="D2272" s="49">
        <f t="shared" si="68"/>
        <v>90091</v>
      </c>
    </row>
    <row r="2273" spans="1:4">
      <c r="A2273" s="7" t="s">
        <v>662</v>
      </c>
      <c r="B2273" s="46">
        <v>1055000</v>
      </c>
      <c r="C2273" s="46">
        <v>719749</v>
      </c>
      <c r="D2273" s="49">
        <f t="shared" si="68"/>
        <v>335251</v>
      </c>
    </row>
    <row r="2274" spans="1:4">
      <c r="A2274" s="7" t="s">
        <v>664</v>
      </c>
      <c r="B2274" s="46">
        <v>3908000</v>
      </c>
      <c r="C2274" s="46">
        <v>1712926</v>
      </c>
      <c r="D2274" s="49">
        <f t="shared" si="68"/>
        <v>2195074</v>
      </c>
    </row>
    <row r="2275" spans="1:4">
      <c r="A2275" s="7" t="str">
        <f>"Önkorm.lakás Ipolyjáró u.2-4/A.tt.8."</f>
        <v>Önkorm.lakás Ipolyjáró u.2-4/A.tt.8.</v>
      </c>
      <c r="B2275" s="46">
        <v>7355000</v>
      </c>
      <c r="C2275" s="46">
        <v>2192719</v>
      </c>
      <c r="D2275" s="49">
        <f t="shared" si="68"/>
        <v>5162281</v>
      </c>
    </row>
    <row r="2276" spans="1:4">
      <c r="A2276" s="7" t="str">
        <f>"Önkorm.lakás Ipolyjáró u.2-4/A.tt.6."</f>
        <v>Önkorm.lakás Ipolyjáró u.2-4/A.tt.6.</v>
      </c>
      <c r="B2276" s="46">
        <v>8107000</v>
      </c>
      <c r="C2276" s="46">
        <v>2418670</v>
      </c>
      <c r="D2276" s="49">
        <f t="shared" si="68"/>
        <v>5688330</v>
      </c>
    </row>
    <row r="2277" spans="1:4">
      <c r="A2277" s="7" t="str">
        <f>"Önkorm.lakás Ipolyjáró u.2-4/A.fsz.7."</f>
        <v>Önkorm.lakás Ipolyjáró u.2-4/A.fsz.7.</v>
      </c>
      <c r="B2277" s="46">
        <v>5894000</v>
      </c>
      <c r="C2277" s="46">
        <v>1762562</v>
      </c>
      <c r="D2277" s="49">
        <f t="shared" si="68"/>
        <v>4131438</v>
      </c>
    </row>
    <row r="2278" spans="1:4">
      <c r="A2278" s="7" t="str">
        <f>"Önkorm.lakás Ipolyjáró u.2-4/A.fsz.6."</f>
        <v>Önkorm.lakás Ipolyjáró u.2-4/A.fsz.6.</v>
      </c>
      <c r="B2278" s="46">
        <v>7573000</v>
      </c>
      <c r="C2278" s="46">
        <v>2264278</v>
      </c>
      <c r="D2278" s="49">
        <f t="shared" si="68"/>
        <v>5308722</v>
      </c>
    </row>
    <row r="2279" spans="1:4">
      <c r="A2279" s="7" t="str">
        <f>"Önkorm.lakás Ipolyjáró u.2-4/A.fsz.5."</f>
        <v>Önkorm.lakás Ipolyjáró u.2-4/A.fsz.5.</v>
      </c>
      <c r="B2279" s="46">
        <v>7417000</v>
      </c>
      <c r="C2279" s="46">
        <v>2217668</v>
      </c>
      <c r="D2279" s="49">
        <f t="shared" si="68"/>
        <v>5199332</v>
      </c>
    </row>
    <row r="2280" spans="1:4">
      <c r="A2280" s="7" t="str">
        <f>"Önkorm.lakás Ipolyjáró u.2-4/A.fsz.4."</f>
        <v>Önkorm.lakás Ipolyjáró u.2-4/A.fsz.4.</v>
      </c>
      <c r="B2280" s="46">
        <v>5369000</v>
      </c>
      <c r="C2280" s="46">
        <v>1605690</v>
      </c>
      <c r="D2280" s="49">
        <f t="shared" si="68"/>
        <v>3763310</v>
      </c>
    </row>
    <row r="2281" spans="1:4">
      <c r="A2281" s="7" t="s">
        <v>666</v>
      </c>
      <c r="B2281" s="46">
        <v>2500000</v>
      </c>
      <c r="C2281" s="46">
        <v>732877</v>
      </c>
      <c r="D2281" s="49">
        <f t="shared" si="68"/>
        <v>1767123</v>
      </c>
    </row>
    <row r="2282" spans="1:4">
      <c r="A2282" s="7" t="s">
        <v>667</v>
      </c>
      <c r="B2282" s="46">
        <v>8539582</v>
      </c>
      <c r="C2282" s="46">
        <v>2472885</v>
      </c>
      <c r="D2282" s="49">
        <f t="shared" si="68"/>
        <v>6066697</v>
      </c>
    </row>
    <row r="2283" spans="1:4">
      <c r="A2283" s="7" t="s">
        <v>668</v>
      </c>
      <c r="B2283" s="46">
        <v>13098921</v>
      </c>
      <c r="C2283" s="46">
        <v>3795445</v>
      </c>
      <c r="D2283" s="49">
        <f t="shared" si="68"/>
        <v>9303476</v>
      </c>
    </row>
    <row r="2284" spans="1:4">
      <c r="A2284" s="7" t="str">
        <f>"Önkorm.lakás Patvarci u.20.I/1."</f>
        <v>Önkorm.lakás Patvarci u.20.I/1.</v>
      </c>
      <c r="B2284" s="46">
        <v>10521903</v>
      </c>
      <c r="C2284" s="46">
        <v>3047908</v>
      </c>
      <c r="D2284" s="49">
        <f t="shared" si="68"/>
        <v>7473995</v>
      </c>
    </row>
    <row r="2285" spans="1:4">
      <c r="A2285" s="7" t="str">
        <f>"Önkorm.lakás Patvarci u.20.I/2."</f>
        <v>Önkorm.lakás Patvarci u.20.I/2.</v>
      </c>
      <c r="B2285" s="46">
        <v>8143117</v>
      </c>
      <c r="C2285" s="46">
        <v>2357875</v>
      </c>
      <c r="D2285" s="49">
        <f t="shared" si="68"/>
        <v>5785242</v>
      </c>
    </row>
    <row r="2286" spans="1:4">
      <c r="A2286" s="7" t="str">
        <f>"Önkorm.lakás Patvarci u.20.I/3."</f>
        <v>Önkorm.lakás Patvarci u.20.I/3.</v>
      </c>
      <c r="B2286" s="46">
        <v>8539582</v>
      </c>
      <c r="C2286" s="46">
        <v>2472873</v>
      </c>
      <c r="D2286" s="49">
        <f t="shared" si="68"/>
        <v>6066709</v>
      </c>
    </row>
    <row r="2287" spans="1:4">
      <c r="A2287" s="7" t="str">
        <f>"Önkorm.lakás Patvarci u.20.I/4."</f>
        <v>Önkorm.lakás Patvarci u.20.I/4.</v>
      </c>
      <c r="B2287" s="46">
        <v>8539582</v>
      </c>
      <c r="C2287" s="46">
        <v>2472873</v>
      </c>
      <c r="D2287" s="49">
        <f t="shared" si="68"/>
        <v>6066709</v>
      </c>
    </row>
    <row r="2288" spans="1:4">
      <c r="A2288" s="7" t="s">
        <v>669</v>
      </c>
      <c r="B2288" s="46">
        <v>9927207</v>
      </c>
      <c r="C2288" s="46">
        <v>2875391</v>
      </c>
      <c r="D2288" s="49">
        <f t="shared" si="68"/>
        <v>7051816</v>
      </c>
    </row>
    <row r="2289" spans="1:4">
      <c r="A2289" s="7" t="s">
        <v>670</v>
      </c>
      <c r="B2289" s="46">
        <v>7151956</v>
      </c>
      <c r="C2289" s="46">
        <v>2070353</v>
      </c>
      <c r="D2289" s="49">
        <f t="shared" si="68"/>
        <v>5081603</v>
      </c>
    </row>
    <row r="2290" spans="1:4">
      <c r="A2290" s="7" t="s">
        <v>671</v>
      </c>
      <c r="B2290" s="46">
        <v>7944885</v>
      </c>
      <c r="C2290" s="46">
        <v>2300359</v>
      </c>
      <c r="D2290" s="49">
        <f t="shared" si="68"/>
        <v>5644526</v>
      </c>
    </row>
    <row r="2291" spans="1:4">
      <c r="A2291" s="7" t="s">
        <v>672</v>
      </c>
      <c r="B2291" s="46">
        <v>7944885</v>
      </c>
      <c r="C2291" s="46">
        <v>2300359</v>
      </c>
      <c r="D2291" s="49">
        <f t="shared" si="68"/>
        <v>5644526</v>
      </c>
    </row>
    <row r="2292" spans="1:4">
      <c r="A2292" s="7" t="s">
        <v>673</v>
      </c>
      <c r="B2292" s="46">
        <v>3430000</v>
      </c>
      <c r="C2292" s="46">
        <v>960771</v>
      </c>
      <c r="D2292" s="49">
        <f t="shared" si="68"/>
        <v>2469229</v>
      </c>
    </row>
    <row r="2293" spans="1:4">
      <c r="A2293" s="7" t="s">
        <v>674</v>
      </c>
      <c r="B2293" s="46">
        <v>697000</v>
      </c>
      <c r="C2293" s="46">
        <v>195232</v>
      </c>
      <c r="D2293" s="49">
        <f t="shared" si="68"/>
        <v>501768</v>
      </c>
    </row>
    <row r="2294" spans="1:4">
      <c r="A2294" s="7" t="s">
        <v>696</v>
      </c>
      <c r="B2294" s="46">
        <v>2197000</v>
      </c>
      <c r="C2294" s="46">
        <v>750557</v>
      </c>
      <c r="D2294" s="49">
        <f t="shared" si="68"/>
        <v>1446443</v>
      </c>
    </row>
    <row r="2295" spans="1:4">
      <c r="A2295" s="7" t="str">
        <f>"Lakás Móricz Zs. 8.I.LH IV.12. 946/16/11"</f>
        <v>Lakás Móricz Zs. 8.I.LH IV.12. 946/16/11</v>
      </c>
      <c r="B2295" s="46">
        <v>4500000</v>
      </c>
      <c r="C2295" s="46">
        <v>1350734</v>
      </c>
      <c r="D2295" s="49">
        <f t="shared" si="68"/>
        <v>3149266</v>
      </c>
    </row>
    <row r="2296" spans="1:4">
      <c r="A2296" s="7" t="str">
        <f>"Lakás Arany J. 1. FSZ.2. 1205/1/A/5"</f>
        <v>Lakás Arany J. 1. FSZ.2. 1205/1/A/5</v>
      </c>
      <c r="B2296" s="46">
        <v>6200000</v>
      </c>
      <c r="C2296" s="46">
        <v>1861015</v>
      </c>
      <c r="D2296" s="49">
        <f t="shared" si="68"/>
        <v>4338985</v>
      </c>
    </row>
    <row r="2297" spans="1:4">
      <c r="A2297" s="7" t="str">
        <f>"Társasház 1205/1"</f>
        <v>Társasház 1205/1</v>
      </c>
      <c r="B2297" s="46">
        <v>90500</v>
      </c>
      <c r="C2297" s="46">
        <v>20363</v>
      </c>
      <c r="D2297" s="49">
        <f t="shared" si="68"/>
        <v>70137</v>
      </c>
    </row>
    <row r="2298" spans="1:4">
      <c r="A2298" s="7" t="str">
        <f>"Társasház 1678/1"</f>
        <v>Társasház 1678/1</v>
      </c>
      <c r="B2298" s="46">
        <v>1061195</v>
      </c>
      <c r="C2298" s="46">
        <v>238872</v>
      </c>
      <c r="D2298" s="49">
        <f t="shared" si="68"/>
        <v>822323</v>
      </c>
    </row>
    <row r="2299" spans="1:4">
      <c r="A2299" s="7" t="str">
        <f>"Társasház 1584/2"</f>
        <v>Társasház 1584/2</v>
      </c>
      <c r="B2299" s="46">
        <v>28887718</v>
      </c>
      <c r="C2299" s="46">
        <v>6502511</v>
      </c>
      <c r="D2299" s="49">
        <f t="shared" si="68"/>
        <v>22385207</v>
      </c>
    </row>
    <row r="2300" spans="1:4">
      <c r="A2300" s="7" t="s">
        <v>765</v>
      </c>
      <c r="B2300" s="46">
        <v>11858019</v>
      </c>
      <c r="C2300" s="46">
        <v>2914889</v>
      </c>
      <c r="D2300" s="49">
        <f t="shared" si="68"/>
        <v>8943130</v>
      </c>
    </row>
    <row r="2301" spans="1:4">
      <c r="A2301" s="7" t="str">
        <f>"Bajcsy 9./pince/"</f>
        <v>Bajcsy 9./pince/</v>
      </c>
      <c r="B2301" s="46">
        <v>1332240</v>
      </c>
      <c r="C2301" s="46">
        <v>499675</v>
      </c>
      <c r="D2301" s="49">
        <f t="shared" si="68"/>
        <v>832565</v>
      </c>
    </row>
    <row r="2302" spans="1:4">
      <c r="A2302" s="7" t="str">
        <f>"Bajcsy 9. /pince/"</f>
        <v>Bajcsy 9. /pince/</v>
      </c>
      <c r="B2302" s="46">
        <v>512400</v>
      </c>
      <c r="C2302" s="46">
        <v>192179</v>
      </c>
      <c r="D2302" s="49">
        <f t="shared" si="68"/>
        <v>320221</v>
      </c>
    </row>
    <row r="2303" spans="1:4">
      <c r="A2303" s="7" t="str">
        <f>"Bajcsy 9./pince/"</f>
        <v>Bajcsy 9./pince/</v>
      </c>
      <c r="B2303" s="46">
        <v>495360</v>
      </c>
      <c r="C2303" s="46">
        <v>185782</v>
      </c>
      <c r="D2303" s="49">
        <f t="shared" si="68"/>
        <v>309578</v>
      </c>
    </row>
    <row r="2304" spans="1:4">
      <c r="A2304" s="7" t="s">
        <v>766</v>
      </c>
      <c r="B2304" s="46">
        <v>4761000</v>
      </c>
      <c r="C2304" s="46">
        <v>1333603</v>
      </c>
      <c r="D2304" s="49">
        <f t="shared" si="68"/>
        <v>3427397</v>
      </c>
    </row>
    <row r="2305" spans="1:4">
      <c r="A2305" s="7" t="s">
        <v>767</v>
      </c>
      <c r="B2305" s="46">
        <v>29405000</v>
      </c>
      <c r="C2305" s="46">
        <v>8229725</v>
      </c>
      <c r="D2305" s="49">
        <f t="shared" si="68"/>
        <v>21175275</v>
      </c>
    </row>
    <row r="2306" spans="1:4">
      <c r="A2306" s="7" t="s">
        <v>829</v>
      </c>
      <c r="B2306" s="46">
        <v>6855620</v>
      </c>
      <c r="C2306" s="46">
        <v>2557128</v>
      </c>
      <c r="D2306" s="49">
        <f t="shared" si="68"/>
        <v>4298492</v>
      </c>
    </row>
    <row r="2307" spans="1:4">
      <c r="A2307" s="7" t="s">
        <v>830</v>
      </c>
      <c r="B2307" s="46">
        <v>990000</v>
      </c>
      <c r="C2307" s="46">
        <v>376246</v>
      </c>
      <c r="D2307" s="49">
        <f t="shared" ref="D2307:D2357" si="69">B2307-C2307</f>
        <v>613754</v>
      </c>
    </row>
    <row r="2308" spans="1:4">
      <c r="A2308" s="7" t="s">
        <v>831</v>
      </c>
      <c r="B2308" s="46">
        <v>1748580</v>
      </c>
      <c r="C2308" s="46">
        <v>661473</v>
      </c>
      <c r="D2308" s="49">
        <f t="shared" si="69"/>
        <v>1087107</v>
      </c>
    </row>
    <row r="2309" spans="1:4">
      <c r="A2309" s="7" t="s">
        <v>832</v>
      </c>
      <c r="B2309" s="46">
        <v>4084200</v>
      </c>
      <c r="C2309" s="46">
        <v>1323534</v>
      </c>
      <c r="D2309" s="49">
        <f t="shared" si="69"/>
        <v>2760666</v>
      </c>
    </row>
    <row r="2310" spans="1:4">
      <c r="A2310" s="7" t="s">
        <v>833</v>
      </c>
      <c r="B2310" s="46">
        <v>5392132</v>
      </c>
      <c r="C2310" s="46">
        <v>2048168</v>
      </c>
      <c r="D2310" s="49">
        <f t="shared" si="69"/>
        <v>3343964</v>
      </c>
    </row>
    <row r="2311" spans="1:4">
      <c r="A2311" s="7" t="s">
        <v>834</v>
      </c>
      <c r="B2311" s="46">
        <v>5206197</v>
      </c>
      <c r="C2311" s="46">
        <v>1977546</v>
      </c>
      <c r="D2311" s="49">
        <f t="shared" si="69"/>
        <v>3228651</v>
      </c>
    </row>
    <row r="2312" spans="1:4">
      <c r="A2312" s="7" t="s">
        <v>835</v>
      </c>
      <c r="B2312" s="46">
        <v>5392132</v>
      </c>
      <c r="C2312" s="46">
        <v>2048168</v>
      </c>
      <c r="D2312" s="49">
        <f t="shared" si="69"/>
        <v>3343964</v>
      </c>
    </row>
    <row r="2313" spans="1:4">
      <c r="A2313" s="7" t="s">
        <v>836</v>
      </c>
      <c r="B2313" s="46">
        <v>21623809</v>
      </c>
      <c r="C2313" s="46">
        <v>2995609</v>
      </c>
      <c r="D2313" s="49">
        <f t="shared" si="69"/>
        <v>18628200</v>
      </c>
    </row>
    <row r="2314" spans="1:4">
      <c r="A2314" s="7" t="s">
        <v>837</v>
      </c>
      <c r="B2314" s="46">
        <v>637518</v>
      </c>
      <c r="C2314" s="46">
        <v>237681</v>
      </c>
      <c r="D2314" s="49">
        <f t="shared" si="69"/>
        <v>399837</v>
      </c>
    </row>
    <row r="2315" spans="1:4">
      <c r="A2315" s="7" t="s">
        <v>838</v>
      </c>
      <c r="B2315" s="46">
        <v>9808120</v>
      </c>
      <c r="C2315" s="46">
        <v>3725575</v>
      </c>
      <c r="D2315" s="49">
        <f t="shared" si="69"/>
        <v>6082545</v>
      </c>
    </row>
    <row r="2316" spans="1:4">
      <c r="A2316" s="7" t="s">
        <v>839</v>
      </c>
      <c r="B2316" s="46">
        <v>1580453</v>
      </c>
      <c r="C2316" s="46">
        <v>600322</v>
      </c>
      <c r="D2316" s="49">
        <f t="shared" si="69"/>
        <v>980131</v>
      </c>
    </row>
    <row r="2317" spans="1:4">
      <c r="A2317" s="7" t="s">
        <v>840</v>
      </c>
      <c r="B2317" s="46">
        <v>604291</v>
      </c>
      <c r="C2317" s="46">
        <v>229529</v>
      </c>
      <c r="D2317" s="49">
        <f t="shared" si="69"/>
        <v>374762</v>
      </c>
    </row>
    <row r="2318" spans="1:4">
      <c r="A2318" s="7" t="s">
        <v>841</v>
      </c>
      <c r="B2318" s="46">
        <v>1000000</v>
      </c>
      <c r="C2318" s="46">
        <v>380050</v>
      </c>
      <c r="D2318" s="49">
        <f t="shared" si="69"/>
        <v>619950</v>
      </c>
    </row>
    <row r="2319" spans="1:4">
      <c r="A2319" s="7" t="s">
        <v>842</v>
      </c>
      <c r="B2319" s="46">
        <v>14447080</v>
      </c>
      <c r="C2319" s="46">
        <v>4559283</v>
      </c>
      <c r="D2319" s="49">
        <f t="shared" si="69"/>
        <v>9887797</v>
      </c>
    </row>
    <row r="2320" spans="1:4">
      <c r="A2320" s="7" t="s">
        <v>843</v>
      </c>
      <c r="B2320" s="46">
        <v>5099401</v>
      </c>
      <c r="C2320" s="46">
        <v>1919734</v>
      </c>
      <c r="D2320" s="49">
        <f t="shared" si="69"/>
        <v>3179667</v>
      </c>
    </row>
    <row r="2321" spans="1:4">
      <c r="A2321" s="7" t="s">
        <v>844</v>
      </c>
      <c r="B2321" s="46">
        <v>5453080</v>
      </c>
      <c r="C2321" s="46">
        <v>2038486</v>
      </c>
      <c r="D2321" s="49">
        <f t="shared" si="69"/>
        <v>3414594</v>
      </c>
    </row>
    <row r="2322" spans="1:4">
      <c r="A2322" s="7" t="s">
        <v>845</v>
      </c>
      <c r="B2322" s="46">
        <v>4423021</v>
      </c>
      <c r="C2322" s="46">
        <v>1663218</v>
      </c>
      <c r="D2322" s="49">
        <f t="shared" si="69"/>
        <v>2759803</v>
      </c>
    </row>
    <row r="2323" spans="1:4">
      <c r="A2323" s="7" t="s">
        <v>846</v>
      </c>
      <c r="B2323" s="46">
        <v>1500000</v>
      </c>
      <c r="C2323" s="46">
        <v>570074</v>
      </c>
      <c r="D2323" s="49">
        <f t="shared" si="69"/>
        <v>929926</v>
      </c>
    </row>
    <row r="2324" spans="1:4">
      <c r="A2324" s="7" t="s">
        <v>847</v>
      </c>
      <c r="B2324" s="46">
        <v>504583</v>
      </c>
      <c r="C2324" s="46">
        <v>183303</v>
      </c>
      <c r="D2324" s="49">
        <f t="shared" si="69"/>
        <v>321280</v>
      </c>
    </row>
    <row r="2325" spans="1:4">
      <c r="A2325" s="7" t="s">
        <v>848</v>
      </c>
      <c r="B2325" s="46">
        <v>1794500</v>
      </c>
      <c r="C2325" s="46">
        <v>676882</v>
      </c>
      <c r="D2325" s="49">
        <f t="shared" si="69"/>
        <v>1117618</v>
      </c>
    </row>
    <row r="2326" spans="1:4">
      <c r="A2326" s="7" t="s">
        <v>849</v>
      </c>
      <c r="B2326" s="46">
        <v>3325290</v>
      </c>
      <c r="C2326" s="46">
        <v>1198105</v>
      </c>
      <c r="D2326" s="49">
        <f t="shared" si="69"/>
        <v>2127185</v>
      </c>
    </row>
    <row r="2327" spans="1:4">
      <c r="A2327" s="7" t="s">
        <v>850</v>
      </c>
      <c r="B2327" s="46">
        <v>2253622</v>
      </c>
      <c r="C2327" s="46">
        <v>687667</v>
      </c>
      <c r="D2327" s="49">
        <f t="shared" si="69"/>
        <v>1565955</v>
      </c>
    </row>
    <row r="2328" spans="1:4">
      <c r="A2328" s="7" t="s">
        <v>851</v>
      </c>
      <c r="B2328" s="46">
        <v>16372205</v>
      </c>
      <c r="C2328" s="46">
        <v>6154102</v>
      </c>
      <c r="D2328" s="49">
        <f t="shared" si="69"/>
        <v>10218103</v>
      </c>
    </row>
    <row r="2329" spans="1:4">
      <c r="A2329" s="7" t="s">
        <v>852</v>
      </c>
      <c r="B2329" s="46">
        <v>2700000</v>
      </c>
      <c r="C2329" s="46">
        <v>1026140</v>
      </c>
      <c r="D2329" s="49">
        <f t="shared" si="69"/>
        <v>1673860</v>
      </c>
    </row>
    <row r="2330" spans="1:4">
      <c r="A2330" s="7" t="str">
        <f>"Rákóczi 18. I/4 lakás"</f>
        <v>Rákóczi 18. I/4 lakás</v>
      </c>
      <c r="B2330" s="46">
        <v>7500000</v>
      </c>
      <c r="C2330" s="46">
        <v>557669</v>
      </c>
      <c r="D2330" s="49">
        <f t="shared" si="69"/>
        <v>6942331</v>
      </c>
    </row>
    <row r="2331" spans="1:4">
      <c r="A2331" s="7" t="str">
        <f>"Piac 1431/7/AR Raksa"</f>
        <v>Piac 1431/7/AR Raksa</v>
      </c>
      <c r="B2331" s="46">
        <v>715054</v>
      </c>
      <c r="C2331" s="46">
        <v>50153</v>
      </c>
      <c r="D2331" s="49">
        <f t="shared" si="69"/>
        <v>664901</v>
      </c>
    </row>
    <row r="2332" spans="1:4">
      <c r="A2332" s="7" t="s">
        <v>858</v>
      </c>
      <c r="B2332" s="46">
        <v>6000000</v>
      </c>
      <c r="C2332" s="46">
        <v>540495</v>
      </c>
      <c r="D2332" s="49">
        <f t="shared" si="69"/>
        <v>5459505</v>
      </c>
    </row>
    <row r="2333" spans="1:4">
      <c r="A2333" s="7" t="s">
        <v>862</v>
      </c>
      <c r="B2333" s="46">
        <v>2400000</v>
      </c>
      <c r="C2333" s="46">
        <v>126774</v>
      </c>
      <c r="D2333" s="49">
        <f t="shared" si="69"/>
        <v>2273226</v>
      </c>
    </row>
    <row r="2334" spans="1:4">
      <c r="A2334" s="7" t="s">
        <v>863</v>
      </c>
      <c r="B2334" s="46">
        <v>3000000</v>
      </c>
      <c r="C2334" s="46">
        <v>152876</v>
      </c>
      <c r="D2334" s="49">
        <f t="shared" si="69"/>
        <v>2847124</v>
      </c>
    </row>
    <row r="2335" spans="1:4">
      <c r="A2335" s="7" t="s">
        <v>865</v>
      </c>
      <c r="B2335" s="46">
        <v>3000000</v>
      </c>
      <c r="C2335" s="46">
        <v>135123</v>
      </c>
      <c r="D2335" s="49">
        <f t="shared" si="69"/>
        <v>2864877</v>
      </c>
    </row>
    <row r="2336" spans="1:4">
      <c r="A2336" s="7" t="s">
        <v>877</v>
      </c>
      <c r="B2336" s="46">
        <v>3036655</v>
      </c>
      <c r="C2336" s="46">
        <v>85955</v>
      </c>
      <c r="D2336" s="49">
        <f t="shared" si="69"/>
        <v>2950700</v>
      </c>
    </row>
    <row r="2337" spans="1:4">
      <c r="A2337" s="7" t="s">
        <v>882</v>
      </c>
      <c r="B2337" s="46">
        <v>313509</v>
      </c>
      <c r="C2337" s="46">
        <v>7640</v>
      </c>
      <c r="D2337" s="49">
        <f t="shared" si="69"/>
        <v>305869</v>
      </c>
    </row>
    <row r="2338" spans="1:4">
      <c r="A2338" s="7" t="s">
        <v>891</v>
      </c>
      <c r="B2338" s="46">
        <v>118390679</v>
      </c>
      <c r="C2338" s="46">
        <v>2374283</v>
      </c>
      <c r="D2338" s="49">
        <f t="shared" si="69"/>
        <v>116016396</v>
      </c>
    </row>
    <row r="2339" spans="1:4">
      <c r="A2339" s="7" t="s">
        <v>960</v>
      </c>
      <c r="B2339" s="46">
        <v>4500000</v>
      </c>
      <c r="C2339" s="46">
        <v>90738</v>
      </c>
      <c r="D2339" s="49">
        <f t="shared" si="69"/>
        <v>4409262</v>
      </c>
    </row>
    <row r="2340" spans="1:4">
      <c r="A2340" s="7" t="str">
        <f>"Takarékszövetkezet épület 1591/B"</f>
        <v>Takarékszövetkezet épület 1591/B</v>
      </c>
      <c r="B2340" s="46">
        <v>18000000</v>
      </c>
      <c r="C2340" s="46">
        <v>360000</v>
      </c>
      <c r="D2340" s="49">
        <f t="shared" si="69"/>
        <v>17640000</v>
      </c>
    </row>
    <row r="2341" spans="1:4">
      <c r="A2341" s="7" t="s">
        <v>1441</v>
      </c>
      <c r="B2341" s="46">
        <v>100000</v>
      </c>
      <c r="C2341" s="46">
        <v>2523</v>
      </c>
      <c r="D2341" s="49">
        <f t="shared" si="69"/>
        <v>97477</v>
      </c>
    </row>
    <row r="2342" spans="1:4">
      <c r="A2342" s="7" t="s">
        <v>1443</v>
      </c>
      <c r="B2342" s="46">
        <v>350000</v>
      </c>
      <c r="C2342" s="46">
        <v>4813</v>
      </c>
      <c r="D2342" s="49">
        <f t="shared" si="69"/>
        <v>345187</v>
      </c>
    </row>
    <row r="2343" spans="1:4">
      <c r="A2343" s="7" t="s">
        <v>1445</v>
      </c>
      <c r="B2343" s="46">
        <v>2400000</v>
      </c>
      <c r="C2343" s="46">
        <v>24724</v>
      </c>
      <c r="D2343" s="49">
        <f t="shared" si="69"/>
        <v>2375276</v>
      </c>
    </row>
    <row r="2344" spans="1:4">
      <c r="A2344" s="7" t="s">
        <v>1449</v>
      </c>
      <c r="B2344" s="46">
        <v>166658</v>
      </c>
      <c r="C2344" s="46">
        <v>128859</v>
      </c>
      <c r="D2344" s="49">
        <f t="shared" si="69"/>
        <v>37799</v>
      </c>
    </row>
    <row r="2345" spans="1:4">
      <c r="A2345" s="7" t="s">
        <v>1450</v>
      </c>
      <c r="B2345" s="46">
        <v>12662617</v>
      </c>
      <c r="C2345" s="46">
        <v>3429251</v>
      </c>
      <c r="D2345" s="49">
        <f t="shared" si="69"/>
        <v>9233366</v>
      </c>
    </row>
    <row r="2346" spans="1:4">
      <c r="A2346" s="7" t="s">
        <v>1451</v>
      </c>
      <c r="B2346" s="46">
        <v>2150376</v>
      </c>
      <c r="C2346" s="46">
        <v>1388812</v>
      </c>
      <c r="D2346" s="49">
        <f t="shared" si="69"/>
        <v>761564</v>
      </c>
    </row>
    <row r="2347" spans="1:4">
      <c r="A2347" s="7" t="s">
        <v>1458</v>
      </c>
      <c r="B2347" s="46">
        <v>1170000</v>
      </c>
      <c r="C2347" s="46">
        <v>15482</v>
      </c>
      <c r="D2347" s="49">
        <f t="shared" si="69"/>
        <v>1154518</v>
      </c>
    </row>
    <row r="2348" spans="1:4">
      <c r="A2348" s="7" t="str">
        <f>"Irodaház 736/2"</f>
        <v>Irodaház 736/2</v>
      </c>
      <c r="B2348" s="46">
        <v>37277944</v>
      </c>
      <c r="C2348" s="46">
        <v>375844</v>
      </c>
      <c r="D2348" s="49">
        <f t="shared" si="69"/>
        <v>36902100</v>
      </c>
    </row>
    <row r="2349" spans="1:4">
      <c r="A2349" s="7" t="s">
        <v>1468</v>
      </c>
      <c r="B2349" s="46">
        <v>4326455</v>
      </c>
      <c r="C2349" s="46">
        <v>43620</v>
      </c>
      <c r="D2349" s="49">
        <f t="shared" si="69"/>
        <v>4282835</v>
      </c>
    </row>
    <row r="2350" spans="1:4">
      <c r="A2350" s="7" t="s">
        <v>1469</v>
      </c>
      <c r="B2350" s="46">
        <v>1598168</v>
      </c>
      <c r="C2350" s="46">
        <v>16114</v>
      </c>
      <c r="D2350" s="49">
        <f t="shared" si="69"/>
        <v>1582054</v>
      </c>
    </row>
    <row r="2351" spans="1:4">
      <c r="A2351" s="7" t="s">
        <v>1470</v>
      </c>
      <c r="B2351" s="46">
        <v>100000</v>
      </c>
      <c r="C2351" s="46">
        <v>970</v>
      </c>
      <c r="D2351" s="49">
        <f t="shared" si="69"/>
        <v>99030</v>
      </c>
    </row>
    <row r="2352" spans="1:4">
      <c r="A2352" s="7" t="s">
        <v>1473</v>
      </c>
      <c r="B2352" s="46">
        <v>79290</v>
      </c>
      <c r="C2352" s="46">
        <v>70639</v>
      </c>
      <c r="D2352" s="49">
        <f t="shared" si="69"/>
        <v>8651</v>
      </c>
    </row>
    <row r="2353" spans="1:4">
      <c r="A2353" s="7" t="s">
        <v>1474</v>
      </c>
      <c r="B2353" s="46">
        <v>92800</v>
      </c>
      <c r="C2353" s="46">
        <v>91229</v>
      </c>
      <c r="D2353" s="49">
        <f t="shared" si="69"/>
        <v>1571</v>
      </c>
    </row>
    <row r="2354" spans="1:4">
      <c r="A2354" s="7" t="s">
        <v>1475</v>
      </c>
      <c r="B2354" s="46">
        <v>77858</v>
      </c>
      <c r="C2354" s="46">
        <v>74321</v>
      </c>
      <c r="D2354" s="49">
        <f t="shared" si="69"/>
        <v>3537</v>
      </c>
    </row>
    <row r="2355" spans="1:4">
      <c r="A2355" s="7" t="s">
        <v>1489</v>
      </c>
      <c r="B2355" s="46">
        <v>4450000</v>
      </c>
      <c r="C2355" s="46">
        <v>5121</v>
      </c>
      <c r="D2355" s="49">
        <f t="shared" si="69"/>
        <v>4444879</v>
      </c>
    </row>
    <row r="2356" spans="1:4">
      <c r="A2356" s="7" t="str">
        <f>"Rákóczi 18/B Volt Cserhát Print ingatlan 509/2"</f>
        <v>Rákóczi 18/B Volt Cserhát Print ingatlan 509/2</v>
      </c>
      <c r="B2356" s="46">
        <v>15000000</v>
      </c>
      <c r="C2356" s="46">
        <v>33699</v>
      </c>
      <c r="D2356" s="49">
        <f t="shared" si="69"/>
        <v>14966301</v>
      </c>
    </row>
    <row r="2357" spans="1:4">
      <c r="A2357" s="7" t="str">
        <f>"Busz pályaudvar 709/10"</f>
        <v>Busz pályaudvar 709/10</v>
      </c>
      <c r="B2357" s="46">
        <v>274962025</v>
      </c>
      <c r="C2357" s="46">
        <v>56916979</v>
      </c>
      <c r="D2357" s="49">
        <f t="shared" si="69"/>
        <v>218045046</v>
      </c>
    </row>
    <row r="2358" spans="1:4">
      <c r="A2358" s="7" t="s">
        <v>556</v>
      </c>
      <c r="B2358" s="46">
        <v>234000</v>
      </c>
      <c r="C2358" s="46">
        <v>234000</v>
      </c>
      <c r="D2358" s="49">
        <f t="shared" ref="D2358:D2393" si="70">B2358-C2358</f>
        <v>0</v>
      </c>
    </row>
    <row r="2359" spans="1:4">
      <c r="A2359" s="7" t="s">
        <v>572</v>
      </c>
      <c r="B2359" s="46">
        <v>712000</v>
      </c>
      <c r="C2359" s="46">
        <v>712000</v>
      </c>
      <c r="D2359" s="49">
        <f t="shared" si="70"/>
        <v>0</v>
      </c>
    </row>
    <row r="2360" spans="1:4">
      <c r="A2360" s="7" t="s">
        <v>573</v>
      </c>
      <c r="B2360" s="46">
        <v>813000</v>
      </c>
      <c r="C2360" s="46">
        <v>813000</v>
      </c>
      <c r="D2360" s="49">
        <f t="shared" si="70"/>
        <v>0</v>
      </c>
    </row>
    <row r="2361" spans="1:4">
      <c r="A2361" s="7" t="s">
        <v>574</v>
      </c>
      <c r="B2361" s="46">
        <v>500000</v>
      </c>
      <c r="C2361" s="46">
        <v>500000</v>
      </c>
      <c r="D2361" s="49">
        <f t="shared" si="70"/>
        <v>0</v>
      </c>
    </row>
    <row r="2362" spans="1:4">
      <c r="A2362" s="7" t="s">
        <v>575</v>
      </c>
      <c r="B2362" s="46">
        <v>328000</v>
      </c>
      <c r="C2362" s="46">
        <v>328000</v>
      </c>
      <c r="D2362" s="49">
        <f t="shared" si="70"/>
        <v>0</v>
      </c>
    </row>
    <row r="2363" spans="1:4">
      <c r="A2363" s="7" t="s">
        <v>580</v>
      </c>
      <c r="B2363" s="46">
        <v>604000</v>
      </c>
      <c r="C2363" s="46">
        <v>604000</v>
      </c>
      <c r="D2363" s="49">
        <f t="shared" si="70"/>
        <v>0</v>
      </c>
    </row>
    <row r="2364" spans="1:4">
      <c r="A2364" s="7" t="s">
        <v>650</v>
      </c>
      <c r="B2364" s="46">
        <v>479000</v>
      </c>
      <c r="C2364" s="46">
        <v>479000</v>
      </c>
      <c r="D2364" s="49">
        <f t="shared" si="70"/>
        <v>0</v>
      </c>
    </row>
    <row r="2365" spans="1:4">
      <c r="A2365" s="7" t="s">
        <v>654</v>
      </c>
      <c r="B2365" s="46">
        <v>422000</v>
      </c>
      <c r="C2365" s="46">
        <v>422000</v>
      </c>
      <c r="D2365" s="49">
        <f t="shared" si="70"/>
        <v>0</v>
      </c>
    </row>
    <row r="2366" spans="1:4">
      <c r="A2366" s="7" t="s">
        <v>656</v>
      </c>
      <c r="B2366" s="46">
        <v>504000</v>
      </c>
      <c r="C2366" s="46">
        <v>504000</v>
      </c>
      <c r="D2366" s="49">
        <f t="shared" si="70"/>
        <v>0</v>
      </c>
    </row>
    <row r="2367" spans="1:4">
      <c r="A2367" s="7" t="str">
        <f>"Önkorm.lakás Kossuth L.u.18/A. 2db"</f>
        <v>Önkorm.lakás Kossuth L.u.18/A. 2db</v>
      </c>
      <c r="B2367" s="46">
        <v>190000</v>
      </c>
      <c r="C2367" s="46">
        <v>190000</v>
      </c>
      <c r="D2367" s="49">
        <f t="shared" si="70"/>
        <v>0</v>
      </c>
    </row>
    <row r="2368" spans="1:4">
      <c r="A2368" s="7" t="s">
        <v>663</v>
      </c>
      <c r="B2368" s="46">
        <v>439000</v>
      </c>
      <c r="C2368" s="46">
        <v>439000</v>
      </c>
      <c r="D2368" s="49">
        <f t="shared" si="70"/>
        <v>0</v>
      </c>
    </row>
    <row r="2369" spans="1:4">
      <c r="A2369" s="7" t="s">
        <v>665</v>
      </c>
      <c r="B2369" s="46">
        <v>385000</v>
      </c>
      <c r="C2369" s="46">
        <v>385000</v>
      </c>
      <c r="D2369" s="49">
        <f t="shared" si="70"/>
        <v>0</v>
      </c>
    </row>
    <row r="2370" spans="1:4">
      <c r="A2370" s="28" t="s">
        <v>2112</v>
      </c>
      <c r="B2370" s="29">
        <f>SUM(B2189:B2369)</f>
        <v>1474653923</v>
      </c>
      <c r="C2370" s="29">
        <f t="shared" ref="C2370:D2370" si="71">SUM(C2189:C2369)</f>
        <v>493424612</v>
      </c>
      <c r="D2370" s="58">
        <f t="shared" si="71"/>
        <v>981229311</v>
      </c>
    </row>
    <row r="2371" spans="1:4">
      <c r="A2371" s="7" t="s">
        <v>402</v>
      </c>
      <c r="B2371" s="46">
        <v>332000</v>
      </c>
      <c r="C2371" s="46">
        <v>272410</v>
      </c>
      <c r="D2371" s="49">
        <f t="shared" si="70"/>
        <v>59590</v>
      </c>
    </row>
    <row r="2372" spans="1:4">
      <c r="A2372" s="7" t="str">
        <f>"Piac kerítés 1431/7"</f>
        <v>Piac kerítés 1431/7</v>
      </c>
      <c r="B2372" s="46">
        <v>978062</v>
      </c>
      <c r="C2372" s="46">
        <v>658502</v>
      </c>
      <c r="D2372" s="49">
        <f t="shared" si="70"/>
        <v>319560</v>
      </c>
    </row>
    <row r="2373" spans="1:4">
      <c r="A2373" s="7" t="str">
        <f>"Piac konténeres WC 1431/7"</f>
        <v>Piac konténeres WC 1431/7</v>
      </c>
      <c r="B2373" s="46">
        <v>205000</v>
      </c>
      <c r="C2373" s="46">
        <v>184502</v>
      </c>
      <c r="D2373" s="49">
        <f t="shared" si="70"/>
        <v>20498</v>
      </c>
    </row>
    <row r="2374" spans="1:4">
      <c r="A2374" s="7" t="str">
        <f>"Piac /fedett terület/ 1431/7"</f>
        <v>Piac /fedett terület/ 1431/7</v>
      </c>
      <c r="B2374" s="46">
        <v>32445791</v>
      </c>
      <c r="C2374" s="46">
        <v>15320056</v>
      </c>
      <c r="D2374" s="49">
        <f t="shared" si="70"/>
        <v>17125735</v>
      </c>
    </row>
    <row r="2375" spans="1:4">
      <c r="A2375" s="7" t="str">
        <f>"Piac WC 1431/7"</f>
        <v>Piac WC 1431/7</v>
      </c>
      <c r="B2375" s="46">
        <v>4904000</v>
      </c>
      <c r="C2375" s="46">
        <v>2942790</v>
      </c>
      <c r="D2375" s="49">
        <f t="shared" si="70"/>
        <v>1961210</v>
      </c>
    </row>
    <row r="2376" spans="1:4">
      <c r="A2376" s="7" t="str">
        <f>"Ipari Park közművek 3166/16"</f>
        <v>Ipari Park közművek 3166/16</v>
      </c>
      <c r="B2376" s="46">
        <v>209224874</v>
      </c>
      <c r="C2376" s="46">
        <v>119275356</v>
      </c>
      <c r="D2376" s="49">
        <f t="shared" si="70"/>
        <v>89949518</v>
      </c>
    </row>
    <row r="2377" spans="1:4">
      <c r="A2377" s="7" t="str">
        <f>"Garázs-Algőver u.   327/7/A"</f>
        <v>Garázs-Algőver u.   327/7/A</v>
      </c>
      <c r="B2377" s="46">
        <v>540000</v>
      </c>
      <c r="C2377" s="46">
        <v>226883</v>
      </c>
      <c r="D2377" s="49">
        <f t="shared" si="70"/>
        <v>313117</v>
      </c>
    </row>
    <row r="2378" spans="1:4">
      <c r="A2378" s="7" t="str">
        <f>"Temető u.27.-tároló  1768/1/A"</f>
        <v>Temető u.27.-tároló  1768/1/A</v>
      </c>
      <c r="B2378" s="46">
        <v>72000</v>
      </c>
      <c r="C2378" s="46">
        <v>30246</v>
      </c>
      <c r="D2378" s="49">
        <f t="shared" si="70"/>
        <v>41754</v>
      </c>
    </row>
    <row r="2379" spans="1:4">
      <c r="A2379" s="7" t="str">
        <f>"Vizy Zs.u.20.-garázs 1760/A"</f>
        <v>Vizy Zs.u.20.-garázs 1760/A</v>
      </c>
      <c r="B2379" s="46">
        <v>891000</v>
      </c>
      <c r="C2379" s="46">
        <v>374353</v>
      </c>
      <c r="D2379" s="49">
        <f t="shared" si="70"/>
        <v>516647</v>
      </c>
    </row>
    <row r="2380" spans="1:4">
      <c r="A2380" s="7" t="str">
        <f>"Tományi Rákóczi út 40 606/A/2"</f>
        <v>Tományi Rákóczi út 40 606/A/2</v>
      </c>
      <c r="B2380" s="46">
        <v>3400000</v>
      </c>
      <c r="C2380" s="46">
        <v>1530562</v>
      </c>
      <c r="D2380" s="49">
        <f t="shared" si="70"/>
        <v>1869438</v>
      </c>
    </row>
    <row r="2381" spans="1:4">
      <c r="A2381" s="7" t="s">
        <v>855</v>
      </c>
      <c r="B2381" s="46">
        <v>13812052</v>
      </c>
      <c r="C2381" s="46">
        <v>821999</v>
      </c>
      <c r="D2381" s="49">
        <f t="shared" si="70"/>
        <v>12990053</v>
      </c>
    </row>
    <row r="2382" spans="1:4">
      <c r="A2382" s="7" t="s">
        <v>876</v>
      </c>
      <c r="B2382" s="46">
        <v>5441478</v>
      </c>
      <c r="C2382" s="46">
        <v>190601</v>
      </c>
      <c r="D2382" s="49">
        <f t="shared" si="70"/>
        <v>5250877</v>
      </c>
    </row>
    <row r="2383" spans="1:4">
      <c r="A2383" s="7" t="s">
        <v>878</v>
      </c>
      <c r="B2383" s="46">
        <v>2000000</v>
      </c>
      <c r="C2383" s="46">
        <v>77541</v>
      </c>
      <c r="D2383" s="49">
        <f t="shared" si="70"/>
        <v>1922459</v>
      </c>
    </row>
    <row r="2384" spans="1:4">
      <c r="A2384" s="7" t="s">
        <v>1444</v>
      </c>
      <c r="B2384" s="46">
        <v>1610255</v>
      </c>
      <c r="C2384" s="46">
        <v>26470</v>
      </c>
      <c r="D2384" s="49">
        <f t="shared" si="70"/>
        <v>1583785</v>
      </c>
    </row>
    <row r="2385" spans="1:4">
      <c r="A2385" s="7" t="s">
        <v>1448</v>
      </c>
      <c r="B2385" s="46">
        <v>112289</v>
      </c>
      <c r="C2385" s="46">
        <v>48712</v>
      </c>
      <c r="D2385" s="49">
        <f t="shared" si="70"/>
        <v>63577</v>
      </c>
    </row>
    <row r="2386" spans="1:4">
      <c r="A2386" s="7" t="s">
        <v>1453</v>
      </c>
      <c r="B2386" s="46">
        <v>165030</v>
      </c>
      <c r="C2386" s="46">
        <v>160440</v>
      </c>
      <c r="D2386" s="49">
        <f t="shared" si="70"/>
        <v>4590</v>
      </c>
    </row>
    <row r="2387" spans="1:4">
      <c r="A2387" s="7" t="s">
        <v>1454</v>
      </c>
      <c r="B2387" s="46">
        <v>698000</v>
      </c>
      <c r="C2387" s="46">
        <v>371523</v>
      </c>
      <c r="D2387" s="49">
        <f t="shared" si="70"/>
        <v>326477</v>
      </c>
    </row>
    <row r="2388" spans="1:4">
      <c r="A2388" s="7" t="s">
        <v>1455</v>
      </c>
      <c r="B2388" s="46">
        <v>104789</v>
      </c>
      <c r="C2388" s="46">
        <v>45439</v>
      </c>
      <c r="D2388" s="49">
        <f t="shared" si="70"/>
        <v>59350</v>
      </c>
    </row>
    <row r="2389" spans="1:4">
      <c r="A2389" s="7" t="s">
        <v>1467</v>
      </c>
      <c r="B2389" s="46">
        <v>3219687</v>
      </c>
      <c r="C2389" s="46">
        <v>48692</v>
      </c>
      <c r="D2389" s="49">
        <f t="shared" si="70"/>
        <v>3170995</v>
      </c>
    </row>
    <row r="2390" spans="1:4">
      <c r="A2390" s="7" t="str">
        <f>"Telephely 764/4"</f>
        <v>Telephely 764/4</v>
      </c>
      <c r="B2390" s="46">
        <v>15444438</v>
      </c>
      <c r="C2390" s="46">
        <v>233570</v>
      </c>
      <c r="D2390" s="49">
        <f t="shared" si="70"/>
        <v>15210868</v>
      </c>
    </row>
    <row r="2391" spans="1:4">
      <c r="A2391" s="7" t="str">
        <f>"Saját használatú út 3167/9"</f>
        <v>Saját használatú út 3167/9</v>
      </c>
      <c r="B2391" s="46">
        <v>1207383</v>
      </c>
      <c r="C2391" s="46">
        <v>18260</v>
      </c>
      <c r="D2391" s="49">
        <f t="shared" si="70"/>
        <v>1189123</v>
      </c>
    </row>
    <row r="2392" spans="1:4">
      <c r="A2392" s="7" t="s">
        <v>1471</v>
      </c>
      <c r="B2392" s="46">
        <v>630700</v>
      </c>
      <c r="C2392" s="46">
        <v>630700</v>
      </c>
      <c r="D2392" s="49">
        <f t="shared" si="70"/>
        <v>0</v>
      </c>
    </row>
    <row r="2393" spans="1:4">
      <c r="A2393" s="7" t="s">
        <v>1472</v>
      </c>
      <c r="B2393" s="46">
        <v>15615</v>
      </c>
      <c r="C2393" s="46">
        <v>15615</v>
      </c>
      <c r="D2393" s="49">
        <f t="shared" si="70"/>
        <v>0</v>
      </c>
    </row>
    <row r="2394" spans="1:4">
      <c r="A2394" s="7" t="s">
        <v>401</v>
      </c>
      <c r="B2394" s="46">
        <v>10000</v>
      </c>
      <c r="C2394" s="46">
        <v>10000</v>
      </c>
      <c r="D2394" s="49">
        <f t="shared" ref="D2394:D2400" si="72">B2394-C2394</f>
        <v>0</v>
      </c>
    </row>
    <row r="2395" spans="1:4">
      <c r="A2395" s="7" t="s">
        <v>403</v>
      </c>
      <c r="B2395" s="46">
        <v>62650</v>
      </c>
      <c r="C2395" s="46">
        <v>62650</v>
      </c>
      <c r="D2395" s="49">
        <f t="shared" si="72"/>
        <v>0</v>
      </c>
    </row>
    <row r="2396" spans="1:4">
      <c r="A2396" s="7" t="str">
        <f>"Trikál u. 4 Emésztő   201/1"</f>
        <v>Trikál u. 4 Emésztő   201/1</v>
      </c>
      <c r="B2396" s="46">
        <v>102200</v>
      </c>
      <c r="C2396" s="46">
        <v>102200</v>
      </c>
      <c r="D2396" s="49">
        <f t="shared" si="72"/>
        <v>0</v>
      </c>
    </row>
    <row r="2397" spans="1:4">
      <c r="A2397" s="7" t="s">
        <v>602</v>
      </c>
      <c r="B2397" s="46">
        <v>3200</v>
      </c>
      <c r="C2397" s="46">
        <v>3200</v>
      </c>
      <c r="D2397" s="49">
        <f t="shared" si="72"/>
        <v>0</v>
      </c>
    </row>
    <row r="2398" spans="1:4">
      <c r="A2398" s="7" t="s">
        <v>1452</v>
      </c>
      <c r="B2398" s="46">
        <v>836573</v>
      </c>
      <c r="C2398" s="46">
        <v>836573</v>
      </c>
      <c r="D2398" s="49">
        <f t="shared" si="72"/>
        <v>0</v>
      </c>
    </row>
    <row r="2399" spans="1:4">
      <c r="A2399" s="7" t="s">
        <v>1456</v>
      </c>
      <c r="B2399" s="46">
        <v>32552</v>
      </c>
      <c r="C2399" s="46">
        <v>32552</v>
      </c>
      <c r="D2399" s="49">
        <f t="shared" si="72"/>
        <v>0</v>
      </c>
    </row>
    <row r="2400" spans="1:4">
      <c r="A2400" s="7" t="s">
        <v>1457</v>
      </c>
      <c r="B2400" s="46">
        <v>7668</v>
      </c>
      <c r="C2400" s="46">
        <v>7668</v>
      </c>
      <c r="D2400" s="49">
        <f t="shared" si="72"/>
        <v>0</v>
      </c>
    </row>
    <row r="2401" spans="1:4">
      <c r="A2401" s="17" t="s">
        <v>2113</v>
      </c>
      <c r="B2401" s="18">
        <f>SUM(B2371:B2400)</f>
        <v>298509286</v>
      </c>
      <c r="C2401" s="18">
        <f t="shared" ref="C2401:D2401" si="73">SUM(C2371:C2400)</f>
        <v>144560065</v>
      </c>
      <c r="D2401" s="23">
        <f t="shared" si="73"/>
        <v>153949221</v>
      </c>
    </row>
    <row r="2402" spans="1:4">
      <c r="A2402" s="7" t="s">
        <v>753</v>
      </c>
      <c r="B2402" s="46">
        <v>1419000</v>
      </c>
      <c r="C2402" s="46">
        <v>1163649</v>
      </c>
      <c r="D2402" s="49">
        <f>B2402-C2402</f>
        <v>255351</v>
      </c>
    </row>
    <row r="2403" spans="1:4">
      <c r="A2403" s="7" t="s">
        <v>754</v>
      </c>
      <c r="B2403" s="46">
        <v>3833125</v>
      </c>
      <c r="C2403" s="46">
        <v>1916762</v>
      </c>
      <c r="D2403" s="49">
        <f t="shared" ref="D2403:D2404" si="74">B2403-C2403</f>
        <v>1916363</v>
      </c>
    </row>
    <row r="2404" spans="1:4">
      <c r="A2404" s="7" t="s">
        <v>755</v>
      </c>
      <c r="B2404" s="46">
        <v>450000</v>
      </c>
      <c r="C2404" s="46">
        <v>450000</v>
      </c>
      <c r="D2404" s="49">
        <f t="shared" si="74"/>
        <v>0</v>
      </c>
    </row>
    <row r="2405" spans="1:4">
      <c r="A2405" s="17" t="s">
        <v>2114</v>
      </c>
      <c r="B2405" s="18">
        <f>SUM(B2402:B2404)</f>
        <v>5702125</v>
      </c>
      <c r="C2405" s="18">
        <f>SUM(C2402:C2404)</f>
        <v>3530411</v>
      </c>
      <c r="D2405" s="23">
        <f>SUM(D2402:D2404)</f>
        <v>2171714</v>
      </c>
    </row>
    <row r="2406" spans="1:4">
      <c r="A2406" s="53" t="s">
        <v>2072</v>
      </c>
      <c r="B2406" s="46">
        <v>8165000</v>
      </c>
      <c r="C2406" s="46"/>
      <c r="D2406" s="49">
        <f>B2406-C2406</f>
        <v>8165000</v>
      </c>
    </row>
    <row r="2407" spans="1:4">
      <c r="A2407" s="53" t="s">
        <v>2075</v>
      </c>
      <c r="B2407" s="46">
        <v>8171256</v>
      </c>
      <c r="C2407" s="46"/>
      <c r="D2407" s="49">
        <f t="shared" ref="D2407:D2414" si="75">B2407-C2407</f>
        <v>8171256</v>
      </c>
    </row>
    <row r="2408" spans="1:4">
      <c r="A2408" s="53" t="s">
        <v>2081</v>
      </c>
      <c r="B2408" s="46">
        <v>11027904</v>
      </c>
      <c r="C2408" s="46"/>
      <c r="D2408" s="49">
        <f t="shared" si="75"/>
        <v>11027904</v>
      </c>
    </row>
    <row r="2409" spans="1:4">
      <c r="A2409" s="53" t="s">
        <v>2084</v>
      </c>
      <c r="B2409" s="46">
        <v>200000</v>
      </c>
      <c r="C2409" s="46"/>
      <c r="D2409" s="49">
        <f t="shared" si="75"/>
        <v>200000</v>
      </c>
    </row>
    <row r="2410" spans="1:4">
      <c r="A2410" s="53" t="s">
        <v>2086</v>
      </c>
      <c r="B2410" s="46">
        <v>5300000</v>
      </c>
      <c r="C2410" s="46"/>
      <c r="D2410" s="49">
        <f t="shared" si="75"/>
        <v>5300000</v>
      </c>
    </row>
    <row r="2411" spans="1:4">
      <c r="A2411" s="53" t="s">
        <v>2089</v>
      </c>
      <c r="B2411" s="46">
        <v>2000000</v>
      </c>
      <c r="C2411" s="46"/>
      <c r="D2411" s="49">
        <f t="shared" si="75"/>
        <v>2000000</v>
      </c>
    </row>
    <row r="2412" spans="1:4">
      <c r="A2412" s="53" t="s">
        <v>2090</v>
      </c>
      <c r="B2412" s="46">
        <v>500000</v>
      </c>
      <c r="C2412" s="46"/>
      <c r="D2412" s="49">
        <f t="shared" si="75"/>
        <v>500000</v>
      </c>
    </row>
    <row r="2413" spans="1:4">
      <c r="A2413" s="53" t="s">
        <v>2091</v>
      </c>
      <c r="B2413" s="46">
        <v>750000</v>
      </c>
      <c r="C2413" s="46"/>
      <c r="D2413" s="49">
        <f t="shared" si="75"/>
        <v>750000</v>
      </c>
    </row>
    <row r="2414" spans="1:4">
      <c r="A2414" s="53" t="s">
        <v>2092</v>
      </c>
      <c r="B2414" s="46">
        <v>1500000</v>
      </c>
      <c r="C2414" s="46"/>
      <c r="D2414" s="49">
        <f t="shared" si="75"/>
        <v>1500000</v>
      </c>
    </row>
    <row r="2415" spans="1:4">
      <c r="A2415" s="17" t="s">
        <v>2115</v>
      </c>
      <c r="B2415" s="18">
        <f>SUM(B2406:B2414)</f>
        <v>37614160</v>
      </c>
      <c r="C2415" s="18">
        <f t="shared" ref="C2415:D2415" si="76">SUM(C2406:C2414)</f>
        <v>0</v>
      </c>
      <c r="D2415" s="23">
        <f t="shared" si="76"/>
        <v>37614160</v>
      </c>
    </row>
    <row r="2416" spans="1:4">
      <c r="A2416" s="7" t="s">
        <v>1700</v>
      </c>
      <c r="B2416" s="46">
        <v>277720</v>
      </c>
      <c r="C2416" s="46">
        <v>206395</v>
      </c>
      <c r="D2416" s="49">
        <f t="shared" ref="D2416:D2418" si="77">B2416-C2416</f>
        <v>71325</v>
      </c>
    </row>
    <row r="2417" spans="1:4">
      <c r="A2417" s="7" t="s">
        <v>1983</v>
      </c>
      <c r="B2417" s="46">
        <v>480000</v>
      </c>
      <c r="C2417" s="46">
        <v>63360</v>
      </c>
      <c r="D2417" s="49">
        <f t="shared" si="77"/>
        <v>416640</v>
      </c>
    </row>
    <row r="2418" spans="1:4">
      <c r="A2418" s="7" t="s">
        <v>1988</v>
      </c>
      <c r="B2418" s="46">
        <v>467760</v>
      </c>
      <c r="C2418" s="46">
        <v>61744</v>
      </c>
      <c r="D2418" s="49">
        <f t="shared" si="77"/>
        <v>406016</v>
      </c>
    </row>
    <row r="2419" spans="1:4">
      <c r="A2419" s="7" t="s">
        <v>1527</v>
      </c>
      <c r="B2419" s="46">
        <v>5740000</v>
      </c>
      <c r="C2419" s="46">
        <v>5740000</v>
      </c>
      <c r="D2419" s="49">
        <f t="shared" ref="D2419:D2424" si="78">B2419-C2419</f>
        <v>0</v>
      </c>
    </row>
    <row r="2420" spans="1:4">
      <c r="A2420" s="7" t="s">
        <v>1528</v>
      </c>
      <c r="B2420" s="46">
        <v>800000</v>
      </c>
      <c r="C2420" s="46">
        <v>800000</v>
      </c>
      <c r="D2420" s="49">
        <f t="shared" si="78"/>
        <v>0</v>
      </c>
    </row>
    <row r="2421" spans="1:4">
      <c r="A2421" s="7" t="s">
        <v>1529</v>
      </c>
      <c r="B2421" s="46">
        <v>317500</v>
      </c>
      <c r="C2421" s="46">
        <v>317500</v>
      </c>
      <c r="D2421" s="49">
        <f t="shared" si="78"/>
        <v>0</v>
      </c>
    </row>
    <row r="2422" spans="1:4">
      <c r="A2422" s="7" t="s">
        <v>1530</v>
      </c>
      <c r="B2422" s="46">
        <v>500000</v>
      </c>
      <c r="C2422" s="46">
        <v>500000</v>
      </c>
      <c r="D2422" s="49">
        <f t="shared" si="78"/>
        <v>0</v>
      </c>
    </row>
    <row r="2423" spans="1:4">
      <c r="A2423" s="7" t="s">
        <v>1531</v>
      </c>
      <c r="B2423" s="46">
        <v>94000</v>
      </c>
      <c r="C2423" s="46">
        <v>94000</v>
      </c>
      <c r="D2423" s="49">
        <f t="shared" si="78"/>
        <v>0</v>
      </c>
    </row>
    <row r="2424" spans="1:4">
      <c r="A2424" s="7" t="s">
        <v>1532</v>
      </c>
      <c r="B2424" s="46">
        <v>61250</v>
      </c>
      <c r="C2424" s="46">
        <v>61250</v>
      </c>
      <c r="D2424" s="49">
        <f t="shared" si="78"/>
        <v>0</v>
      </c>
    </row>
    <row r="2425" spans="1:4">
      <c r="A2425" s="7" t="s">
        <v>1697</v>
      </c>
      <c r="B2425" s="46">
        <v>568880</v>
      </c>
      <c r="C2425" s="46">
        <v>568880</v>
      </c>
      <c r="D2425" s="49">
        <f t="shared" ref="D2425:D2478" si="79">B2425-C2425</f>
        <v>0</v>
      </c>
    </row>
    <row r="2426" spans="1:4">
      <c r="A2426" s="7" t="s">
        <v>1698</v>
      </c>
      <c r="B2426" s="46">
        <v>154000</v>
      </c>
      <c r="C2426" s="46">
        <v>154000</v>
      </c>
      <c r="D2426" s="49">
        <f t="shared" si="79"/>
        <v>0</v>
      </c>
    </row>
    <row r="2427" spans="1:4">
      <c r="A2427" s="7" t="s">
        <v>1699</v>
      </c>
      <c r="B2427" s="46">
        <v>20140</v>
      </c>
      <c r="C2427" s="46">
        <v>20140</v>
      </c>
      <c r="D2427" s="49">
        <f t="shared" si="79"/>
        <v>0</v>
      </c>
    </row>
    <row r="2428" spans="1:4">
      <c r="A2428" s="7" t="s">
        <v>1726</v>
      </c>
      <c r="B2428" s="46">
        <v>123898</v>
      </c>
      <c r="C2428" s="46">
        <v>123898</v>
      </c>
      <c r="D2428" s="49">
        <f t="shared" si="79"/>
        <v>0</v>
      </c>
    </row>
    <row r="2429" spans="1:4">
      <c r="A2429" s="7" t="s">
        <v>1727</v>
      </c>
      <c r="B2429" s="46">
        <v>43457</v>
      </c>
      <c r="C2429" s="46">
        <v>43457</v>
      </c>
      <c r="D2429" s="49">
        <f t="shared" si="79"/>
        <v>0</v>
      </c>
    </row>
    <row r="2430" spans="1:4">
      <c r="A2430" s="7" t="s">
        <v>1728</v>
      </c>
      <c r="B2430" s="46">
        <v>120331</v>
      </c>
      <c r="C2430" s="46">
        <v>120331</v>
      </c>
      <c r="D2430" s="49">
        <f t="shared" si="79"/>
        <v>0</v>
      </c>
    </row>
    <row r="2431" spans="1:4">
      <c r="A2431" s="7" t="s">
        <v>1909</v>
      </c>
      <c r="B2431" s="46">
        <v>94756</v>
      </c>
      <c r="C2431" s="46">
        <v>94756</v>
      </c>
      <c r="D2431" s="49">
        <f t="shared" si="79"/>
        <v>0</v>
      </c>
    </row>
    <row r="2432" spans="1:4">
      <c r="A2432" s="7" t="s">
        <v>1910</v>
      </c>
      <c r="B2432" s="46">
        <v>77512</v>
      </c>
      <c r="C2432" s="46">
        <v>77512</v>
      </c>
      <c r="D2432" s="49">
        <f t="shared" si="79"/>
        <v>0</v>
      </c>
    </row>
    <row r="2433" spans="1:4">
      <c r="A2433" s="7" t="s">
        <v>1911</v>
      </c>
      <c r="B2433" s="46">
        <v>197165</v>
      </c>
      <c r="C2433" s="46">
        <v>197165</v>
      </c>
      <c r="D2433" s="49">
        <f t="shared" si="79"/>
        <v>0</v>
      </c>
    </row>
    <row r="2434" spans="1:4">
      <c r="A2434" s="7" t="s">
        <v>1912</v>
      </c>
      <c r="B2434" s="46">
        <v>41276</v>
      </c>
      <c r="C2434" s="46">
        <v>41276</v>
      </c>
      <c r="D2434" s="49">
        <f t="shared" si="79"/>
        <v>0</v>
      </c>
    </row>
    <row r="2435" spans="1:4">
      <c r="A2435" s="7" t="str">
        <f>"I5-7500/2x4GB/240GB SSD 2 db számítógép"</f>
        <v>I5-7500/2x4GB/240GB SSD 2 db számítógép</v>
      </c>
      <c r="B2435" s="46">
        <v>261606</v>
      </c>
      <c r="C2435" s="46">
        <v>261606</v>
      </c>
      <c r="D2435" s="49">
        <f t="shared" si="79"/>
        <v>0</v>
      </c>
    </row>
    <row r="2436" spans="1:4">
      <c r="A2436" s="7" t="s">
        <v>1982</v>
      </c>
      <c r="B2436" s="46">
        <v>62268</v>
      </c>
      <c r="C2436" s="46">
        <v>62268</v>
      </c>
      <c r="D2436" s="49">
        <f t="shared" si="79"/>
        <v>0</v>
      </c>
    </row>
    <row r="2437" spans="1:4">
      <c r="A2437" s="7" t="s">
        <v>1984</v>
      </c>
      <c r="B2437" s="46">
        <v>162969</v>
      </c>
      <c r="C2437" s="46">
        <v>162969</v>
      </c>
      <c r="D2437" s="49">
        <f t="shared" si="79"/>
        <v>0</v>
      </c>
    </row>
    <row r="2438" spans="1:4">
      <c r="A2438" s="7" t="s">
        <v>1985</v>
      </c>
      <c r="B2438" s="46">
        <v>63448</v>
      </c>
      <c r="C2438" s="46">
        <v>63448</v>
      </c>
      <c r="D2438" s="49">
        <f t="shared" si="79"/>
        <v>0</v>
      </c>
    </row>
    <row r="2439" spans="1:4">
      <c r="A2439" s="7" t="s">
        <v>1986</v>
      </c>
      <c r="B2439" s="46">
        <v>39560</v>
      </c>
      <c r="C2439" s="46">
        <v>39560</v>
      </c>
      <c r="D2439" s="49">
        <f t="shared" si="79"/>
        <v>0</v>
      </c>
    </row>
    <row r="2440" spans="1:4">
      <c r="A2440" s="7" t="s">
        <v>1987</v>
      </c>
      <c r="B2440" s="46">
        <v>15512</v>
      </c>
      <c r="C2440" s="46">
        <v>15512</v>
      </c>
      <c r="D2440" s="49">
        <f t="shared" si="79"/>
        <v>0</v>
      </c>
    </row>
    <row r="2441" spans="1:4">
      <c r="A2441" s="7" t="s">
        <v>1989</v>
      </c>
      <c r="B2441" s="46">
        <v>97339</v>
      </c>
      <c r="C2441" s="46">
        <v>97339</v>
      </c>
      <c r="D2441" s="49">
        <f t="shared" si="79"/>
        <v>0</v>
      </c>
    </row>
    <row r="2442" spans="1:4">
      <c r="A2442" s="7" t="s">
        <v>1990</v>
      </c>
      <c r="B2442" s="46">
        <v>70228</v>
      </c>
      <c r="C2442" s="46">
        <v>70228</v>
      </c>
      <c r="D2442" s="49">
        <f t="shared" si="79"/>
        <v>0</v>
      </c>
    </row>
    <row r="2443" spans="1:4">
      <c r="A2443" s="7" t="s">
        <v>1991</v>
      </c>
      <c r="B2443" s="46">
        <v>31126</v>
      </c>
      <c r="C2443" s="46">
        <v>31126</v>
      </c>
      <c r="D2443" s="49">
        <f t="shared" si="79"/>
        <v>0</v>
      </c>
    </row>
    <row r="2444" spans="1:4">
      <c r="A2444" s="7" t="s">
        <v>1992</v>
      </c>
      <c r="B2444" s="46">
        <v>79488</v>
      </c>
      <c r="C2444" s="46">
        <v>79488</v>
      </c>
      <c r="D2444" s="49">
        <f t="shared" si="79"/>
        <v>0</v>
      </c>
    </row>
    <row r="2445" spans="1:4">
      <c r="A2445" s="7" t="s">
        <v>1993</v>
      </c>
      <c r="B2445" s="46">
        <v>29071</v>
      </c>
      <c r="C2445" s="46">
        <v>29071</v>
      </c>
      <c r="D2445" s="49">
        <f t="shared" si="79"/>
        <v>0</v>
      </c>
    </row>
    <row r="2446" spans="1:4">
      <c r="A2446" s="7" t="s">
        <v>1994</v>
      </c>
      <c r="B2446" s="46">
        <v>47228</v>
      </c>
      <c r="C2446" s="46">
        <v>47228</v>
      </c>
      <c r="D2446" s="49">
        <f t="shared" si="79"/>
        <v>0</v>
      </c>
    </row>
    <row r="2447" spans="1:4">
      <c r="A2447" s="7" t="s">
        <v>1995</v>
      </c>
      <c r="B2447" s="46">
        <v>19070</v>
      </c>
      <c r="C2447" s="46">
        <v>19070</v>
      </c>
      <c r="D2447" s="49">
        <f t="shared" si="79"/>
        <v>0</v>
      </c>
    </row>
    <row r="2448" spans="1:4">
      <c r="A2448" s="7" t="s">
        <v>2014</v>
      </c>
      <c r="B2448" s="46">
        <v>91976</v>
      </c>
      <c r="C2448" s="46">
        <v>91976</v>
      </c>
      <c r="D2448" s="49">
        <f t="shared" si="79"/>
        <v>0</v>
      </c>
    </row>
    <row r="2449" spans="1:4">
      <c r="A2449" s="7" t="s">
        <v>2020</v>
      </c>
      <c r="B2449" s="46">
        <v>617890</v>
      </c>
      <c r="C2449" s="46">
        <v>617890</v>
      </c>
      <c r="D2449" s="49">
        <f t="shared" si="79"/>
        <v>0</v>
      </c>
    </row>
    <row r="2450" spans="1:4">
      <c r="A2450" s="7" t="s">
        <v>2021</v>
      </c>
      <c r="B2450" s="46">
        <v>60331</v>
      </c>
      <c r="C2450" s="46">
        <v>60331</v>
      </c>
      <c r="D2450" s="49">
        <f t="shared" si="79"/>
        <v>0</v>
      </c>
    </row>
    <row r="2451" spans="1:4">
      <c r="A2451" s="7" t="s">
        <v>2026</v>
      </c>
      <c r="B2451" s="46">
        <v>204567</v>
      </c>
      <c r="C2451" s="46">
        <v>204567</v>
      </c>
      <c r="D2451" s="49">
        <f t="shared" si="79"/>
        <v>0</v>
      </c>
    </row>
    <row r="2452" spans="1:4">
      <c r="A2452" s="7" t="s">
        <v>2027</v>
      </c>
      <c r="B2452" s="46">
        <v>70843</v>
      </c>
      <c r="C2452" s="46">
        <v>70843</v>
      </c>
      <c r="D2452" s="49">
        <f t="shared" si="79"/>
        <v>0</v>
      </c>
    </row>
    <row r="2453" spans="1:4">
      <c r="A2453" s="7" t="s">
        <v>1544</v>
      </c>
      <c r="B2453" s="46">
        <v>344416</v>
      </c>
      <c r="C2453" s="46">
        <v>344416</v>
      </c>
      <c r="D2453" s="49">
        <f t="shared" si="79"/>
        <v>0</v>
      </c>
    </row>
    <row r="2454" spans="1:4">
      <c r="A2454" s="7" t="s">
        <v>1545</v>
      </c>
      <c r="B2454" s="46">
        <v>68850</v>
      </c>
      <c r="C2454" s="46">
        <v>68850</v>
      </c>
      <c r="D2454" s="49">
        <f t="shared" si="79"/>
        <v>0</v>
      </c>
    </row>
    <row r="2455" spans="1:4">
      <c r="A2455" s="7" t="s">
        <v>1544</v>
      </c>
      <c r="B2455" s="46">
        <v>344387</v>
      </c>
      <c r="C2455" s="46">
        <v>344387</v>
      </c>
      <c r="D2455" s="49">
        <f t="shared" si="79"/>
        <v>0</v>
      </c>
    </row>
    <row r="2456" spans="1:4">
      <c r="A2456" s="7" t="s">
        <v>1547</v>
      </c>
      <c r="B2456" s="46">
        <v>68850</v>
      </c>
      <c r="C2456" s="46">
        <v>68850</v>
      </c>
      <c r="D2456" s="49">
        <f t="shared" si="79"/>
        <v>0</v>
      </c>
    </row>
    <row r="2457" spans="1:4">
      <c r="A2457" s="7" t="s">
        <v>1580</v>
      </c>
      <c r="B2457" s="46">
        <v>76662</v>
      </c>
      <c r="C2457" s="46">
        <v>76662</v>
      </c>
      <c r="D2457" s="49">
        <f t="shared" si="79"/>
        <v>0</v>
      </c>
    </row>
    <row r="2458" spans="1:4">
      <c r="A2458" s="7" t="s">
        <v>1580</v>
      </c>
      <c r="B2458" s="46">
        <v>76662</v>
      </c>
      <c r="C2458" s="46">
        <v>76662</v>
      </c>
      <c r="D2458" s="49">
        <f t="shared" si="79"/>
        <v>0</v>
      </c>
    </row>
    <row r="2459" spans="1:4">
      <c r="A2459" s="7" t="s">
        <v>1580</v>
      </c>
      <c r="B2459" s="46">
        <v>76663</v>
      </c>
      <c r="C2459" s="46">
        <v>76663</v>
      </c>
      <c r="D2459" s="49">
        <f t="shared" si="79"/>
        <v>0</v>
      </c>
    </row>
    <row r="2460" spans="1:4">
      <c r="A2460" s="7" t="s">
        <v>1581</v>
      </c>
      <c r="B2460" s="46">
        <v>596000</v>
      </c>
      <c r="C2460" s="46">
        <v>596000</v>
      </c>
      <c r="D2460" s="49">
        <f t="shared" si="79"/>
        <v>0</v>
      </c>
    </row>
    <row r="2461" spans="1:4">
      <c r="A2461" s="7" t="s">
        <v>1582</v>
      </c>
      <c r="B2461" s="46">
        <v>131487</v>
      </c>
      <c r="C2461" s="46">
        <v>131487</v>
      </c>
      <c r="D2461" s="49">
        <f t="shared" si="79"/>
        <v>0</v>
      </c>
    </row>
    <row r="2462" spans="1:4">
      <c r="A2462" s="7" t="s">
        <v>1583</v>
      </c>
      <c r="B2462" s="46">
        <v>101750</v>
      </c>
      <c r="C2462" s="46">
        <v>101750</v>
      </c>
      <c r="D2462" s="49">
        <f t="shared" si="79"/>
        <v>0</v>
      </c>
    </row>
    <row r="2463" spans="1:4">
      <c r="A2463" s="7" t="s">
        <v>1602</v>
      </c>
      <c r="B2463" s="46">
        <v>344387</v>
      </c>
      <c r="C2463" s="46">
        <v>344387</v>
      </c>
      <c r="D2463" s="49">
        <f t="shared" si="79"/>
        <v>0</v>
      </c>
    </row>
    <row r="2464" spans="1:4">
      <c r="A2464" s="7" t="s">
        <v>1602</v>
      </c>
      <c r="B2464" s="46">
        <v>344387</v>
      </c>
      <c r="C2464" s="46">
        <v>344387</v>
      </c>
      <c r="D2464" s="49">
        <f t="shared" si="79"/>
        <v>0</v>
      </c>
    </row>
    <row r="2465" spans="1:4">
      <c r="A2465" s="7" t="s">
        <v>1602</v>
      </c>
      <c r="B2465" s="46">
        <v>344387</v>
      </c>
      <c r="C2465" s="46">
        <v>344387</v>
      </c>
      <c r="D2465" s="49">
        <f t="shared" si="79"/>
        <v>0</v>
      </c>
    </row>
    <row r="2466" spans="1:4">
      <c r="A2466" s="7" t="s">
        <v>1603</v>
      </c>
      <c r="B2466" s="46">
        <v>190687</v>
      </c>
      <c r="C2466" s="46">
        <v>190687</v>
      </c>
      <c r="D2466" s="49">
        <f t="shared" si="79"/>
        <v>0</v>
      </c>
    </row>
    <row r="2467" spans="1:4">
      <c r="A2467" s="7" t="s">
        <v>1603</v>
      </c>
      <c r="B2467" s="46">
        <v>190687</v>
      </c>
      <c r="C2467" s="46">
        <v>190687</v>
      </c>
      <c r="D2467" s="49">
        <f t="shared" si="79"/>
        <v>0</v>
      </c>
    </row>
    <row r="2468" spans="1:4">
      <c r="A2468" s="7" t="s">
        <v>1603</v>
      </c>
      <c r="B2468" s="46">
        <v>190687</v>
      </c>
      <c r="C2468" s="46">
        <v>190687</v>
      </c>
      <c r="D2468" s="49">
        <f t="shared" si="79"/>
        <v>0</v>
      </c>
    </row>
    <row r="2469" spans="1:4">
      <c r="A2469" s="7" t="s">
        <v>1603</v>
      </c>
      <c r="B2469" s="46">
        <v>190687</v>
      </c>
      <c r="C2469" s="46">
        <v>190687</v>
      </c>
      <c r="D2469" s="49">
        <f t="shared" si="79"/>
        <v>0</v>
      </c>
    </row>
    <row r="2470" spans="1:4">
      <c r="A2470" s="7" t="s">
        <v>1603</v>
      </c>
      <c r="B2470" s="46">
        <v>190687</v>
      </c>
      <c r="C2470" s="46">
        <v>190687</v>
      </c>
      <c r="D2470" s="49">
        <f t="shared" si="79"/>
        <v>0</v>
      </c>
    </row>
    <row r="2471" spans="1:4">
      <c r="A2471" s="7" t="s">
        <v>1604</v>
      </c>
      <c r="B2471" s="46">
        <v>190687</v>
      </c>
      <c r="C2471" s="46">
        <v>190687</v>
      </c>
      <c r="D2471" s="49">
        <f t="shared" si="79"/>
        <v>0</v>
      </c>
    </row>
    <row r="2472" spans="1:4">
      <c r="A2472" s="7" t="s">
        <v>1603</v>
      </c>
      <c r="B2472" s="46">
        <v>190687</v>
      </c>
      <c r="C2472" s="46">
        <v>190687</v>
      </c>
      <c r="D2472" s="49">
        <f t="shared" si="79"/>
        <v>0</v>
      </c>
    </row>
    <row r="2473" spans="1:4">
      <c r="A2473" s="7" t="s">
        <v>1603</v>
      </c>
      <c r="B2473" s="46">
        <v>190687</v>
      </c>
      <c r="C2473" s="46">
        <v>190687</v>
      </c>
      <c r="D2473" s="49">
        <f t="shared" si="79"/>
        <v>0</v>
      </c>
    </row>
    <row r="2474" spans="1:4">
      <c r="A2474" s="7" t="s">
        <v>1603</v>
      </c>
      <c r="B2474" s="46">
        <v>190687</v>
      </c>
      <c r="C2474" s="46">
        <v>190687</v>
      </c>
      <c r="D2474" s="49">
        <f t="shared" si="79"/>
        <v>0</v>
      </c>
    </row>
    <row r="2475" spans="1:4">
      <c r="A2475" s="7" t="s">
        <v>1603</v>
      </c>
      <c r="B2475" s="46">
        <v>190687</v>
      </c>
      <c r="C2475" s="46">
        <v>190687</v>
      </c>
      <c r="D2475" s="49">
        <f t="shared" si="79"/>
        <v>0</v>
      </c>
    </row>
    <row r="2476" spans="1:4">
      <c r="A2476" s="7" t="s">
        <v>1605</v>
      </c>
      <c r="B2476" s="46">
        <v>316100</v>
      </c>
      <c r="C2476" s="46">
        <v>316100</v>
      </c>
      <c r="D2476" s="49">
        <f t="shared" si="79"/>
        <v>0</v>
      </c>
    </row>
    <row r="2477" spans="1:4">
      <c r="A2477" s="7" t="s">
        <v>1606</v>
      </c>
      <c r="B2477" s="46">
        <v>257312</v>
      </c>
      <c r="C2477" s="46">
        <v>257312</v>
      </c>
      <c r="D2477" s="49">
        <f t="shared" si="79"/>
        <v>0</v>
      </c>
    </row>
    <row r="2478" spans="1:4">
      <c r="A2478" s="7" t="s">
        <v>1606</v>
      </c>
      <c r="B2478" s="46">
        <v>257313</v>
      </c>
      <c r="C2478" s="46">
        <v>257313</v>
      </c>
      <c r="D2478" s="49">
        <f t="shared" si="79"/>
        <v>0</v>
      </c>
    </row>
    <row r="2479" spans="1:4">
      <c r="A2479" s="28" t="s">
        <v>2116</v>
      </c>
      <c r="B2479" s="29">
        <f>SUM(B2416:B2478)</f>
        <v>17860648</v>
      </c>
      <c r="C2479" s="29">
        <f t="shared" ref="C2479:D2479" si="80">SUM(C2416:C2478)</f>
        <v>16966667</v>
      </c>
      <c r="D2479" s="58">
        <f t="shared" si="80"/>
        <v>893981</v>
      </c>
    </row>
    <row r="2480" spans="1:4">
      <c r="A2480" s="7" t="s">
        <v>1590</v>
      </c>
      <c r="B2480" s="46">
        <v>10000000</v>
      </c>
      <c r="C2480" s="46">
        <v>6888490</v>
      </c>
      <c r="D2480" s="49">
        <f t="shared" ref="D2480:D2505" si="81">B2480-C2480</f>
        <v>3111510</v>
      </c>
    </row>
    <row r="2481" spans="1:4">
      <c r="A2481" s="7" t="s">
        <v>2</v>
      </c>
      <c r="B2481" s="46">
        <v>1696866</v>
      </c>
      <c r="C2481" s="46">
        <v>923515</v>
      </c>
      <c r="D2481" s="49">
        <f t="shared" si="81"/>
        <v>773351</v>
      </c>
    </row>
    <row r="2482" spans="1:4">
      <c r="A2482" s="7" t="s">
        <v>1665</v>
      </c>
      <c r="B2482" s="46">
        <v>1184000</v>
      </c>
      <c r="C2482" s="46">
        <v>569131</v>
      </c>
      <c r="D2482" s="49">
        <f t="shared" si="81"/>
        <v>614869</v>
      </c>
    </row>
    <row r="2483" spans="1:4">
      <c r="A2483" s="7" t="s">
        <v>1666</v>
      </c>
      <c r="B2483" s="46">
        <v>1184000</v>
      </c>
      <c r="C2483" s="46">
        <v>587945</v>
      </c>
      <c r="D2483" s="49">
        <f t="shared" si="81"/>
        <v>596055</v>
      </c>
    </row>
    <row r="2484" spans="1:4">
      <c r="A2484" s="7" t="s">
        <v>1668</v>
      </c>
      <c r="B2484" s="46">
        <v>262200</v>
      </c>
      <c r="C2484" s="46">
        <v>124164</v>
      </c>
      <c r="D2484" s="49">
        <f t="shared" si="81"/>
        <v>138036</v>
      </c>
    </row>
    <row r="2485" spans="1:4">
      <c r="A2485" s="7" t="s">
        <v>1669</v>
      </c>
      <c r="B2485" s="46">
        <v>483000</v>
      </c>
      <c r="C2485" s="46">
        <v>228718</v>
      </c>
      <c r="D2485" s="49">
        <f t="shared" si="81"/>
        <v>254282</v>
      </c>
    </row>
    <row r="2486" spans="1:4">
      <c r="A2486" s="7" t="s">
        <v>1670</v>
      </c>
      <c r="B2486" s="46">
        <v>400200</v>
      </c>
      <c r="C2486" s="46">
        <v>189509</v>
      </c>
      <c r="D2486" s="49">
        <f t="shared" si="81"/>
        <v>210691</v>
      </c>
    </row>
    <row r="2487" spans="1:4">
      <c r="A2487" s="7" t="s">
        <v>1681</v>
      </c>
      <c r="B2487" s="46">
        <v>236000</v>
      </c>
      <c r="C2487" s="46">
        <v>110723</v>
      </c>
      <c r="D2487" s="49">
        <f t="shared" si="81"/>
        <v>125277</v>
      </c>
    </row>
    <row r="2488" spans="1:4">
      <c r="A2488" s="7" t="s">
        <v>1682</v>
      </c>
      <c r="B2488" s="46">
        <v>296000</v>
      </c>
      <c r="C2488" s="46">
        <v>138755</v>
      </c>
      <c r="D2488" s="49">
        <f t="shared" si="81"/>
        <v>157245</v>
      </c>
    </row>
    <row r="2489" spans="1:4">
      <c r="A2489" s="7" t="s">
        <v>1683</v>
      </c>
      <c r="B2489" s="46">
        <v>288560</v>
      </c>
      <c r="C2489" s="46">
        <v>115434</v>
      </c>
      <c r="D2489" s="49">
        <f t="shared" si="81"/>
        <v>173126</v>
      </c>
    </row>
    <row r="2490" spans="1:4">
      <c r="A2490" s="7" t="str">
        <f>"3S600/PMP3B200Tip betonelem gyártó"</f>
        <v>3S600/PMP3B200Tip betonelem gyártó</v>
      </c>
      <c r="B2490" s="46">
        <v>890000</v>
      </c>
      <c r="C2490" s="46">
        <v>335178</v>
      </c>
      <c r="D2490" s="49">
        <f t="shared" si="81"/>
        <v>554822</v>
      </c>
    </row>
    <row r="2491" spans="1:4">
      <c r="A2491" s="7" t="s">
        <v>1713</v>
      </c>
      <c r="B2491" s="46">
        <v>370000</v>
      </c>
      <c r="C2491" s="46">
        <v>139345</v>
      </c>
      <c r="D2491" s="49">
        <f t="shared" si="81"/>
        <v>230655</v>
      </c>
    </row>
    <row r="2492" spans="1:4">
      <c r="A2492" s="7" t="s">
        <v>1714</v>
      </c>
      <c r="B2492" s="46">
        <v>390000</v>
      </c>
      <c r="C2492" s="46">
        <v>146877</v>
      </c>
      <c r="D2492" s="49">
        <f t="shared" si="81"/>
        <v>243123</v>
      </c>
    </row>
    <row r="2493" spans="1:4">
      <c r="A2493" s="7" t="s">
        <v>1715</v>
      </c>
      <c r="B2493" s="46">
        <v>430000</v>
      </c>
      <c r="C2493" s="46">
        <v>161941</v>
      </c>
      <c r="D2493" s="49">
        <f t="shared" si="81"/>
        <v>268059</v>
      </c>
    </row>
    <row r="2494" spans="1:4">
      <c r="A2494" s="7" t="s">
        <v>1717</v>
      </c>
      <c r="B2494" s="46">
        <v>5025168</v>
      </c>
      <c r="C2494" s="46">
        <v>1856561</v>
      </c>
      <c r="D2494" s="49">
        <f t="shared" si="81"/>
        <v>3168607</v>
      </c>
    </row>
    <row r="2495" spans="1:4">
      <c r="A2495" s="7" t="s">
        <v>1718</v>
      </c>
      <c r="B2495" s="46">
        <v>13534290</v>
      </c>
      <c r="C2495" s="46">
        <v>5011022</v>
      </c>
      <c r="D2495" s="49">
        <f t="shared" si="81"/>
        <v>8523268</v>
      </c>
    </row>
    <row r="2496" spans="1:4">
      <c r="A2496" s="7" t="s">
        <v>1725</v>
      </c>
      <c r="B2496" s="46">
        <v>890000</v>
      </c>
      <c r="C2496" s="46">
        <v>319975</v>
      </c>
      <c r="D2496" s="49">
        <f t="shared" si="81"/>
        <v>570025</v>
      </c>
    </row>
    <row r="2497" spans="1:4">
      <c r="A2497" s="7" t="s">
        <v>1729</v>
      </c>
      <c r="B2497" s="46">
        <v>756000</v>
      </c>
      <c r="C2497" s="46">
        <v>270596</v>
      </c>
      <c r="D2497" s="49">
        <f t="shared" si="81"/>
        <v>485404</v>
      </c>
    </row>
    <row r="2498" spans="1:4">
      <c r="A2498" s="7" t="s">
        <v>1735</v>
      </c>
      <c r="B2498" s="46">
        <v>341000</v>
      </c>
      <c r="C2498" s="46">
        <v>115553</v>
      </c>
      <c r="D2498" s="49">
        <f t="shared" si="81"/>
        <v>225447</v>
      </c>
    </row>
    <row r="2499" spans="1:4">
      <c r="A2499" s="7" t="s">
        <v>1746</v>
      </c>
      <c r="B2499" s="46">
        <v>1695290</v>
      </c>
      <c r="C2499" s="46">
        <v>553591</v>
      </c>
      <c r="D2499" s="49">
        <f t="shared" si="81"/>
        <v>1141699</v>
      </c>
    </row>
    <row r="2500" spans="1:4">
      <c r="A2500" s="7" t="s">
        <v>1748</v>
      </c>
      <c r="B2500" s="46">
        <v>1309759</v>
      </c>
      <c r="C2500" s="46">
        <v>412609</v>
      </c>
      <c r="D2500" s="49">
        <f t="shared" si="81"/>
        <v>897150</v>
      </c>
    </row>
    <row r="2501" spans="1:4">
      <c r="A2501" s="7" t="s">
        <v>1749</v>
      </c>
      <c r="B2501" s="46">
        <v>1514216</v>
      </c>
      <c r="C2501" s="46">
        <v>452354</v>
      </c>
      <c r="D2501" s="49">
        <f t="shared" si="81"/>
        <v>1061862</v>
      </c>
    </row>
    <row r="2502" spans="1:4">
      <c r="A2502" s="7" t="s">
        <v>1750</v>
      </c>
      <c r="B2502" s="46">
        <v>3028432</v>
      </c>
      <c r="C2502" s="46">
        <v>904715</v>
      </c>
      <c r="D2502" s="49">
        <f t="shared" si="81"/>
        <v>2123717</v>
      </c>
    </row>
    <row r="2503" spans="1:4">
      <c r="A2503" s="7" t="s">
        <v>1752</v>
      </c>
      <c r="B2503" s="46">
        <v>477000</v>
      </c>
      <c r="C2503" s="46">
        <v>153110</v>
      </c>
      <c r="D2503" s="49">
        <f t="shared" si="81"/>
        <v>323890</v>
      </c>
    </row>
    <row r="2504" spans="1:4">
      <c r="A2504" s="7" t="s">
        <v>1753</v>
      </c>
      <c r="B2504" s="46">
        <v>2177952</v>
      </c>
      <c r="C2504" s="46">
        <v>644583</v>
      </c>
      <c r="D2504" s="49">
        <f t="shared" si="81"/>
        <v>1533369</v>
      </c>
    </row>
    <row r="2505" spans="1:4">
      <c r="A2505" s="7" t="s">
        <v>1775</v>
      </c>
      <c r="B2505" s="46">
        <v>245000</v>
      </c>
      <c r="C2505" s="46">
        <v>70080</v>
      </c>
      <c r="D2505" s="49">
        <f t="shared" si="81"/>
        <v>174920</v>
      </c>
    </row>
    <row r="2506" spans="1:4">
      <c r="A2506" s="7" t="s">
        <v>1776</v>
      </c>
      <c r="B2506" s="46">
        <v>121000</v>
      </c>
      <c r="C2506" s="46">
        <v>34609</v>
      </c>
      <c r="D2506" s="49">
        <f t="shared" ref="D2506:D2540" si="82">B2506-C2506</f>
        <v>86391</v>
      </c>
    </row>
    <row r="2507" spans="1:4">
      <c r="A2507" s="7" t="s">
        <v>1777</v>
      </c>
      <c r="B2507" s="46">
        <v>481000</v>
      </c>
      <c r="C2507" s="46">
        <v>137585</v>
      </c>
      <c r="D2507" s="49">
        <f t="shared" si="82"/>
        <v>343415</v>
      </c>
    </row>
    <row r="2508" spans="1:4">
      <c r="A2508" s="7" t="s">
        <v>1778</v>
      </c>
      <c r="B2508" s="46">
        <v>278000</v>
      </c>
      <c r="C2508" s="46">
        <v>79518</v>
      </c>
      <c r="D2508" s="49">
        <f t="shared" si="82"/>
        <v>198482</v>
      </c>
    </row>
    <row r="2509" spans="1:4">
      <c r="A2509" s="7" t="s">
        <v>1779</v>
      </c>
      <c r="B2509" s="46">
        <v>305654</v>
      </c>
      <c r="C2509" s="46">
        <v>77621</v>
      </c>
      <c r="D2509" s="49">
        <f t="shared" si="82"/>
        <v>228033</v>
      </c>
    </row>
    <row r="2510" spans="1:4">
      <c r="A2510" s="7" t="s">
        <v>1780</v>
      </c>
      <c r="B2510" s="46">
        <v>450000</v>
      </c>
      <c r="C2510" s="46">
        <v>109821</v>
      </c>
      <c r="D2510" s="49">
        <f t="shared" si="82"/>
        <v>340179</v>
      </c>
    </row>
    <row r="2511" spans="1:4">
      <c r="A2511" s="7" t="s">
        <v>1781</v>
      </c>
      <c r="B2511" s="46">
        <v>750000</v>
      </c>
      <c r="C2511" s="46">
        <v>172930</v>
      </c>
      <c r="D2511" s="49">
        <f t="shared" si="82"/>
        <v>577070</v>
      </c>
    </row>
    <row r="2512" spans="1:4">
      <c r="A2512" s="7" t="s">
        <v>1784</v>
      </c>
      <c r="B2512" s="46">
        <v>330000</v>
      </c>
      <c r="C2512" s="46">
        <v>83412</v>
      </c>
      <c r="D2512" s="49">
        <f t="shared" si="82"/>
        <v>246588</v>
      </c>
    </row>
    <row r="2513" spans="1:4">
      <c r="A2513" s="7" t="s">
        <v>1785</v>
      </c>
      <c r="B2513" s="46">
        <v>340000</v>
      </c>
      <c r="C2513" s="46">
        <v>85937</v>
      </c>
      <c r="D2513" s="49">
        <f t="shared" si="82"/>
        <v>254063</v>
      </c>
    </row>
    <row r="2514" spans="1:4">
      <c r="A2514" s="7" t="s">
        <v>1825</v>
      </c>
      <c r="B2514" s="46">
        <v>479400</v>
      </c>
      <c r="C2514" s="46">
        <v>112816</v>
      </c>
      <c r="D2514" s="49">
        <f t="shared" si="82"/>
        <v>366584</v>
      </c>
    </row>
    <row r="2515" spans="1:4">
      <c r="A2515" s="7" t="s">
        <v>1828</v>
      </c>
      <c r="B2515" s="46">
        <v>2362205</v>
      </c>
      <c r="C2515" s="46">
        <v>521267</v>
      </c>
      <c r="D2515" s="49">
        <f t="shared" si="82"/>
        <v>1840938</v>
      </c>
    </row>
    <row r="2516" spans="1:4">
      <c r="A2516" s="7" t="s">
        <v>1899</v>
      </c>
      <c r="B2516" s="46">
        <v>235000</v>
      </c>
      <c r="C2516" s="46">
        <v>47016</v>
      </c>
      <c r="D2516" s="49">
        <f t="shared" si="82"/>
        <v>187984</v>
      </c>
    </row>
    <row r="2517" spans="1:4">
      <c r="A2517" s="7" t="s">
        <v>1900</v>
      </c>
      <c r="B2517" s="46">
        <v>1100000</v>
      </c>
      <c r="C2517" s="46">
        <v>224870</v>
      </c>
      <c r="D2517" s="49">
        <f t="shared" si="82"/>
        <v>875130</v>
      </c>
    </row>
    <row r="2518" spans="1:4">
      <c r="A2518" s="7" t="s">
        <v>1901</v>
      </c>
      <c r="B2518" s="46">
        <v>1594234</v>
      </c>
      <c r="C2518" s="46">
        <v>294955</v>
      </c>
      <c r="D2518" s="49">
        <f t="shared" si="82"/>
        <v>1299279</v>
      </c>
    </row>
    <row r="2519" spans="1:4">
      <c r="A2519" s="7" t="s">
        <v>1902</v>
      </c>
      <c r="B2519" s="46">
        <v>226256</v>
      </c>
      <c r="C2519" s="46">
        <v>41860</v>
      </c>
      <c r="D2519" s="49">
        <f t="shared" si="82"/>
        <v>184396</v>
      </c>
    </row>
    <row r="2520" spans="1:4">
      <c r="A2520" s="7" t="s">
        <v>1903</v>
      </c>
      <c r="B2520" s="46">
        <v>1600000</v>
      </c>
      <c r="C2520" s="46">
        <v>344831</v>
      </c>
      <c r="D2520" s="49">
        <f t="shared" si="82"/>
        <v>1255169</v>
      </c>
    </row>
    <row r="2521" spans="1:4">
      <c r="A2521" s="7" t="s">
        <v>1904</v>
      </c>
      <c r="B2521" s="46">
        <v>321545</v>
      </c>
      <c r="C2521" s="46">
        <v>68790</v>
      </c>
      <c r="D2521" s="49">
        <f t="shared" si="82"/>
        <v>252755</v>
      </c>
    </row>
    <row r="2522" spans="1:4">
      <c r="A2522" s="7" t="s">
        <v>1905</v>
      </c>
      <c r="B2522" s="46">
        <v>464900</v>
      </c>
      <c r="C2522" s="46">
        <v>94301</v>
      </c>
      <c r="D2522" s="49">
        <f t="shared" si="82"/>
        <v>370599</v>
      </c>
    </row>
    <row r="2523" spans="1:4">
      <c r="A2523" s="7" t="s">
        <v>1906</v>
      </c>
      <c r="B2523" s="46">
        <v>1372674</v>
      </c>
      <c r="C2523" s="46">
        <v>255105</v>
      </c>
      <c r="D2523" s="49">
        <f t="shared" si="82"/>
        <v>1117569</v>
      </c>
    </row>
    <row r="2524" spans="1:4">
      <c r="A2524" s="7" t="s">
        <v>1936</v>
      </c>
      <c r="B2524" s="46">
        <v>5780000</v>
      </c>
      <c r="C2524" s="46">
        <v>860999</v>
      </c>
      <c r="D2524" s="49">
        <f t="shared" si="82"/>
        <v>4919001</v>
      </c>
    </row>
    <row r="2525" spans="1:4">
      <c r="A2525" s="7" t="s">
        <v>1940</v>
      </c>
      <c r="B2525" s="46">
        <v>1558900</v>
      </c>
      <c r="C2525" s="46">
        <v>220467</v>
      </c>
      <c r="D2525" s="49">
        <f t="shared" si="82"/>
        <v>1338433</v>
      </c>
    </row>
    <row r="2526" spans="1:4">
      <c r="A2526" s="7" t="s">
        <v>1941</v>
      </c>
      <c r="B2526" s="46">
        <v>214000</v>
      </c>
      <c r="C2526" s="46">
        <v>27034</v>
      </c>
      <c r="D2526" s="49">
        <f t="shared" si="82"/>
        <v>186966</v>
      </c>
    </row>
    <row r="2527" spans="1:4">
      <c r="A2527" s="7" t="s">
        <v>1942</v>
      </c>
      <c r="B2527" s="46">
        <v>236000</v>
      </c>
      <c r="C2527" s="46">
        <v>29813</v>
      </c>
      <c r="D2527" s="49">
        <f t="shared" si="82"/>
        <v>206187</v>
      </c>
    </row>
    <row r="2528" spans="1:4">
      <c r="A2528" s="7" t="s">
        <v>1947</v>
      </c>
      <c r="B2528" s="46">
        <v>222400</v>
      </c>
      <c r="C2528" s="46">
        <v>24384</v>
      </c>
      <c r="D2528" s="49">
        <f t="shared" si="82"/>
        <v>198016</v>
      </c>
    </row>
    <row r="2529" spans="1:4">
      <c r="A2529" s="7" t="s">
        <v>1949</v>
      </c>
      <c r="B2529" s="46">
        <v>222400</v>
      </c>
      <c r="C2529" s="46">
        <v>24384</v>
      </c>
      <c r="D2529" s="49">
        <f t="shared" si="82"/>
        <v>198016</v>
      </c>
    </row>
    <row r="2530" spans="1:4">
      <c r="A2530" s="7" t="s">
        <v>1964</v>
      </c>
      <c r="B2530" s="46">
        <v>271260</v>
      </c>
      <c r="C2530" s="46">
        <v>22522</v>
      </c>
      <c r="D2530" s="49">
        <f t="shared" si="82"/>
        <v>248738</v>
      </c>
    </row>
    <row r="2531" spans="1:4">
      <c r="A2531" s="7" t="s">
        <v>1977</v>
      </c>
      <c r="B2531" s="46">
        <v>890000</v>
      </c>
      <c r="C2531" s="46">
        <v>66824</v>
      </c>
      <c r="D2531" s="49">
        <f t="shared" si="82"/>
        <v>823176</v>
      </c>
    </row>
    <row r="2532" spans="1:4">
      <c r="A2532" s="7" t="s">
        <v>1978</v>
      </c>
      <c r="B2532" s="46">
        <v>800000</v>
      </c>
      <c r="C2532" s="46">
        <v>60065</v>
      </c>
      <c r="D2532" s="49">
        <f t="shared" si="82"/>
        <v>739935</v>
      </c>
    </row>
    <row r="2533" spans="1:4">
      <c r="A2533" s="7" t="s">
        <v>1996</v>
      </c>
      <c r="B2533" s="46">
        <v>292267</v>
      </c>
      <c r="C2533" s="46">
        <v>14630</v>
      </c>
      <c r="D2533" s="49">
        <f t="shared" si="82"/>
        <v>277637</v>
      </c>
    </row>
    <row r="2534" spans="1:4">
      <c r="A2534" s="7" t="s">
        <v>2016</v>
      </c>
      <c r="B2534" s="46">
        <v>1599180</v>
      </c>
      <c r="C2534" s="46">
        <v>73694</v>
      </c>
      <c r="D2534" s="49">
        <f t="shared" si="82"/>
        <v>1525486</v>
      </c>
    </row>
    <row r="2535" spans="1:4">
      <c r="A2535" s="7" t="s">
        <v>2017</v>
      </c>
      <c r="B2535" s="46">
        <v>4091733</v>
      </c>
      <c r="C2535" s="46">
        <v>151169</v>
      </c>
      <c r="D2535" s="49">
        <f t="shared" si="82"/>
        <v>3940564</v>
      </c>
    </row>
    <row r="2536" spans="1:4">
      <c r="A2536" s="7" t="s">
        <v>2018</v>
      </c>
      <c r="B2536" s="46">
        <v>2407023</v>
      </c>
      <c r="C2536" s="46">
        <v>116658</v>
      </c>
      <c r="D2536" s="49">
        <f t="shared" si="82"/>
        <v>2290365</v>
      </c>
    </row>
    <row r="2537" spans="1:4">
      <c r="A2537" s="7" t="s">
        <v>2019</v>
      </c>
      <c r="B2537" s="46">
        <v>593227</v>
      </c>
      <c r="C2537" s="46">
        <v>28751</v>
      </c>
      <c r="D2537" s="49">
        <f t="shared" si="82"/>
        <v>564476</v>
      </c>
    </row>
    <row r="2538" spans="1:4">
      <c r="A2538" s="7" t="s">
        <v>2022</v>
      </c>
      <c r="B2538" s="46">
        <v>252500</v>
      </c>
      <c r="C2538" s="46">
        <v>9228</v>
      </c>
      <c r="D2538" s="49">
        <f t="shared" si="82"/>
        <v>243272</v>
      </c>
    </row>
    <row r="2539" spans="1:4">
      <c r="A2539" s="7" t="str">
        <f>"Bosch Kombi Gázkészülék Ipolyjáró 2-4/A FSZ.4 "</f>
        <v xml:space="preserve">Bosch Kombi Gázkészülék Ipolyjáró 2-4/A FSZ.4 </v>
      </c>
      <c r="B2539" s="46">
        <v>299212</v>
      </c>
      <c r="C2539" s="46">
        <v>7964</v>
      </c>
      <c r="D2539" s="49">
        <f t="shared" si="82"/>
        <v>291248</v>
      </c>
    </row>
    <row r="2540" spans="1:4">
      <c r="A2540" s="7" t="s">
        <v>2025</v>
      </c>
      <c r="B2540" s="46">
        <v>6316540</v>
      </c>
      <c r="C2540" s="46">
        <v>2509</v>
      </c>
      <c r="D2540" s="49">
        <f t="shared" si="82"/>
        <v>6314031</v>
      </c>
    </row>
    <row r="2541" spans="1:4">
      <c r="A2541" s="7" t="s">
        <v>1491</v>
      </c>
      <c r="B2541" s="46">
        <v>60000</v>
      </c>
      <c r="C2541" s="46">
        <v>60000</v>
      </c>
      <c r="D2541" s="49">
        <f t="shared" ref="D2541:D2604" si="83">B2541-C2541</f>
        <v>0</v>
      </c>
    </row>
    <row r="2542" spans="1:4">
      <c r="A2542" s="7" t="s">
        <v>1492</v>
      </c>
      <c r="B2542" s="46">
        <v>300256</v>
      </c>
      <c r="C2542" s="46">
        <v>300256</v>
      </c>
      <c r="D2542" s="49">
        <f t="shared" si="83"/>
        <v>0</v>
      </c>
    </row>
    <row r="2543" spans="1:4">
      <c r="A2543" s="7" t="s">
        <v>1493</v>
      </c>
      <c r="B2543" s="46">
        <v>345000</v>
      </c>
      <c r="C2543" s="46">
        <v>345000</v>
      </c>
      <c r="D2543" s="49">
        <f t="shared" si="83"/>
        <v>0</v>
      </c>
    </row>
    <row r="2544" spans="1:4">
      <c r="A2544" s="7" t="s">
        <v>1494</v>
      </c>
      <c r="B2544" s="46">
        <v>964412</v>
      </c>
      <c r="C2544" s="46">
        <v>964412</v>
      </c>
      <c r="D2544" s="49">
        <f t="shared" si="83"/>
        <v>0</v>
      </c>
    </row>
    <row r="2545" spans="1:4">
      <c r="A2545" s="7" t="s">
        <v>1495</v>
      </c>
      <c r="B2545" s="46">
        <v>2200000</v>
      </c>
      <c r="C2545" s="46">
        <v>2200000</v>
      </c>
      <c r="D2545" s="49">
        <f t="shared" si="83"/>
        <v>0</v>
      </c>
    </row>
    <row r="2546" spans="1:4">
      <c r="A2546" s="7" t="s">
        <v>1496</v>
      </c>
      <c r="B2546" s="46">
        <v>1324551</v>
      </c>
      <c r="C2546" s="46">
        <v>1324551</v>
      </c>
      <c r="D2546" s="49">
        <f t="shared" si="83"/>
        <v>0</v>
      </c>
    </row>
    <row r="2547" spans="1:4">
      <c r="A2547" s="7" t="s">
        <v>1497</v>
      </c>
      <c r="B2547" s="46">
        <v>242953</v>
      </c>
      <c r="C2547" s="46">
        <v>242953</v>
      </c>
      <c r="D2547" s="49">
        <f t="shared" si="83"/>
        <v>0</v>
      </c>
    </row>
    <row r="2548" spans="1:4">
      <c r="A2548" s="7" t="s">
        <v>1517</v>
      </c>
      <c r="B2548" s="46">
        <v>245000</v>
      </c>
      <c r="C2548" s="46">
        <v>245000</v>
      </c>
      <c r="D2548" s="49">
        <f t="shared" si="83"/>
        <v>0</v>
      </c>
    </row>
    <row r="2549" spans="1:4">
      <c r="A2549" s="7" t="s">
        <v>1517</v>
      </c>
      <c r="B2549" s="46">
        <v>245000</v>
      </c>
      <c r="C2549" s="46">
        <v>245000</v>
      </c>
      <c r="D2549" s="49">
        <f t="shared" si="83"/>
        <v>0</v>
      </c>
    </row>
    <row r="2550" spans="1:4">
      <c r="A2550" s="7" t="s">
        <v>1517</v>
      </c>
      <c r="B2550" s="46">
        <v>245000</v>
      </c>
      <c r="C2550" s="46">
        <v>245000</v>
      </c>
      <c r="D2550" s="49">
        <f t="shared" si="83"/>
        <v>0</v>
      </c>
    </row>
    <row r="2551" spans="1:4">
      <c r="A2551" s="7" t="s">
        <v>1517</v>
      </c>
      <c r="B2551" s="46">
        <v>245000</v>
      </c>
      <c r="C2551" s="46">
        <v>245000</v>
      </c>
      <c r="D2551" s="49">
        <f t="shared" si="83"/>
        <v>0</v>
      </c>
    </row>
    <row r="2552" spans="1:4">
      <c r="A2552" s="7" t="s">
        <v>1518</v>
      </c>
      <c r="B2552" s="46">
        <v>247750</v>
      </c>
      <c r="C2552" s="46">
        <v>247750</v>
      </c>
      <c r="D2552" s="49">
        <f t="shared" si="83"/>
        <v>0</v>
      </c>
    </row>
    <row r="2553" spans="1:4">
      <c r="A2553" s="7" t="s">
        <v>1519</v>
      </c>
      <c r="B2553" s="46">
        <v>110950</v>
      </c>
      <c r="C2553" s="46">
        <v>110950</v>
      </c>
      <c r="D2553" s="49">
        <f t="shared" si="83"/>
        <v>0</v>
      </c>
    </row>
    <row r="2554" spans="1:4">
      <c r="A2554" s="7" t="s">
        <v>1520</v>
      </c>
      <c r="B2554" s="46">
        <v>70000</v>
      </c>
      <c r="C2554" s="46">
        <v>70000</v>
      </c>
      <c r="D2554" s="49">
        <f t="shared" si="83"/>
        <v>0</v>
      </c>
    </row>
    <row r="2555" spans="1:4">
      <c r="A2555" s="7" t="s">
        <v>1521</v>
      </c>
      <c r="B2555" s="46">
        <v>134750</v>
      </c>
      <c r="C2555" s="46">
        <v>134750</v>
      </c>
      <c r="D2555" s="49">
        <f t="shared" si="83"/>
        <v>0</v>
      </c>
    </row>
    <row r="2556" spans="1:4">
      <c r="A2556" s="7" t="s">
        <v>1522</v>
      </c>
      <c r="B2556" s="46">
        <v>54250</v>
      </c>
      <c r="C2556" s="46">
        <v>54250</v>
      </c>
      <c r="D2556" s="49">
        <f t="shared" si="83"/>
        <v>0</v>
      </c>
    </row>
    <row r="2557" spans="1:4">
      <c r="A2557" s="7" t="s">
        <v>1526</v>
      </c>
      <c r="B2557" s="46">
        <v>365625</v>
      </c>
      <c r="C2557" s="46">
        <v>365625</v>
      </c>
      <c r="D2557" s="49">
        <f t="shared" si="83"/>
        <v>0</v>
      </c>
    </row>
    <row r="2558" spans="1:4">
      <c r="A2558" s="7" t="s">
        <v>1533</v>
      </c>
      <c r="B2558" s="46">
        <v>120055</v>
      </c>
      <c r="C2558" s="46">
        <v>120055</v>
      </c>
      <c r="D2558" s="49">
        <f t="shared" si="83"/>
        <v>0</v>
      </c>
    </row>
    <row r="2559" spans="1:4">
      <c r="A2559" s="7" t="s">
        <v>1534</v>
      </c>
      <c r="B2559" s="46">
        <v>110600</v>
      </c>
      <c r="C2559" s="46">
        <v>110600</v>
      </c>
      <c r="D2559" s="49">
        <f t="shared" si="83"/>
        <v>0</v>
      </c>
    </row>
    <row r="2560" spans="1:4">
      <c r="A2560" s="7" t="s">
        <v>1535</v>
      </c>
      <c r="B2560" s="46">
        <v>130125</v>
      </c>
      <c r="C2560" s="46">
        <v>130125</v>
      </c>
      <c r="D2560" s="49">
        <f t="shared" si="83"/>
        <v>0</v>
      </c>
    </row>
    <row r="2561" spans="1:4">
      <c r="A2561" s="7" t="s">
        <v>1536</v>
      </c>
      <c r="B2561" s="46">
        <v>130200</v>
      </c>
      <c r="C2561" s="46">
        <v>130200</v>
      </c>
      <c r="D2561" s="49">
        <f t="shared" si="83"/>
        <v>0</v>
      </c>
    </row>
    <row r="2562" spans="1:4">
      <c r="A2562" s="7" t="s">
        <v>1537</v>
      </c>
      <c r="B2562" s="46">
        <v>360080</v>
      </c>
      <c r="C2562" s="46">
        <v>360080</v>
      </c>
      <c r="D2562" s="49">
        <f t="shared" si="83"/>
        <v>0</v>
      </c>
    </row>
    <row r="2563" spans="1:4">
      <c r="A2563" s="7" t="s">
        <v>2</v>
      </c>
      <c r="B2563" s="46">
        <v>9324075</v>
      </c>
      <c r="C2563" s="46">
        <v>9324075</v>
      </c>
      <c r="D2563" s="49">
        <f t="shared" si="83"/>
        <v>0</v>
      </c>
    </row>
    <row r="2564" spans="1:4">
      <c r="A2564" s="7" t="s">
        <v>1612</v>
      </c>
      <c r="B2564" s="46">
        <v>447088</v>
      </c>
      <c r="C2564" s="46">
        <v>447088</v>
      </c>
      <c r="D2564" s="49">
        <f t="shared" si="83"/>
        <v>0</v>
      </c>
    </row>
    <row r="2565" spans="1:4">
      <c r="A2565" s="7" t="s">
        <v>1613</v>
      </c>
      <c r="B2565" s="46">
        <v>3587771</v>
      </c>
      <c r="C2565" s="46">
        <v>3587771</v>
      </c>
      <c r="D2565" s="49">
        <f t="shared" si="83"/>
        <v>0</v>
      </c>
    </row>
    <row r="2566" spans="1:4">
      <c r="A2566" s="7" t="s">
        <v>1616</v>
      </c>
      <c r="B2566" s="46">
        <v>450000</v>
      </c>
      <c r="C2566" s="46">
        <v>450000</v>
      </c>
      <c r="D2566" s="49">
        <f t="shared" si="83"/>
        <v>0</v>
      </c>
    </row>
    <row r="2567" spans="1:4">
      <c r="A2567" s="7" t="s">
        <v>1617</v>
      </c>
      <c r="B2567" s="46">
        <v>450000</v>
      </c>
      <c r="C2567" s="46">
        <v>450000</v>
      </c>
      <c r="D2567" s="49">
        <f t="shared" si="83"/>
        <v>0</v>
      </c>
    </row>
    <row r="2568" spans="1:4">
      <c r="A2568" s="7" t="s">
        <v>1618</v>
      </c>
      <c r="B2568" s="46">
        <v>862500</v>
      </c>
      <c r="C2568" s="46">
        <v>862500</v>
      </c>
      <c r="D2568" s="49">
        <f t="shared" si="83"/>
        <v>0</v>
      </c>
    </row>
    <row r="2569" spans="1:4">
      <c r="A2569" s="7" t="s">
        <v>1619</v>
      </c>
      <c r="B2569" s="46">
        <v>125000</v>
      </c>
      <c r="C2569" s="46">
        <v>125000</v>
      </c>
      <c r="D2569" s="49">
        <f t="shared" si="83"/>
        <v>0</v>
      </c>
    </row>
    <row r="2570" spans="1:4">
      <c r="A2570" s="7" t="s">
        <v>1620</v>
      </c>
      <c r="B2570" s="46">
        <v>900000</v>
      </c>
      <c r="C2570" s="46">
        <v>900000</v>
      </c>
      <c r="D2570" s="49">
        <f t="shared" si="83"/>
        <v>0</v>
      </c>
    </row>
    <row r="2571" spans="1:4">
      <c r="A2571" s="7" t="s">
        <v>1620</v>
      </c>
      <c r="B2571" s="46">
        <v>900000</v>
      </c>
      <c r="C2571" s="46">
        <v>900000</v>
      </c>
      <c r="D2571" s="49">
        <f t="shared" si="83"/>
        <v>0</v>
      </c>
    </row>
    <row r="2572" spans="1:4">
      <c r="A2572" s="7" t="s">
        <v>1621</v>
      </c>
      <c r="B2572" s="46">
        <v>1487500</v>
      </c>
      <c r="C2572" s="46">
        <v>1487500</v>
      </c>
      <c r="D2572" s="49">
        <f t="shared" si="83"/>
        <v>0</v>
      </c>
    </row>
    <row r="2573" spans="1:4">
      <c r="A2573" s="7" t="s">
        <v>1622</v>
      </c>
      <c r="B2573" s="46">
        <v>975000</v>
      </c>
      <c r="C2573" s="46">
        <v>975000</v>
      </c>
      <c r="D2573" s="49">
        <f t="shared" si="83"/>
        <v>0</v>
      </c>
    </row>
    <row r="2574" spans="1:4">
      <c r="A2574" s="7" t="s">
        <v>1622</v>
      </c>
      <c r="B2574" s="46">
        <v>975000</v>
      </c>
      <c r="C2574" s="46">
        <v>975000</v>
      </c>
      <c r="D2574" s="49">
        <f t="shared" si="83"/>
        <v>0</v>
      </c>
    </row>
    <row r="2575" spans="1:4">
      <c r="A2575" s="7" t="s">
        <v>1623</v>
      </c>
      <c r="B2575" s="46">
        <v>1362000</v>
      </c>
      <c r="C2575" s="46">
        <v>1362000</v>
      </c>
      <c r="D2575" s="49">
        <f t="shared" si="83"/>
        <v>0</v>
      </c>
    </row>
    <row r="2576" spans="1:4">
      <c r="A2576" s="7" t="s">
        <v>1624</v>
      </c>
      <c r="B2576" s="46">
        <v>945000</v>
      </c>
      <c r="C2576" s="46">
        <v>945000</v>
      </c>
      <c r="D2576" s="49">
        <f t="shared" si="83"/>
        <v>0</v>
      </c>
    </row>
    <row r="2577" spans="1:4">
      <c r="A2577" s="7" t="s">
        <v>1625</v>
      </c>
      <c r="B2577" s="46">
        <v>436013</v>
      </c>
      <c r="C2577" s="46">
        <v>436013</v>
      </c>
      <c r="D2577" s="49">
        <f t="shared" si="83"/>
        <v>0</v>
      </c>
    </row>
    <row r="2578" spans="1:4">
      <c r="A2578" s="7" t="s">
        <v>1626</v>
      </c>
      <c r="B2578" s="46">
        <v>337500</v>
      </c>
      <c r="C2578" s="46">
        <v>337500</v>
      </c>
      <c r="D2578" s="49">
        <f t="shared" si="83"/>
        <v>0</v>
      </c>
    </row>
    <row r="2579" spans="1:4">
      <c r="A2579" s="7" t="s">
        <v>1627</v>
      </c>
      <c r="B2579" s="46">
        <v>525000</v>
      </c>
      <c r="C2579" s="46">
        <v>525000</v>
      </c>
      <c r="D2579" s="49">
        <f t="shared" si="83"/>
        <v>0</v>
      </c>
    </row>
    <row r="2580" spans="1:4">
      <c r="A2580" s="7" t="s">
        <v>1628</v>
      </c>
      <c r="B2580" s="46">
        <v>445000</v>
      </c>
      <c r="C2580" s="46">
        <v>445000</v>
      </c>
      <c r="D2580" s="49">
        <f t="shared" si="83"/>
        <v>0</v>
      </c>
    </row>
    <row r="2581" spans="1:4">
      <c r="A2581" s="7" t="s">
        <v>1629</v>
      </c>
      <c r="B2581" s="46">
        <v>618750</v>
      </c>
      <c r="C2581" s="46">
        <v>618750</v>
      </c>
      <c r="D2581" s="49">
        <f t="shared" si="83"/>
        <v>0</v>
      </c>
    </row>
    <row r="2582" spans="1:4">
      <c r="A2582" s="7" t="s">
        <v>1630</v>
      </c>
      <c r="B2582" s="46">
        <v>152250</v>
      </c>
      <c r="C2582" s="46">
        <v>152250</v>
      </c>
      <c r="D2582" s="49">
        <f t="shared" si="83"/>
        <v>0</v>
      </c>
    </row>
    <row r="2583" spans="1:4">
      <c r="A2583" s="7" t="s">
        <v>1631</v>
      </c>
      <c r="B2583" s="46">
        <v>316050</v>
      </c>
      <c r="C2583" s="46">
        <v>316050</v>
      </c>
      <c r="D2583" s="49">
        <f t="shared" si="83"/>
        <v>0</v>
      </c>
    </row>
    <row r="2584" spans="1:4">
      <c r="A2584" s="7" t="str">
        <f>"PIZZA kemence 4/DS típus"</f>
        <v>PIZZA kemence 4/DS típus</v>
      </c>
      <c r="B2584" s="46">
        <v>460900</v>
      </c>
      <c r="C2584" s="46">
        <v>460900</v>
      </c>
      <c r="D2584" s="49">
        <f t="shared" si="83"/>
        <v>0</v>
      </c>
    </row>
    <row r="2585" spans="1:4">
      <c r="A2585" s="7" t="s">
        <v>1633</v>
      </c>
      <c r="B2585" s="46">
        <v>97018</v>
      </c>
      <c r="C2585" s="46">
        <v>97018</v>
      </c>
      <c r="D2585" s="49">
        <f t="shared" si="83"/>
        <v>0</v>
      </c>
    </row>
    <row r="2586" spans="1:4">
      <c r="A2586" s="7" t="s">
        <v>1634</v>
      </c>
      <c r="B2586" s="46">
        <v>138300</v>
      </c>
      <c r="C2586" s="46">
        <v>138300</v>
      </c>
      <c r="D2586" s="49">
        <f t="shared" si="83"/>
        <v>0</v>
      </c>
    </row>
    <row r="2587" spans="1:4">
      <c r="A2587" s="7" t="s">
        <v>1635</v>
      </c>
      <c r="B2587" s="46">
        <v>117500</v>
      </c>
      <c r="C2587" s="46">
        <v>117500</v>
      </c>
      <c r="D2587" s="49">
        <f t="shared" si="83"/>
        <v>0</v>
      </c>
    </row>
    <row r="2588" spans="1:4">
      <c r="A2588" s="7" t="s">
        <v>1660</v>
      </c>
      <c r="B2588" s="46">
        <v>11352</v>
      </c>
      <c r="C2588" s="46">
        <v>11352</v>
      </c>
      <c r="D2588" s="49">
        <f t="shared" si="83"/>
        <v>0</v>
      </c>
    </row>
    <row r="2589" spans="1:4">
      <c r="A2589" s="7" t="s">
        <v>1661</v>
      </c>
      <c r="B2589" s="46">
        <v>80268</v>
      </c>
      <c r="C2589" s="46">
        <v>80268</v>
      </c>
      <c r="D2589" s="49">
        <f t="shared" si="83"/>
        <v>0</v>
      </c>
    </row>
    <row r="2590" spans="1:4">
      <c r="A2590" s="7" t="s">
        <v>1614</v>
      </c>
      <c r="B2590" s="46">
        <v>218600</v>
      </c>
      <c r="C2590" s="46">
        <v>218600</v>
      </c>
      <c r="D2590" s="49">
        <f t="shared" si="83"/>
        <v>0</v>
      </c>
    </row>
    <row r="2591" spans="1:4">
      <c r="A2591" s="7" t="s">
        <v>1662</v>
      </c>
      <c r="B2591" s="46">
        <v>367000</v>
      </c>
      <c r="C2591" s="46">
        <v>367000</v>
      </c>
      <c r="D2591" s="49">
        <f t="shared" si="83"/>
        <v>0</v>
      </c>
    </row>
    <row r="2592" spans="1:4">
      <c r="A2592" s="7" t="s">
        <v>1663</v>
      </c>
      <c r="B2592" s="46">
        <v>40299</v>
      </c>
      <c r="C2592" s="46">
        <v>40299</v>
      </c>
      <c r="D2592" s="49">
        <f t="shared" si="83"/>
        <v>0</v>
      </c>
    </row>
    <row r="2593" spans="1:4">
      <c r="A2593" s="7" t="s">
        <v>1664</v>
      </c>
      <c r="B2593" s="46">
        <v>103890</v>
      </c>
      <c r="C2593" s="46">
        <v>103890</v>
      </c>
      <c r="D2593" s="49">
        <f t="shared" si="83"/>
        <v>0</v>
      </c>
    </row>
    <row r="2594" spans="1:4">
      <c r="A2594" s="7" t="s">
        <v>1667</v>
      </c>
      <c r="B2594" s="46">
        <v>89700</v>
      </c>
      <c r="C2594" s="46">
        <v>89700</v>
      </c>
      <c r="D2594" s="49">
        <f t="shared" si="83"/>
        <v>0</v>
      </c>
    </row>
    <row r="2595" spans="1:4">
      <c r="A2595" s="7" t="s">
        <v>1672</v>
      </c>
      <c r="B2595" s="46">
        <v>338628</v>
      </c>
      <c r="C2595" s="46">
        <v>338628</v>
      </c>
      <c r="D2595" s="49">
        <f t="shared" si="83"/>
        <v>0</v>
      </c>
    </row>
    <row r="2596" spans="1:4">
      <c r="A2596" s="7" t="s">
        <v>1673</v>
      </c>
      <c r="B2596" s="46">
        <v>66000</v>
      </c>
      <c r="C2596" s="46">
        <v>66000</v>
      </c>
      <c r="D2596" s="49">
        <f t="shared" si="83"/>
        <v>0</v>
      </c>
    </row>
    <row r="2597" spans="1:4">
      <c r="A2597" s="7" t="s">
        <v>1674</v>
      </c>
      <c r="B2597" s="46">
        <v>165000</v>
      </c>
      <c r="C2597" s="46">
        <v>165000</v>
      </c>
      <c r="D2597" s="49">
        <f t="shared" si="83"/>
        <v>0</v>
      </c>
    </row>
    <row r="2598" spans="1:4">
      <c r="A2598" s="7" t="s">
        <v>1675</v>
      </c>
      <c r="B2598" s="46">
        <v>149500</v>
      </c>
      <c r="C2598" s="46">
        <v>149500</v>
      </c>
      <c r="D2598" s="49">
        <f t="shared" si="83"/>
        <v>0</v>
      </c>
    </row>
    <row r="2599" spans="1:4">
      <c r="A2599" s="7" t="s">
        <v>1676</v>
      </c>
      <c r="B2599" s="46">
        <v>184000</v>
      </c>
      <c r="C2599" s="46">
        <v>184000</v>
      </c>
      <c r="D2599" s="49">
        <f t="shared" si="83"/>
        <v>0</v>
      </c>
    </row>
    <row r="2600" spans="1:4">
      <c r="A2600" s="7" t="s">
        <v>1677</v>
      </c>
      <c r="B2600" s="46">
        <v>228000</v>
      </c>
      <c r="C2600" s="46">
        <v>228000</v>
      </c>
      <c r="D2600" s="49">
        <f t="shared" si="83"/>
        <v>0</v>
      </c>
    </row>
    <row r="2601" spans="1:4">
      <c r="A2601" s="7" t="s">
        <v>1678</v>
      </c>
      <c r="B2601" s="46">
        <v>31496</v>
      </c>
      <c r="C2601" s="46">
        <v>31496</v>
      </c>
      <c r="D2601" s="49">
        <f t="shared" si="83"/>
        <v>0</v>
      </c>
    </row>
    <row r="2602" spans="1:4">
      <c r="A2602" s="7" t="s">
        <v>1679</v>
      </c>
      <c r="B2602" s="46">
        <v>14685</v>
      </c>
      <c r="C2602" s="46">
        <v>14685</v>
      </c>
      <c r="D2602" s="49">
        <f t="shared" si="83"/>
        <v>0</v>
      </c>
    </row>
    <row r="2603" spans="1:4">
      <c r="A2603" s="7" t="s">
        <v>1680</v>
      </c>
      <c r="B2603" s="46">
        <v>29055</v>
      </c>
      <c r="C2603" s="46">
        <v>29055</v>
      </c>
      <c r="D2603" s="49">
        <f t="shared" si="83"/>
        <v>0</v>
      </c>
    </row>
    <row r="2604" spans="1:4">
      <c r="A2604" s="7" t="s">
        <v>1684</v>
      </c>
      <c r="B2604" s="46">
        <v>183000</v>
      </c>
      <c r="C2604" s="46">
        <v>183000</v>
      </c>
      <c r="D2604" s="49">
        <f t="shared" si="83"/>
        <v>0</v>
      </c>
    </row>
    <row r="2605" spans="1:4">
      <c r="A2605" s="7" t="s">
        <v>1685</v>
      </c>
      <c r="B2605" s="46">
        <v>177500</v>
      </c>
      <c r="C2605" s="46">
        <v>177500</v>
      </c>
      <c r="D2605" s="49">
        <f t="shared" ref="D2605:D2668" si="84">B2605-C2605</f>
        <v>0</v>
      </c>
    </row>
    <row r="2606" spans="1:4">
      <c r="A2606" s="7" t="s">
        <v>1686</v>
      </c>
      <c r="B2606" s="46">
        <v>45000</v>
      </c>
      <c r="C2606" s="46">
        <v>45000</v>
      </c>
      <c r="D2606" s="49">
        <f t="shared" si="84"/>
        <v>0</v>
      </c>
    </row>
    <row r="2607" spans="1:4">
      <c r="A2607" s="7" t="s">
        <v>1687</v>
      </c>
      <c r="B2607" s="46">
        <v>40000</v>
      </c>
      <c r="C2607" s="46">
        <v>40000</v>
      </c>
      <c r="D2607" s="49">
        <f t="shared" si="84"/>
        <v>0</v>
      </c>
    </row>
    <row r="2608" spans="1:4">
      <c r="A2608" s="7" t="s">
        <v>1688</v>
      </c>
      <c r="B2608" s="46">
        <v>65000</v>
      </c>
      <c r="C2608" s="46">
        <v>65000</v>
      </c>
      <c r="D2608" s="49">
        <f t="shared" si="84"/>
        <v>0</v>
      </c>
    </row>
    <row r="2609" spans="1:4">
      <c r="A2609" s="7" t="s">
        <v>1689</v>
      </c>
      <c r="B2609" s="46">
        <v>25500</v>
      </c>
      <c r="C2609" s="46">
        <v>25500</v>
      </c>
      <c r="D2609" s="49">
        <f t="shared" si="84"/>
        <v>0</v>
      </c>
    </row>
    <row r="2610" spans="1:4">
      <c r="A2610" s="7" t="s">
        <v>1690</v>
      </c>
      <c r="B2610" s="46">
        <v>50000</v>
      </c>
      <c r="C2610" s="46">
        <v>50000</v>
      </c>
      <c r="D2610" s="49">
        <f t="shared" si="84"/>
        <v>0</v>
      </c>
    </row>
    <row r="2611" spans="1:4">
      <c r="A2611" s="7" t="s">
        <v>1691</v>
      </c>
      <c r="B2611" s="46">
        <v>40000</v>
      </c>
      <c r="C2611" s="46">
        <v>40000</v>
      </c>
      <c r="D2611" s="49">
        <f t="shared" si="84"/>
        <v>0</v>
      </c>
    </row>
    <row r="2612" spans="1:4">
      <c r="A2612" s="7" t="s">
        <v>1692</v>
      </c>
      <c r="B2612" s="46">
        <v>100000</v>
      </c>
      <c r="C2612" s="46">
        <v>100000</v>
      </c>
      <c r="D2612" s="49">
        <f t="shared" si="84"/>
        <v>0</v>
      </c>
    </row>
    <row r="2613" spans="1:4">
      <c r="A2613" s="7" t="s">
        <v>1693</v>
      </c>
      <c r="B2613" s="46">
        <v>160000</v>
      </c>
      <c r="C2613" s="46">
        <v>160000</v>
      </c>
      <c r="D2613" s="49">
        <f t="shared" si="84"/>
        <v>0</v>
      </c>
    </row>
    <row r="2614" spans="1:4">
      <c r="A2614" s="7" t="s">
        <v>1694</v>
      </c>
      <c r="B2614" s="46">
        <v>30000</v>
      </c>
      <c r="C2614" s="46">
        <v>30000</v>
      </c>
      <c r="D2614" s="49">
        <f t="shared" si="84"/>
        <v>0</v>
      </c>
    </row>
    <row r="2615" spans="1:4">
      <c r="A2615" s="7" t="s">
        <v>1695</v>
      </c>
      <c r="B2615" s="46">
        <v>10197</v>
      </c>
      <c r="C2615" s="46">
        <v>10197</v>
      </c>
      <c r="D2615" s="49">
        <f t="shared" si="84"/>
        <v>0</v>
      </c>
    </row>
    <row r="2616" spans="1:4">
      <c r="A2616" s="7" t="s">
        <v>1696</v>
      </c>
      <c r="B2616" s="46">
        <v>9803</v>
      </c>
      <c r="C2616" s="46">
        <v>9803</v>
      </c>
      <c r="D2616" s="49">
        <f t="shared" si="84"/>
        <v>0</v>
      </c>
    </row>
    <row r="2617" spans="1:4">
      <c r="A2617" s="7" t="s">
        <v>1701</v>
      </c>
      <c r="B2617" s="46">
        <v>19906</v>
      </c>
      <c r="C2617" s="46">
        <v>19906</v>
      </c>
      <c r="D2617" s="49">
        <f t="shared" si="84"/>
        <v>0</v>
      </c>
    </row>
    <row r="2618" spans="1:4">
      <c r="A2618" s="7" t="s">
        <v>1702</v>
      </c>
      <c r="B2618" s="46">
        <v>19151</v>
      </c>
      <c r="C2618" s="46">
        <v>19151</v>
      </c>
      <c r="D2618" s="49">
        <f t="shared" si="84"/>
        <v>0</v>
      </c>
    </row>
    <row r="2619" spans="1:4">
      <c r="A2619" s="7" t="s">
        <v>1703</v>
      </c>
      <c r="B2619" s="46">
        <v>39685</v>
      </c>
      <c r="C2619" s="46">
        <v>39685</v>
      </c>
      <c r="D2619" s="49">
        <f t="shared" si="84"/>
        <v>0</v>
      </c>
    </row>
    <row r="2620" spans="1:4">
      <c r="A2620" s="7" t="s">
        <v>1704</v>
      </c>
      <c r="B2620" s="46">
        <v>40677</v>
      </c>
      <c r="C2620" s="46">
        <v>40677</v>
      </c>
      <c r="D2620" s="49">
        <f t="shared" si="84"/>
        <v>0</v>
      </c>
    </row>
    <row r="2621" spans="1:4">
      <c r="A2621" s="7" t="s">
        <v>1705</v>
      </c>
      <c r="B2621" s="46">
        <v>7323</v>
      </c>
      <c r="C2621" s="46">
        <v>7323</v>
      </c>
      <c r="D2621" s="49">
        <f t="shared" si="84"/>
        <v>0</v>
      </c>
    </row>
    <row r="2622" spans="1:4">
      <c r="A2622" s="7" t="s">
        <v>1706</v>
      </c>
      <c r="B2622" s="46">
        <v>128976</v>
      </c>
      <c r="C2622" s="46">
        <v>128976</v>
      </c>
      <c r="D2622" s="49">
        <f t="shared" si="84"/>
        <v>0</v>
      </c>
    </row>
    <row r="2623" spans="1:4">
      <c r="A2623" s="7" t="s">
        <v>1707</v>
      </c>
      <c r="B2623" s="46">
        <v>18898</v>
      </c>
      <c r="C2623" s="46">
        <v>18898</v>
      </c>
      <c r="D2623" s="49">
        <f t="shared" si="84"/>
        <v>0</v>
      </c>
    </row>
    <row r="2624" spans="1:4">
      <c r="A2624" s="7" t="s">
        <v>1708</v>
      </c>
      <c r="B2624" s="46">
        <v>52063</v>
      </c>
      <c r="C2624" s="46">
        <v>52063</v>
      </c>
      <c r="D2624" s="49">
        <f t="shared" si="84"/>
        <v>0</v>
      </c>
    </row>
    <row r="2625" spans="1:4">
      <c r="A2625" s="7" t="s">
        <v>1709</v>
      </c>
      <c r="B2625" s="46">
        <v>5236</v>
      </c>
      <c r="C2625" s="46">
        <v>5236</v>
      </c>
      <c r="D2625" s="49">
        <f t="shared" si="84"/>
        <v>0</v>
      </c>
    </row>
    <row r="2626" spans="1:4">
      <c r="A2626" s="7" t="s">
        <v>1710</v>
      </c>
      <c r="B2626" s="46">
        <v>30677</v>
      </c>
      <c r="C2626" s="46">
        <v>30677</v>
      </c>
      <c r="D2626" s="49">
        <f t="shared" si="84"/>
        <v>0</v>
      </c>
    </row>
    <row r="2627" spans="1:4">
      <c r="A2627" s="7" t="s">
        <v>1711</v>
      </c>
      <c r="B2627" s="46">
        <v>8173</v>
      </c>
      <c r="C2627" s="46">
        <v>8173</v>
      </c>
      <c r="D2627" s="49">
        <f t="shared" si="84"/>
        <v>0</v>
      </c>
    </row>
    <row r="2628" spans="1:4">
      <c r="A2628" s="7" t="s">
        <v>1712</v>
      </c>
      <c r="B2628" s="46">
        <v>5323</v>
      </c>
      <c r="C2628" s="46">
        <v>5323</v>
      </c>
      <c r="D2628" s="49">
        <f t="shared" si="84"/>
        <v>0</v>
      </c>
    </row>
    <row r="2629" spans="1:4">
      <c r="A2629" s="7" t="s">
        <v>1719</v>
      </c>
      <c r="B2629" s="46">
        <v>17134</v>
      </c>
      <c r="C2629" s="46">
        <v>17134</v>
      </c>
      <c r="D2629" s="49">
        <f t="shared" si="84"/>
        <v>0</v>
      </c>
    </row>
    <row r="2630" spans="1:4">
      <c r="A2630" s="7" t="s">
        <v>1720</v>
      </c>
      <c r="B2630" s="46">
        <v>21500</v>
      </c>
      <c r="C2630" s="46">
        <v>21500</v>
      </c>
      <c r="D2630" s="49">
        <f t="shared" si="84"/>
        <v>0</v>
      </c>
    </row>
    <row r="2631" spans="1:4">
      <c r="A2631" s="7" t="s">
        <v>1721</v>
      </c>
      <c r="B2631" s="46">
        <v>19840</v>
      </c>
      <c r="C2631" s="46">
        <v>19840</v>
      </c>
      <c r="D2631" s="49">
        <f t="shared" si="84"/>
        <v>0</v>
      </c>
    </row>
    <row r="2632" spans="1:4">
      <c r="A2632" s="7" t="s">
        <v>1722</v>
      </c>
      <c r="B2632" s="46">
        <v>1760</v>
      </c>
      <c r="C2632" s="46">
        <v>1760</v>
      </c>
      <c r="D2632" s="49">
        <f t="shared" si="84"/>
        <v>0</v>
      </c>
    </row>
    <row r="2633" spans="1:4">
      <c r="A2633" s="7" t="s">
        <v>1723</v>
      </c>
      <c r="B2633" s="46">
        <v>22980</v>
      </c>
      <c r="C2633" s="46">
        <v>22980</v>
      </c>
      <c r="D2633" s="49">
        <f t="shared" si="84"/>
        <v>0</v>
      </c>
    </row>
    <row r="2634" spans="1:4">
      <c r="A2634" s="7" t="str">
        <f>"Emelőkötél 3t/6m"</f>
        <v>Emelőkötél 3t/6m</v>
      </c>
      <c r="B2634" s="46">
        <v>7800</v>
      </c>
      <c r="C2634" s="46">
        <v>7800</v>
      </c>
      <c r="D2634" s="49">
        <f t="shared" si="84"/>
        <v>0</v>
      </c>
    </row>
    <row r="2635" spans="1:4">
      <c r="A2635" s="7" t="str">
        <f>"Szivattyú házi VVB25/130 "</f>
        <v xml:space="preserve">Szivattyú házi VVB25/130 </v>
      </c>
      <c r="B2635" s="46">
        <v>39291</v>
      </c>
      <c r="C2635" s="46">
        <v>39291</v>
      </c>
      <c r="D2635" s="49">
        <f t="shared" si="84"/>
        <v>0</v>
      </c>
    </row>
    <row r="2636" spans="1:4">
      <c r="A2636" s="7" t="s">
        <v>1724</v>
      </c>
      <c r="B2636" s="46">
        <v>14533</v>
      </c>
      <c r="C2636" s="46">
        <v>14533</v>
      </c>
      <c r="D2636" s="49">
        <f t="shared" si="84"/>
        <v>0</v>
      </c>
    </row>
    <row r="2637" spans="1:4">
      <c r="A2637" s="7" t="s">
        <v>1730</v>
      </c>
      <c r="B2637" s="46">
        <v>715000</v>
      </c>
      <c r="C2637" s="46">
        <v>715000</v>
      </c>
      <c r="D2637" s="49">
        <f t="shared" si="84"/>
        <v>0</v>
      </c>
    </row>
    <row r="2638" spans="1:4">
      <c r="A2638" s="7" t="s">
        <v>1731</v>
      </c>
      <c r="B2638" s="46">
        <v>216000</v>
      </c>
      <c r="C2638" s="46">
        <v>216000</v>
      </c>
      <c r="D2638" s="49">
        <f t="shared" si="84"/>
        <v>0</v>
      </c>
    </row>
    <row r="2639" spans="1:4">
      <c r="A2639" s="7" t="s">
        <v>1732</v>
      </c>
      <c r="B2639" s="46">
        <v>43200</v>
      </c>
      <c r="C2639" s="46">
        <v>43200</v>
      </c>
      <c r="D2639" s="49">
        <f t="shared" si="84"/>
        <v>0</v>
      </c>
    </row>
    <row r="2640" spans="1:4">
      <c r="A2640" s="7" t="s">
        <v>1733</v>
      </c>
      <c r="B2640" s="46">
        <v>112800</v>
      </c>
      <c r="C2640" s="46">
        <v>112800</v>
      </c>
      <c r="D2640" s="49">
        <f t="shared" si="84"/>
        <v>0</v>
      </c>
    </row>
    <row r="2641" spans="1:4">
      <c r="A2641" s="7" t="s">
        <v>1734</v>
      </c>
      <c r="B2641" s="46">
        <v>12000</v>
      </c>
      <c r="C2641" s="46">
        <v>12000</v>
      </c>
      <c r="D2641" s="49">
        <f t="shared" si="84"/>
        <v>0</v>
      </c>
    </row>
    <row r="2642" spans="1:4">
      <c r="A2642" s="7" t="s">
        <v>1736</v>
      </c>
      <c r="B2642" s="46">
        <v>10629</v>
      </c>
      <c r="C2642" s="46">
        <v>10629</v>
      </c>
      <c r="D2642" s="49">
        <f t="shared" si="84"/>
        <v>0</v>
      </c>
    </row>
    <row r="2643" spans="1:4">
      <c r="A2643" s="7" t="s">
        <v>1737</v>
      </c>
      <c r="B2643" s="46">
        <v>15591</v>
      </c>
      <c r="C2643" s="46">
        <v>15591</v>
      </c>
      <c r="D2643" s="49">
        <f t="shared" si="84"/>
        <v>0</v>
      </c>
    </row>
    <row r="2644" spans="1:4">
      <c r="A2644" s="7" t="s">
        <v>1738</v>
      </c>
      <c r="B2644" s="46">
        <v>9800</v>
      </c>
      <c r="C2644" s="46">
        <v>9800</v>
      </c>
      <c r="D2644" s="49">
        <f t="shared" si="84"/>
        <v>0</v>
      </c>
    </row>
    <row r="2645" spans="1:4">
      <c r="A2645" s="7" t="s">
        <v>1739</v>
      </c>
      <c r="B2645" s="46">
        <v>3400</v>
      </c>
      <c r="C2645" s="46">
        <v>3400</v>
      </c>
      <c r="D2645" s="49">
        <f t="shared" si="84"/>
        <v>0</v>
      </c>
    </row>
    <row r="2646" spans="1:4">
      <c r="A2646" s="7" t="s">
        <v>1740</v>
      </c>
      <c r="B2646" s="46">
        <v>3200</v>
      </c>
      <c r="C2646" s="46">
        <v>3200</v>
      </c>
      <c r="D2646" s="49">
        <f t="shared" si="84"/>
        <v>0</v>
      </c>
    </row>
    <row r="2647" spans="1:4">
      <c r="A2647" s="7" t="s">
        <v>1741</v>
      </c>
      <c r="B2647" s="46">
        <v>3000</v>
      </c>
      <c r="C2647" s="46">
        <v>3000</v>
      </c>
      <c r="D2647" s="49">
        <f t="shared" si="84"/>
        <v>0</v>
      </c>
    </row>
    <row r="2648" spans="1:4">
      <c r="A2648" s="7" t="s">
        <v>1742</v>
      </c>
      <c r="B2648" s="46">
        <v>2820</v>
      </c>
      <c r="C2648" s="46">
        <v>2820</v>
      </c>
      <c r="D2648" s="49">
        <f t="shared" si="84"/>
        <v>0</v>
      </c>
    </row>
    <row r="2649" spans="1:4">
      <c r="A2649" s="7" t="s">
        <v>1743</v>
      </c>
      <c r="B2649" s="46">
        <v>5000</v>
      </c>
      <c r="C2649" s="46">
        <v>5000</v>
      </c>
      <c r="D2649" s="49">
        <f t="shared" si="84"/>
        <v>0</v>
      </c>
    </row>
    <row r="2650" spans="1:4">
      <c r="A2650" s="7" t="s">
        <v>1744</v>
      </c>
      <c r="B2650" s="46">
        <v>10400</v>
      </c>
      <c r="C2650" s="46">
        <v>10400</v>
      </c>
      <c r="D2650" s="49">
        <f t="shared" si="84"/>
        <v>0</v>
      </c>
    </row>
    <row r="2651" spans="1:4">
      <c r="A2651" s="7" t="s">
        <v>1745</v>
      </c>
      <c r="B2651" s="46">
        <v>15990</v>
      </c>
      <c r="C2651" s="46">
        <v>15990</v>
      </c>
      <c r="D2651" s="49">
        <f t="shared" si="84"/>
        <v>0</v>
      </c>
    </row>
    <row r="2652" spans="1:4">
      <c r="A2652" s="7" t="s">
        <v>1751</v>
      </c>
      <c r="B2652" s="46">
        <v>1903500</v>
      </c>
      <c r="C2652" s="46">
        <v>1903500</v>
      </c>
      <c r="D2652" s="49">
        <f t="shared" si="84"/>
        <v>0</v>
      </c>
    </row>
    <row r="2653" spans="1:4">
      <c r="A2653" s="7" t="s">
        <v>1754</v>
      </c>
      <c r="B2653" s="46">
        <v>123114</v>
      </c>
      <c r="C2653" s="46">
        <v>123114</v>
      </c>
      <c r="D2653" s="49">
        <f t="shared" si="84"/>
        <v>0</v>
      </c>
    </row>
    <row r="2654" spans="1:4">
      <c r="A2654" s="7" t="s">
        <v>1755</v>
      </c>
      <c r="B2654" s="46">
        <v>37528</v>
      </c>
      <c r="C2654" s="46">
        <v>37528</v>
      </c>
      <c r="D2654" s="49">
        <f t="shared" si="84"/>
        <v>0</v>
      </c>
    </row>
    <row r="2655" spans="1:4">
      <c r="A2655" s="7" t="s">
        <v>1756</v>
      </c>
      <c r="B2655" s="46">
        <v>38740</v>
      </c>
      <c r="C2655" s="46">
        <v>38740</v>
      </c>
      <c r="D2655" s="49">
        <f t="shared" si="84"/>
        <v>0</v>
      </c>
    </row>
    <row r="2656" spans="1:4">
      <c r="A2656" s="7" t="s">
        <v>1757</v>
      </c>
      <c r="B2656" s="46">
        <v>8268</v>
      </c>
      <c r="C2656" s="46">
        <v>8268</v>
      </c>
      <c r="D2656" s="49">
        <f t="shared" si="84"/>
        <v>0</v>
      </c>
    </row>
    <row r="2657" spans="1:4">
      <c r="A2657" s="7" t="s">
        <v>1758</v>
      </c>
      <c r="B2657" s="46">
        <v>21416</v>
      </c>
      <c r="C2657" s="46">
        <v>21416</v>
      </c>
      <c r="D2657" s="49">
        <f t="shared" si="84"/>
        <v>0</v>
      </c>
    </row>
    <row r="2658" spans="1:4">
      <c r="A2658" s="7" t="s">
        <v>1759</v>
      </c>
      <c r="B2658" s="46">
        <v>2729</v>
      </c>
      <c r="C2658" s="46">
        <v>2729</v>
      </c>
      <c r="D2658" s="49">
        <f t="shared" si="84"/>
        <v>0</v>
      </c>
    </row>
    <row r="2659" spans="1:4">
      <c r="A2659" s="7" t="s">
        <v>1760</v>
      </c>
      <c r="B2659" s="46">
        <v>5510</v>
      </c>
      <c r="C2659" s="46">
        <v>5510</v>
      </c>
      <c r="D2659" s="49">
        <f t="shared" si="84"/>
        <v>0</v>
      </c>
    </row>
    <row r="2660" spans="1:4">
      <c r="A2660" s="7" t="s">
        <v>1761</v>
      </c>
      <c r="B2660" s="46">
        <v>2992</v>
      </c>
      <c r="C2660" s="46">
        <v>2992</v>
      </c>
      <c r="D2660" s="49">
        <f t="shared" si="84"/>
        <v>0</v>
      </c>
    </row>
    <row r="2661" spans="1:4">
      <c r="A2661" s="7" t="s">
        <v>1762</v>
      </c>
      <c r="B2661" s="46">
        <v>5732</v>
      </c>
      <c r="C2661" s="46">
        <v>5732</v>
      </c>
      <c r="D2661" s="49">
        <f t="shared" si="84"/>
        <v>0</v>
      </c>
    </row>
    <row r="2662" spans="1:4">
      <c r="A2662" s="7" t="s">
        <v>1763</v>
      </c>
      <c r="B2662" s="46">
        <v>1382</v>
      </c>
      <c r="C2662" s="46">
        <v>1382</v>
      </c>
      <c r="D2662" s="49">
        <f t="shared" si="84"/>
        <v>0</v>
      </c>
    </row>
    <row r="2663" spans="1:4">
      <c r="A2663" s="7" t="s">
        <v>1771</v>
      </c>
      <c r="B2663" s="46">
        <v>50000</v>
      </c>
      <c r="C2663" s="46">
        <v>50000</v>
      </c>
      <c r="D2663" s="49">
        <f t="shared" si="84"/>
        <v>0</v>
      </c>
    </row>
    <row r="2664" spans="1:4">
      <c r="A2664" s="7" t="s">
        <v>1772</v>
      </c>
      <c r="B2664" s="46">
        <v>215000</v>
      </c>
      <c r="C2664" s="46">
        <v>215000</v>
      </c>
      <c r="D2664" s="49">
        <f t="shared" si="84"/>
        <v>0</v>
      </c>
    </row>
    <row r="2665" spans="1:4">
      <c r="A2665" s="7" t="s">
        <v>1774</v>
      </c>
      <c r="B2665" s="46">
        <v>205000</v>
      </c>
      <c r="C2665" s="46">
        <v>205000</v>
      </c>
      <c r="D2665" s="49">
        <f t="shared" si="84"/>
        <v>0</v>
      </c>
    </row>
    <row r="2666" spans="1:4">
      <c r="A2666" s="7" t="s">
        <v>1782</v>
      </c>
      <c r="B2666" s="46">
        <v>73000</v>
      </c>
      <c r="C2666" s="46">
        <v>73000</v>
      </c>
      <c r="D2666" s="49">
        <f t="shared" si="84"/>
        <v>0</v>
      </c>
    </row>
    <row r="2667" spans="1:4">
      <c r="A2667" s="7" t="s">
        <v>1783</v>
      </c>
      <c r="B2667" s="46">
        <v>73000</v>
      </c>
      <c r="C2667" s="46">
        <v>73000</v>
      </c>
      <c r="D2667" s="49">
        <f t="shared" si="84"/>
        <v>0</v>
      </c>
    </row>
    <row r="2668" spans="1:4">
      <c r="A2668" s="7" t="s">
        <v>1786</v>
      </c>
      <c r="B2668" s="46">
        <v>20500</v>
      </c>
      <c r="C2668" s="46">
        <v>20500</v>
      </c>
      <c r="D2668" s="49">
        <f t="shared" si="84"/>
        <v>0</v>
      </c>
    </row>
    <row r="2669" spans="1:4">
      <c r="A2669" s="7" t="s">
        <v>1787</v>
      </c>
      <c r="B2669" s="46">
        <v>8000</v>
      </c>
      <c r="C2669" s="46">
        <v>8000</v>
      </c>
      <c r="D2669" s="49">
        <f t="shared" ref="D2669:D2732" si="85">B2669-C2669</f>
        <v>0</v>
      </c>
    </row>
    <row r="2670" spans="1:4">
      <c r="A2670" s="7" t="s">
        <v>1788</v>
      </c>
      <c r="B2670" s="46">
        <v>14882</v>
      </c>
      <c r="C2670" s="46">
        <v>14882</v>
      </c>
      <c r="D2670" s="49">
        <f t="shared" si="85"/>
        <v>0</v>
      </c>
    </row>
    <row r="2671" spans="1:4">
      <c r="A2671" s="7" t="s">
        <v>1789</v>
      </c>
      <c r="B2671" s="46">
        <v>23622</v>
      </c>
      <c r="C2671" s="46">
        <v>23622</v>
      </c>
      <c r="D2671" s="49">
        <f t="shared" si="85"/>
        <v>0</v>
      </c>
    </row>
    <row r="2672" spans="1:4">
      <c r="A2672" s="7" t="s">
        <v>1790</v>
      </c>
      <c r="B2672" s="46">
        <v>6559</v>
      </c>
      <c r="C2672" s="46">
        <v>6559</v>
      </c>
      <c r="D2672" s="49">
        <f t="shared" si="85"/>
        <v>0</v>
      </c>
    </row>
    <row r="2673" spans="1:4">
      <c r="A2673" s="7" t="s">
        <v>1791</v>
      </c>
      <c r="B2673" s="46">
        <v>27180</v>
      </c>
      <c r="C2673" s="46">
        <v>27180</v>
      </c>
      <c r="D2673" s="49">
        <f t="shared" si="85"/>
        <v>0</v>
      </c>
    </row>
    <row r="2674" spans="1:4">
      <c r="A2674" s="7" t="s">
        <v>1792</v>
      </c>
      <c r="B2674" s="46">
        <v>15000</v>
      </c>
      <c r="C2674" s="46">
        <v>15000</v>
      </c>
      <c r="D2674" s="49">
        <f t="shared" si="85"/>
        <v>0</v>
      </c>
    </row>
    <row r="2675" spans="1:4">
      <c r="A2675" s="7" t="s">
        <v>1793</v>
      </c>
      <c r="B2675" s="46">
        <v>13230</v>
      </c>
      <c r="C2675" s="46">
        <v>13230</v>
      </c>
      <c r="D2675" s="49">
        <f t="shared" si="85"/>
        <v>0</v>
      </c>
    </row>
    <row r="2676" spans="1:4">
      <c r="A2676" s="7" t="s">
        <v>1794</v>
      </c>
      <c r="B2676" s="46">
        <v>6000</v>
      </c>
      <c r="C2676" s="46">
        <v>6000</v>
      </c>
      <c r="D2676" s="49">
        <f t="shared" si="85"/>
        <v>0</v>
      </c>
    </row>
    <row r="2677" spans="1:4">
      <c r="A2677" s="7" t="s">
        <v>1795</v>
      </c>
      <c r="B2677" s="46">
        <v>6750</v>
      </c>
      <c r="C2677" s="46">
        <v>6750</v>
      </c>
      <c r="D2677" s="49">
        <f t="shared" si="85"/>
        <v>0</v>
      </c>
    </row>
    <row r="2678" spans="1:4">
      <c r="A2678" s="7" t="s">
        <v>1796</v>
      </c>
      <c r="B2678" s="46">
        <v>63000</v>
      </c>
      <c r="C2678" s="46">
        <v>63000</v>
      </c>
      <c r="D2678" s="49">
        <f t="shared" si="85"/>
        <v>0</v>
      </c>
    </row>
    <row r="2679" spans="1:4">
      <c r="A2679" s="7" t="s">
        <v>1797</v>
      </c>
      <c r="B2679" s="46">
        <v>15000</v>
      </c>
      <c r="C2679" s="46">
        <v>15000</v>
      </c>
      <c r="D2679" s="49">
        <f t="shared" si="85"/>
        <v>0</v>
      </c>
    </row>
    <row r="2680" spans="1:4">
      <c r="A2680" s="7" t="s">
        <v>1798</v>
      </c>
      <c r="B2680" s="46">
        <v>787</v>
      </c>
      <c r="C2680" s="46">
        <v>787</v>
      </c>
      <c r="D2680" s="49">
        <f t="shared" si="85"/>
        <v>0</v>
      </c>
    </row>
    <row r="2681" spans="1:4">
      <c r="A2681" s="7" t="s">
        <v>1799</v>
      </c>
      <c r="B2681" s="46">
        <v>307</v>
      </c>
      <c r="C2681" s="46">
        <v>307</v>
      </c>
      <c r="D2681" s="49">
        <f t="shared" si="85"/>
        <v>0</v>
      </c>
    </row>
    <row r="2682" spans="1:4">
      <c r="A2682" s="7" t="s">
        <v>1800</v>
      </c>
      <c r="B2682" s="46">
        <v>512</v>
      </c>
      <c r="C2682" s="46">
        <v>512</v>
      </c>
      <c r="D2682" s="49">
        <f t="shared" si="85"/>
        <v>0</v>
      </c>
    </row>
    <row r="2683" spans="1:4">
      <c r="A2683" s="7" t="s">
        <v>1801</v>
      </c>
      <c r="B2683" s="46">
        <v>6693</v>
      </c>
      <c r="C2683" s="46">
        <v>6693</v>
      </c>
      <c r="D2683" s="49">
        <f t="shared" si="85"/>
        <v>0</v>
      </c>
    </row>
    <row r="2684" spans="1:4">
      <c r="A2684" s="7" t="s">
        <v>1802</v>
      </c>
      <c r="B2684" s="46">
        <v>394</v>
      </c>
      <c r="C2684" s="46">
        <v>394</v>
      </c>
      <c r="D2684" s="49">
        <f t="shared" si="85"/>
        <v>0</v>
      </c>
    </row>
    <row r="2685" spans="1:4">
      <c r="A2685" s="7" t="s">
        <v>1803</v>
      </c>
      <c r="B2685" s="46">
        <v>787</v>
      </c>
      <c r="C2685" s="46">
        <v>787</v>
      </c>
      <c r="D2685" s="49">
        <f t="shared" si="85"/>
        <v>0</v>
      </c>
    </row>
    <row r="2686" spans="1:4">
      <c r="A2686" s="7" t="s">
        <v>1804</v>
      </c>
      <c r="B2686" s="46">
        <v>2362</v>
      </c>
      <c r="C2686" s="46">
        <v>2362</v>
      </c>
      <c r="D2686" s="49">
        <f t="shared" si="85"/>
        <v>0</v>
      </c>
    </row>
    <row r="2687" spans="1:4">
      <c r="A2687" s="7" t="s">
        <v>1805</v>
      </c>
      <c r="B2687" s="46">
        <v>394</v>
      </c>
      <c r="C2687" s="46">
        <v>394</v>
      </c>
      <c r="D2687" s="49">
        <f t="shared" si="85"/>
        <v>0</v>
      </c>
    </row>
    <row r="2688" spans="1:4">
      <c r="A2688" s="7" t="str">
        <f>"Sarló 355/360 Nyeles"</f>
        <v>Sarló 355/360 Nyeles</v>
      </c>
      <c r="B2688" s="46">
        <v>780</v>
      </c>
      <c r="C2688" s="46">
        <v>780</v>
      </c>
      <c r="D2688" s="49">
        <f t="shared" si="85"/>
        <v>0</v>
      </c>
    </row>
    <row r="2689" spans="1:4">
      <c r="A2689" s="7" t="s">
        <v>1678</v>
      </c>
      <c r="B2689" s="46">
        <v>7087</v>
      </c>
      <c r="C2689" s="46">
        <v>7087</v>
      </c>
      <c r="D2689" s="49">
        <f t="shared" si="85"/>
        <v>0</v>
      </c>
    </row>
    <row r="2690" spans="1:4">
      <c r="A2690" s="7" t="s">
        <v>1806</v>
      </c>
      <c r="B2690" s="46">
        <v>1260</v>
      </c>
      <c r="C2690" s="46">
        <v>1260</v>
      </c>
      <c r="D2690" s="49">
        <f t="shared" si="85"/>
        <v>0</v>
      </c>
    </row>
    <row r="2691" spans="1:4">
      <c r="A2691" s="7" t="s">
        <v>1807</v>
      </c>
      <c r="B2691" s="46">
        <v>1181</v>
      </c>
      <c r="C2691" s="46">
        <v>1181</v>
      </c>
      <c r="D2691" s="49">
        <f t="shared" si="85"/>
        <v>0</v>
      </c>
    </row>
    <row r="2692" spans="1:4">
      <c r="A2692" s="7" t="s">
        <v>1808</v>
      </c>
      <c r="B2692" s="46">
        <v>1338</v>
      </c>
      <c r="C2692" s="46">
        <v>1338</v>
      </c>
      <c r="D2692" s="49">
        <f t="shared" si="85"/>
        <v>0</v>
      </c>
    </row>
    <row r="2693" spans="1:4">
      <c r="A2693" s="7" t="s">
        <v>1809</v>
      </c>
      <c r="B2693" s="46">
        <v>785</v>
      </c>
      <c r="C2693" s="46">
        <v>785</v>
      </c>
      <c r="D2693" s="49">
        <f t="shared" si="85"/>
        <v>0</v>
      </c>
    </row>
    <row r="2694" spans="1:4">
      <c r="A2694" s="7" t="s">
        <v>1810</v>
      </c>
      <c r="B2694" s="46">
        <v>5512</v>
      </c>
      <c r="C2694" s="46">
        <v>5512</v>
      </c>
      <c r="D2694" s="49">
        <f t="shared" si="85"/>
        <v>0</v>
      </c>
    </row>
    <row r="2695" spans="1:4">
      <c r="A2695" s="7" t="s">
        <v>1811</v>
      </c>
      <c r="B2695" s="46">
        <v>11811</v>
      </c>
      <c r="C2695" s="46">
        <v>11811</v>
      </c>
      <c r="D2695" s="49">
        <f t="shared" si="85"/>
        <v>0</v>
      </c>
    </row>
    <row r="2696" spans="1:4">
      <c r="A2696" s="7" t="s">
        <v>1812</v>
      </c>
      <c r="B2696" s="46">
        <v>1574</v>
      </c>
      <c r="C2696" s="46">
        <v>1574</v>
      </c>
      <c r="D2696" s="49">
        <f t="shared" si="85"/>
        <v>0</v>
      </c>
    </row>
    <row r="2697" spans="1:4">
      <c r="A2697" s="7" t="s">
        <v>1813</v>
      </c>
      <c r="B2697" s="46">
        <v>2362</v>
      </c>
      <c r="C2697" s="46">
        <v>2362</v>
      </c>
      <c r="D2697" s="49">
        <f t="shared" si="85"/>
        <v>0</v>
      </c>
    </row>
    <row r="2698" spans="1:4">
      <c r="A2698" s="7" t="s">
        <v>1814</v>
      </c>
      <c r="B2698" s="46">
        <v>1575</v>
      </c>
      <c r="C2698" s="46">
        <v>1575</v>
      </c>
      <c r="D2698" s="49">
        <f t="shared" si="85"/>
        <v>0</v>
      </c>
    </row>
    <row r="2699" spans="1:4">
      <c r="A2699" s="7" t="s">
        <v>1815</v>
      </c>
      <c r="B2699" s="46">
        <v>2126</v>
      </c>
      <c r="C2699" s="46">
        <v>2126</v>
      </c>
      <c r="D2699" s="49">
        <f t="shared" si="85"/>
        <v>0</v>
      </c>
    </row>
    <row r="2700" spans="1:4">
      <c r="A2700" s="7" t="s">
        <v>1816</v>
      </c>
      <c r="B2700" s="46">
        <v>4017</v>
      </c>
      <c r="C2700" s="46">
        <v>4017</v>
      </c>
      <c r="D2700" s="49">
        <f t="shared" si="85"/>
        <v>0</v>
      </c>
    </row>
    <row r="2701" spans="1:4">
      <c r="A2701" s="7" t="s">
        <v>1817</v>
      </c>
      <c r="B2701" s="46">
        <v>4882</v>
      </c>
      <c r="C2701" s="46">
        <v>4882</v>
      </c>
      <c r="D2701" s="49">
        <f t="shared" si="85"/>
        <v>0</v>
      </c>
    </row>
    <row r="2702" spans="1:4">
      <c r="A2702" s="7" t="s">
        <v>1818</v>
      </c>
      <c r="B2702" s="46">
        <v>426</v>
      </c>
      <c r="C2702" s="46">
        <v>426</v>
      </c>
      <c r="D2702" s="49">
        <f t="shared" si="85"/>
        <v>0</v>
      </c>
    </row>
    <row r="2703" spans="1:4">
      <c r="A2703" s="7" t="s">
        <v>1819</v>
      </c>
      <c r="B2703" s="46">
        <v>944</v>
      </c>
      <c r="C2703" s="46">
        <v>944</v>
      </c>
      <c r="D2703" s="49">
        <f t="shared" si="85"/>
        <v>0</v>
      </c>
    </row>
    <row r="2704" spans="1:4">
      <c r="A2704" s="7" t="s">
        <v>1820</v>
      </c>
      <c r="B2704" s="46">
        <v>2362</v>
      </c>
      <c r="C2704" s="46">
        <v>2362</v>
      </c>
      <c r="D2704" s="49">
        <f t="shared" si="85"/>
        <v>0</v>
      </c>
    </row>
    <row r="2705" spans="1:4">
      <c r="A2705" s="7" t="s">
        <v>1821</v>
      </c>
      <c r="B2705" s="46">
        <v>2520</v>
      </c>
      <c r="C2705" s="46">
        <v>2520</v>
      </c>
      <c r="D2705" s="49">
        <f t="shared" si="85"/>
        <v>0</v>
      </c>
    </row>
    <row r="2706" spans="1:4">
      <c r="A2706" s="7" t="s">
        <v>1822</v>
      </c>
      <c r="B2706" s="46">
        <v>3464</v>
      </c>
      <c r="C2706" s="46">
        <v>3464</v>
      </c>
      <c r="D2706" s="49">
        <f t="shared" si="85"/>
        <v>0</v>
      </c>
    </row>
    <row r="2707" spans="1:4">
      <c r="A2707" s="7" t="s">
        <v>1823</v>
      </c>
      <c r="B2707" s="46">
        <v>26970</v>
      </c>
      <c r="C2707" s="46">
        <v>26970</v>
      </c>
      <c r="D2707" s="49">
        <f t="shared" si="85"/>
        <v>0</v>
      </c>
    </row>
    <row r="2708" spans="1:4">
      <c r="A2708" s="7" t="s">
        <v>1824</v>
      </c>
      <c r="B2708" s="46">
        <v>66240</v>
      </c>
      <c r="C2708" s="46">
        <v>66240</v>
      </c>
      <c r="D2708" s="49">
        <f t="shared" si="85"/>
        <v>0</v>
      </c>
    </row>
    <row r="2709" spans="1:4">
      <c r="A2709" s="7" t="s">
        <v>1826</v>
      </c>
      <c r="B2709" s="46">
        <v>37800</v>
      </c>
      <c r="C2709" s="46">
        <v>37800</v>
      </c>
      <c r="D2709" s="49">
        <f t="shared" si="85"/>
        <v>0</v>
      </c>
    </row>
    <row r="2710" spans="1:4">
      <c r="A2710" s="7" t="s">
        <v>1827</v>
      </c>
      <c r="B2710" s="46">
        <v>672000</v>
      </c>
      <c r="C2710" s="46">
        <v>672000</v>
      </c>
      <c r="D2710" s="49">
        <f t="shared" si="85"/>
        <v>0</v>
      </c>
    </row>
    <row r="2711" spans="1:4">
      <c r="A2711" s="7" t="s">
        <v>1829</v>
      </c>
      <c r="B2711" s="46">
        <v>960</v>
      </c>
      <c r="C2711" s="46">
        <v>960</v>
      </c>
      <c r="D2711" s="49">
        <f t="shared" si="85"/>
        <v>0</v>
      </c>
    </row>
    <row r="2712" spans="1:4">
      <c r="A2712" s="7" t="s">
        <v>1830</v>
      </c>
      <c r="B2712" s="46">
        <v>196000</v>
      </c>
      <c r="C2712" s="46">
        <v>196000</v>
      </c>
      <c r="D2712" s="49">
        <f t="shared" si="85"/>
        <v>0</v>
      </c>
    </row>
    <row r="2713" spans="1:4">
      <c r="A2713" s="7" t="s">
        <v>1831</v>
      </c>
      <c r="B2713" s="46">
        <v>87500</v>
      </c>
      <c r="C2713" s="46">
        <v>87500</v>
      </c>
      <c r="D2713" s="49">
        <f t="shared" si="85"/>
        <v>0</v>
      </c>
    </row>
    <row r="2714" spans="1:4">
      <c r="A2714" s="7" t="s">
        <v>1832</v>
      </c>
      <c r="B2714" s="46">
        <v>36500</v>
      </c>
      <c r="C2714" s="46">
        <v>36500</v>
      </c>
      <c r="D2714" s="49">
        <f t="shared" si="85"/>
        <v>0</v>
      </c>
    </row>
    <row r="2715" spans="1:4">
      <c r="A2715" s="7" t="s">
        <v>1833</v>
      </c>
      <c r="B2715" s="46">
        <v>113500</v>
      </c>
      <c r="C2715" s="46">
        <v>113500</v>
      </c>
      <c r="D2715" s="49">
        <f t="shared" si="85"/>
        <v>0</v>
      </c>
    </row>
    <row r="2716" spans="1:4">
      <c r="A2716" s="7" t="s">
        <v>1834</v>
      </c>
      <c r="B2716" s="46">
        <v>74300</v>
      </c>
      <c r="C2716" s="46">
        <v>74300</v>
      </c>
      <c r="D2716" s="49">
        <f t="shared" si="85"/>
        <v>0</v>
      </c>
    </row>
    <row r="2717" spans="1:4">
      <c r="A2717" s="7" t="s">
        <v>1835</v>
      </c>
      <c r="B2717" s="46">
        <v>65000</v>
      </c>
      <c r="C2717" s="46">
        <v>65000</v>
      </c>
      <c r="D2717" s="49">
        <f t="shared" si="85"/>
        <v>0</v>
      </c>
    </row>
    <row r="2718" spans="1:4">
      <c r="A2718" s="7" t="s">
        <v>1836</v>
      </c>
      <c r="B2718" s="46">
        <v>73800</v>
      </c>
      <c r="C2718" s="46">
        <v>73800</v>
      </c>
      <c r="D2718" s="49">
        <f t="shared" si="85"/>
        <v>0</v>
      </c>
    </row>
    <row r="2719" spans="1:4">
      <c r="A2719" s="7" t="s">
        <v>1837</v>
      </c>
      <c r="B2719" s="46">
        <v>24960</v>
      </c>
      <c r="C2719" s="46">
        <v>24960</v>
      </c>
      <c r="D2719" s="49">
        <f t="shared" si="85"/>
        <v>0</v>
      </c>
    </row>
    <row r="2720" spans="1:4">
      <c r="A2720" s="7" t="s">
        <v>1838</v>
      </c>
      <c r="B2720" s="46">
        <v>25000</v>
      </c>
      <c r="C2720" s="46">
        <v>25000</v>
      </c>
      <c r="D2720" s="49">
        <f t="shared" si="85"/>
        <v>0</v>
      </c>
    </row>
    <row r="2721" spans="1:4">
      <c r="A2721" s="7" t="s">
        <v>1839</v>
      </c>
      <c r="B2721" s="46">
        <v>30000</v>
      </c>
      <c r="C2721" s="46">
        <v>30000</v>
      </c>
      <c r="D2721" s="49">
        <f t="shared" si="85"/>
        <v>0</v>
      </c>
    </row>
    <row r="2722" spans="1:4">
      <c r="A2722" s="7" t="s">
        <v>1840</v>
      </c>
      <c r="B2722" s="46">
        <v>23400</v>
      </c>
      <c r="C2722" s="46">
        <v>23400</v>
      </c>
      <c r="D2722" s="49">
        <f t="shared" si="85"/>
        <v>0</v>
      </c>
    </row>
    <row r="2723" spans="1:4">
      <c r="A2723" s="7" t="s">
        <v>1841</v>
      </c>
      <c r="B2723" s="46">
        <v>14496</v>
      </c>
      <c r="C2723" s="46">
        <v>14496</v>
      </c>
      <c r="D2723" s="49">
        <f t="shared" si="85"/>
        <v>0</v>
      </c>
    </row>
    <row r="2724" spans="1:4">
      <c r="A2724" s="7" t="s">
        <v>1842</v>
      </c>
      <c r="B2724" s="46">
        <v>8000</v>
      </c>
      <c r="C2724" s="46">
        <v>8000</v>
      </c>
      <c r="D2724" s="49">
        <f t="shared" si="85"/>
        <v>0</v>
      </c>
    </row>
    <row r="2725" spans="1:4">
      <c r="A2725" s="7" t="s">
        <v>1843</v>
      </c>
      <c r="B2725" s="46">
        <v>19850</v>
      </c>
      <c r="C2725" s="46">
        <v>19850</v>
      </c>
      <c r="D2725" s="49">
        <f t="shared" si="85"/>
        <v>0</v>
      </c>
    </row>
    <row r="2726" spans="1:4">
      <c r="A2726" s="7" t="s">
        <v>1844</v>
      </c>
      <c r="B2726" s="46">
        <v>20000</v>
      </c>
      <c r="C2726" s="46">
        <v>20000</v>
      </c>
      <c r="D2726" s="49">
        <f t="shared" si="85"/>
        <v>0</v>
      </c>
    </row>
    <row r="2727" spans="1:4">
      <c r="A2727" s="7" t="s">
        <v>1845</v>
      </c>
      <c r="B2727" s="46">
        <v>39300</v>
      </c>
      <c r="C2727" s="46">
        <v>39300</v>
      </c>
      <c r="D2727" s="49">
        <f t="shared" si="85"/>
        <v>0</v>
      </c>
    </row>
    <row r="2728" spans="1:4">
      <c r="A2728" s="7" t="s">
        <v>1846</v>
      </c>
      <c r="B2728" s="46">
        <v>13230</v>
      </c>
      <c r="C2728" s="46">
        <v>13230</v>
      </c>
      <c r="D2728" s="49">
        <f t="shared" si="85"/>
        <v>0</v>
      </c>
    </row>
    <row r="2729" spans="1:4">
      <c r="A2729" s="7" t="s">
        <v>1847</v>
      </c>
      <c r="B2729" s="46">
        <v>3000</v>
      </c>
      <c r="C2729" s="46">
        <v>3000</v>
      </c>
      <c r="D2729" s="49">
        <f t="shared" si="85"/>
        <v>0</v>
      </c>
    </row>
    <row r="2730" spans="1:4">
      <c r="A2730" s="7" t="s">
        <v>1848</v>
      </c>
      <c r="B2730" s="46">
        <v>45225</v>
      </c>
      <c r="C2730" s="46">
        <v>45225</v>
      </c>
      <c r="D2730" s="49">
        <f t="shared" si="85"/>
        <v>0</v>
      </c>
    </row>
    <row r="2731" spans="1:4">
      <c r="A2731" s="7" t="s">
        <v>1849</v>
      </c>
      <c r="B2731" s="46">
        <v>3000</v>
      </c>
      <c r="C2731" s="46">
        <v>3000</v>
      </c>
      <c r="D2731" s="49">
        <f t="shared" si="85"/>
        <v>0</v>
      </c>
    </row>
    <row r="2732" spans="1:4">
      <c r="A2732" s="7" t="s">
        <v>1850</v>
      </c>
      <c r="B2732" s="46">
        <v>3600</v>
      </c>
      <c r="C2732" s="46">
        <v>3600</v>
      </c>
      <c r="D2732" s="49">
        <f t="shared" si="85"/>
        <v>0</v>
      </c>
    </row>
    <row r="2733" spans="1:4">
      <c r="A2733" s="7" t="s">
        <v>1843</v>
      </c>
      <c r="B2733" s="46">
        <v>19850</v>
      </c>
      <c r="C2733" s="46">
        <v>19850</v>
      </c>
      <c r="D2733" s="49">
        <f t="shared" ref="D2733:D2796" si="86">B2733-C2733</f>
        <v>0</v>
      </c>
    </row>
    <row r="2734" spans="1:4">
      <c r="A2734" s="7" t="s">
        <v>1851</v>
      </c>
      <c r="B2734" s="46">
        <v>13250</v>
      </c>
      <c r="C2734" s="46">
        <v>13250</v>
      </c>
      <c r="D2734" s="49">
        <f t="shared" si="86"/>
        <v>0</v>
      </c>
    </row>
    <row r="2735" spans="1:4">
      <c r="A2735" s="7" t="s">
        <v>1852</v>
      </c>
      <c r="B2735" s="46">
        <v>6750</v>
      </c>
      <c r="C2735" s="46">
        <v>6750</v>
      </c>
      <c r="D2735" s="49">
        <f t="shared" si="86"/>
        <v>0</v>
      </c>
    </row>
    <row r="2736" spans="1:4">
      <c r="A2736" s="7" t="s">
        <v>1851</v>
      </c>
      <c r="B2736" s="46">
        <v>9060</v>
      </c>
      <c r="C2736" s="46">
        <v>9060</v>
      </c>
      <c r="D2736" s="49">
        <f t="shared" si="86"/>
        <v>0</v>
      </c>
    </row>
    <row r="2737" spans="1:4">
      <c r="A2737" s="7" t="s">
        <v>1853</v>
      </c>
      <c r="B2737" s="46">
        <v>3000</v>
      </c>
      <c r="C2737" s="46">
        <v>3000</v>
      </c>
      <c r="D2737" s="49">
        <f t="shared" si="86"/>
        <v>0</v>
      </c>
    </row>
    <row r="2738" spans="1:4">
      <c r="A2738" s="7" t="s">
        <v>1854</v>
      </c>
      <c r="B2738" s="46">
        <v>10000</v>
      </c>
      <c r="C2738" s="46">
        <v>10000</v>
      </c>
      <c r="D2738" s="49">
        <f t="shared" si="86"/>
        <v>0</v>
      </c>
    </row>
    <row r="2739" spans="1:4">
      <c r="A2739" s="7" t="s">
        <v>1855</v>
      </c>
      <c r="B2739" s="46">
        <v>10000</v>
      </c>
      <c r="C2739" s="46">
        <v>10000</v>
      </c>
      <c r="D2739" s="49">
        <f t="shared" si="86"/>
        <v>0</v>
      </c>
    </row>
    <row r="2740" spans="1:4">
      <c r="A2740" s="7" t="s">
        <v>1856</v>
      </c>
      <c r="B2740" s="46">
        <v>6000</v>
      </c>
      <c r="C2740" s="46">
        <v>6000</v>
      </c>
      <c r="D2740" s="49">
        <f t="shared" si="86"/>
        <v>0</v>
      </c>
    </row>
    <row r="2741" spans="1:4">
      <c r="A2741" s="7" t="s">
        <v>1857</v>
      </c>
      <c r="B2741" s="46">
        <v>10400</v>
      </c>
      <c r="C2741" s="46">
        <v>10400</v>
      </c>
      <c r="D2741" s="49">
        <f t="shared" si="86"/>
        <v>0</v>
      </c>
    </row>
    <row r="2742" spans="1:4">
      <c r="A2742" s="7" t="s">
        <v>1858</v>
      </c>
      <c r="B2742" s="46">
        <v>3935</v>
      </c>
      <c r="C2742" s="46">
        <v>3935</v>
      </c>
      <c r="D2742" s="49">
        <f t="shared" si="86"/>
        <v>0</v>
      </c>
    </row>
    <row r="2743" spans="1:4">
      <c r="A2743" s="7" t="s">
        <v>1859</v>
      </c>
      <c r="B2743" s="46">
        <v>17200</v>
      </c>
      <c r="C2743" s="46">
        <v>17200</v>
      </c>
      <c r="D2743" s="49">
        <f t="shared" si="86"/>
        <v>0</v>
      </c>
    </row>
    <row r="2744" spans="1:4">
      <c r="A2744" s="7" t="s">
        <v>1860</v>
      </c>
      <c r="B2744" s="46">
        <v>7200</v>
      </c>
      <c r="C2744" s="46">
        <v>7200</v>
      </c>
      <c r="D2744" s="49">
        <f t="shared" si="86"/>
        <v>0</v>
      </c>
    </row>
    <row r="2745" spans="1:4">
      <c r="A2745" s="7" t="s">
        <v>1861</v>
      </c>
      <c r="B2745" s="46">
        <v>7000</v>
      </c>
      <c r="C2745" s="46">
        <v>7000</v>
      </c>
      <c r="D2745" s="49">
        <f t="shared" si="86"/>
        <v>0</v>
      </c>
    </row>
    <row r="2746" spans="1:4">
      <c r="A2746" s="7" t="s">
        <v>1862</v>
      </c>
      <c r="B2746" s="46">
        <v>8000</v>
      </c>
      <c r="C2746" s="46">
        <v>8000</v>
      </c>
      <c r="D2746" s="49">
        <f t="shared" si="86"/>
        <v>0</v>
      </c>
    </row>
    <row r="2747" spans="1:4">
      <c r="A2747" s="7" t="s">
        <v>1863</v>
      </c>
      <c r="B2747" s="46">
        <v>19600</v>
      </c>
      <c r="C2747" s="46">
        <v>19600</v>
      </c>
      <c r="D2747" s="49">
        <f t="shared" si="86"/>
        <v>0</v>
      </c>
    </row>
    <row r="2748" spans="1:4">
      <c r="A2748" s="7" t="s">
        <v>1864</v>
      </c>
      <c r="B2748" s="46">
        <v>47200</v>
      </c>
      <c r="C2748" s="46">
        <v>47200</v>
      </c>
      <c r="D2748" s="49">
        <f t="shared" si="86"/>
        <v>0</v>
      </c>
    </row>
    <row r="2749" spans="1:4">
      <c r="A2749" s="7" t="s">
        <v>1865</v>
      </c>
      <c r="B2749" s="46">
        <v>30000</v>
      </c>
      <c r="C2749" s="46">
        <v>30000</v>
      </c>
      <c r="D2749" s="49">
        <f t="shared" si="86"/>
        <v>0</v>
      </c>
    </row>
    <row r="2750" spans="1:4">
      <c r="A2750" s="7" t="s">
        <v>1866</v>
      </c>
      <c r="B2750" s="46">
        <v>17300</v>
      </c>
      <c r="C2750" s="46">
        <v>17300</v>
      </c>
      <c r="D2750" s="49">
        <f t="shared" si="86"/>
        <v>0</v>
      </c>
    </row>
    <row r="2751" spans="1:4">
      <c r="A2751" s="7" t="str">
        <f>"Feszítővas1000/20 4 db"</f>
        <v>Feszítővas1000/20 4 db</v>
      </c>
      <c r="B2751" s="46">
        <v>19200</v>
      </c>
      <c r="C2751" s="46">
        <v>19200</v>
      </c>
      <c r="D2751" s="49">
        <f t="shared" si="86"/>
        <v>0</v>
      </c>
    </row>
    <row r="2752" spans="1:4">
      <c r="A2752" s="7" t="s">
        <v>1867</v>
      </c>
      <c r="B2752" s="46">
        <v>42800</v>
      </c>
      <c r="C2752" s="46">
        <v>42800</v>
      </c>
      <c r="D2752" s="49">
        <f t="shared" si="86"/>
        <v>0</v>
      </c>
    </row>
    <row r="2753" spans="1:4">
      <c r="A2753" s="7" t="s">
        <v>1868</v>
      </c>
      <c r="B2753" s="46">
        <v>13200</v>
      </c>
      <c r="C2753" s="46">
        <v>13200</v>
      </c>
      <c r="D2753" s="49">
        <f t="shared" si="86"/>
        <v>0</v>
      </c>
    </row>
    <row r="2754" spans="1:4">
      <c r="A2754" s="7" t="s">
        <v>1869</v>
      </c>
      <c r="B2754" s="46">
        <v>4800</v>
      </c>
      <c r="C2754" s="46">
        <v>4800</v>
      </c>
      <c r="D2754" s="49">
        <f t="shared" si="86"/>
        <v>0</v>
      </c>
    </row>
    <row r="2755" spans="1:4">
      <c r="A2755" s="7" t="s">
        <v>1870</v>
      </c>
      <c r="B2755" s="46">
        <v>8760</v>
      </c>
      <c r="C2755" s="46">
        <v>8760</v>
      </c>
      <c r="D2755" s="49">
        <f t="shared" si="86"/>
        <v>0</v>
      </c>
    </row>
    <row r="2756" spans="1:4">
      <c r="A2756" s="7" t="s">
        <v>1871</v>
      </c>
      <c r="B2756" s="46">
        <v>33900</v>
      </c>
      <c r="C2756" s="46">
        <v>33900</v>
      </c>
      <c r="D2756" s="49">
        <f t="shared" si="86"/>
        <v>0</v>
      </c>
    </row>
    <row r="2757" spans="1:4">
      <c r="A2757" s="7" t="s">
        <v>1872</v>
      </c>
      <c r="B2757" s="46">
        <v>1200</v>
      </c>
      <c r="C2757" s="46">
        <v>1200</v>
      </c>
      <c r="D2757" s="49">
        <f t="shared" si="86"/>
        <v>0</v>
      </c>
    </row>
    <row r="2758" spans="1:4">
      <c r="A2758" s="7" t="s">
        <v>1873</v>
      </c>
      <c r="B2758" s="46">
        <v>720</v>
      </c>
      <c r="C2758" s="46">
        <v>720</v>
      </c>
      <c r="D2758" s="49">
        <f t="shared" si="86"/>
        <v>0</v>
      </c>
    </row>
    <row r="2759" spans="1:4">
      <c r="A2759" s="7" t="s">
        <v>1874</v>
      </c>
      <c r="B2759" s="46">
        <v>28000</v>
      </c>
      <c r="C2759" s="46">
        <v>28000</v>
      </c>
      <c r="D2759" s="49">
        <f t="shared" si="86"/>
        <v>0</v>
      </c>
    </row>
    <row r="2760" spans="1:4">
      <c r="A2760" s="7" t="str">
        <f>"Feszítővas/1   4 db"</f>
        <v>Feszítővas/1   4 db</v>
      </c>
      <c r="B2760" s="46">
        <v>22000</v>
      </c>
      <c r="C2760" s="46">
        <v>22000</v>
      </c>
      <c r="D2760" s="49">
        <f t="shared" si="86"/>
        <v>0</v>
      </c>
    </row>
    <row r="2761" spans="1:4">
      <c r="A2761" s="7" t="str">
        <f>"Feszítővas/3   6db"</f>
        <v>Feszítővas/3   6db</v>
      </c>
      <c r="B2761" s="46">
        <v>24000</v>
      </c>
      <c r="C2761" s="46">
        <v>24000</v>
      </c>
      <c r="D2761" s="49">
        <f t="shared" si="86"/>
        <v>0</v>
      </c>
    </row>
    <row r="2762" spans="1:4">
      <c r="A2762" s="7" t="s">
        <v>1875</v>
      </c>
      <c r="B2762" s="46">
        <v>23200</v>
      </c>
      <c r="C2762" s="46">
        <v>23200</v>
      </c>
      <c r="D2762" s="49">
        <f t="shared" si="86"/>
        <v>0</v>
      </c>
    </row>
    <row r="2763" spans="1:4">
      <c r="A2763" s="7" t="s">
        <v>1876</v>
      </c>
      <c r="B2763" s="46">
        <v>172000</v>
      </c>
      <c r="C2763" s="46">
        <v>172000</v>
      </c>
      <c r="D2763" s="49">
        <f t="shared" si="86"/>
        <v>0</v>
      </c>
    </row>
    <row r="2764" spans="1:4">
      <c r="A2764" s="7" t="s">
        <v>1877</v>
      </c>
      <c r="B2764" s="46">
        <v>39300</v>
      </c>
      <c r="C2764" s="46">
        <v>39300</v>
      </c>
      <c r="D2764" s="49">
        <f t="shared" si="86"/>
        <v>0</v>
      </c>
    </row>
    <row r="2765" spans="1:4">
      <c r="A2765" s="7" t="s">
        <v>1878</v>
      </c>
      <c r="B2765" s="46">
        <v>8000</v>
      </c>
      <c r="C2765" s="46">
        <v>8000</v>
      </c>
      <c r="D2765" s="49">
        <f t="shared" si="86"/>
        <v>0</v>
      </c>
    </row>
    <row r="2766" spans="1:4">
      <c r="A2766" s="7" t="s">
        <v>1879</v>
      </c>
      <c r="B2766" s="46">
        <v>57000</v>
      </c>
      <c r="C2766" s="46">
        <v>57000</v>
      </c>
      <c r="D2766" s="49">
        <f t="shared" si="86"/>
        <v>0</v>
      </c>
    </row>
    <row r="2767" spans="1:4">
      <c r="A2767" s="7" t="s">
        <v>1880</v>
      </c>
      <c r="B2767" s="46">
        <v>20000</v>
      </c>
      <c r="C2767" s="46">
        <v>20000</v>
      </c>
      <c r="D2767" s="49">
        <f t="shared" si="86"/>
        <v>0</v>
      </c>
    </row>
    <row r="2768" spans="1:4">
      <c r="A2768" s="7" t="s">
        <v>1881</v>
      </c>
      <c r="B2768" s="46">
        <v>62500</v>
      </c>
      <c r="C2768" s="46">
        <v>62500</v>
      </c>
      <c r="D2768" s="49">
        <f t="shared" si="86"/>
        <v>0</v>
      </c>
    </row>
    <row r="2769" spans="1:4">
      <c r="A2769" s="7" t="s">
        <v>1882</v>
      </c>
      <c r="B2769" s="46">
        <v>35000</v>
      </c>
      <c r="C2769" s="46">
        <v>35000</v>
      </c>
      <c r="D2769" s="49">
        <f t="shared" si="86"/>
        <v>0</v>
      </c>
    </row>
    <row r="2770" spans="1:4">
      <c r="A2770" s="7" t="s">
        <v>1883</v>
      </c>
      <c r="B2770" s="46">
        <v>17920</v>
      </c>
      <c r="C2770" s="46">
        <v>17920</v>
      </c>
      <c r="D2770" s="49">
        <f t="shared" si="86"/>
        <v>0</v>
      </c>
    </row>
    <row r="2771" spans="1:4">
      <c r="A2771" s="7" t="s">
        <v>1884</v>
      </c>
      <c r="B2771" s="46">
        <v>125000</v>
      </c>
      <c r="C2771" s="46">
        <v>125000</v>
      </c>
      <c r="D2771" s="49">
        <f t="shared" si="86"/>
        <v>0</v>
      </c>
    </row>
    <row r="2772" spans="1:4">
      <c r="A2772" s="7" t="s">
        <v>1885</v>
      </c>
      <c r="B2772" s="46">
        <v>125000</v>
      </c>
      <c r="C2772" s="46">
        <v>125000</v>
      </c>
      <c r="D2772" s="49">
        <f t="shared" si="86"/>
        <v>0</v>
      </c>
    </row>
    <row r="2773" spans="1:4">
      <c r="A2773" s="7" t="s">
        <v>1886</v>
      </c>
      <c r="B2773" s="46">
        <v>39300</v>
      </c>
      <c r="C2773" s="46">
        <v>39300</v>
      </c>
      <c r="D2773" s="49">
        <f t="shared" si="86"/>
        <v>0</v>
      </c>
    </row>
    <row r="2774" spans="1:4">
      <c r="A2774" s="7" t="s">
        <v>1887</v>
      </c>
      <c r="B2774" s="46">
        <v>60000</v>
      </c>
      <c r="C2774" s="46">
        <v>60000</v>
      </c>
      <c r="D2774" s="49">
        <f t="shared" si="86"/>
        <v>0</v>
      </c>
    </row>
    <row r="2775" spans="1:4">
      <c r="A2775" s="7" t="s">
        <v>1888</v>
      </c>
      <c r="B2775" s="46">
        <v>50000</v>
      </c>
      <c r="C2775" s="46">
        <v>50000</v>
      </c>
      <c r="D2775" s="49">
        <f t="shared" si="86"/>
        <v>0</v>
      </c>
    </row>
    <row r="2776" spans="1:4">
      <c r="A2776" s="7" t="s">
        <v>1889</v>
      </c>
      <c r="B2776" s="46">
        <v>6600</v>
      </c>
      <c r="C2776" s="46">
        <v>6600</v>
      </c>
      <c r="D2776" s="49">
        <f t="shared" si="86"/>
        <v>0</v>
      </c>
    </row>
    <row r="2777" spans="1:4">
      <c r="A2777" s="7" t="s">
        <v>1890</v>
      </c>
      <c r="B2777" s="46">
        <v>24000</v>
      </c>
      <c r="C2777" s="46">
        <v>24000</v>
      </c>
      <c r="D2777" s="49">
        <f t="shared" si="86"/>
        <v>0</v>
      </c>
    </row>
    <row r="2778" spans="1:4">
      <c r="A2778" s="7" t="s">
        <v>1881</v>
      </c>
      <c r="B2778" s="46">
        <v>62500</v>
      </c>
      <c r="C2778" s="46">
        <v>62500</v>
      </c>
      <c r="D2778" s="49">
        <f t="shared" si="86"/>
        <v>0</v>
      </c>
    </row>
    <row r="2779" spans="1:4">
      <c r="A2779" s="7" t="s">
        <v>1891</v>
      </c>
      <c r="B2779" s="46">
        <v>175000</v>
      </c>
      <c r="C2779" s="46">
        <v>175000</v>
      </c>
      <c r="D2779" s="49">
        <f t="shared" si="86"/>
        <v>0</v>
      </c>
    </row>
    <row r="2780" spans="1:4">
      <c r="A2780" s="7" t="s">
        <v>1892</v>
      </c>
      <c r="B2780" s="46">
        <v>100000</v>
      </c>
      <c r="C2780" s="46">
        <v>100000</v>
      </c>
      <c r="D2780" s="49">
        <f t="shared" si="86"/>
        <v>0</v>
      </c>
    </row>
    <row r="2781" spans="1:4">
      <c r="A2781" s="7" t="str">
        <f>"Talicska H2 /26 puttony  5 db"</f>
        <v>Talicska H2 /26 puttony  5 db</v>
      </c>
      <c r="B2781" s="46">
        <v>62500</v>
      </c>
      <c r="C2781" s="46">
        <v>62500</v>
      </c>
      <c r="D2781" s="49">
        <f t="shared" si="86"/>
        <v>0</v>
      </c>
    </row>
    <row r="2782" spans="1:4">
      <c r="A2782" s="7" t="str">
        <f>"Szivattyú VB 25/1300BR"</f>
        <v>Szivattyú VB 25/1300BR</v>
      </c>
      <c r="B2782" s="46">
        <v>43228</v>
      </c>
      <c r="C2782" s="46">
        <v>43228</v>
      </c>
      <c r="D2782" s="49">
        <f t="shared" si="86"/>
        <v>0</v>
      </c>
    </row>
    <row r="2783" spans="1:4">
      <c r="A2783" s="7" t="s">
        <v>1893</v>
      </c>
      <c r="B2783" s="46">
        <v>37500</v>
      </c>
      <c r="C2783" s="46">
        <v>37500</v>
      </c>
      <c r="D2783" s="49">
        <f t="shared" si="86"/>
        <v>0</v>
      </c>
    </row>
    <row r="2784" spans="1:4">
      <c r="A2784" s="7" t="s">
        <v>1894</v>
      </c>
      <c r="B2784" s="46">
        <v>32000</v>
      </c>
      <c r="C2784" s="46">
        <v>32000</v>
      </c>
      <c r="D2784" s="49">
        <f t="shared" si="86"/>
        <v>0</v>
      </c>
    </row>
    <row r="2785" spans="1:4">
      <c r="A2785" s="7" t="s">
        <v>1895</v>
      </c>
      <c r="B2785" s="46">
        <v>6650</v>
      </c>
      <c r="C2785" s="46">
        <v>6650</v>
      </c>
      <c r="D2785" s="49">
        <f t="shared" si="86"/>
        <v>0</v>
      </c>
    </row>
    <row r="2786" spans="1:4">
      <c r="A2786" s="7" t="s">
        <v>1896</v>
      </c>
      <c r="B2786" s="46">
        <v>11910</v>
      </c>
      <c r="C2786" s="46">
        <v>11910</v>
      </c>
      <c r="D2786" s="49">
        <f t="shared" si="86"/>
        <v>0</v>
      </c>
    </row>
    <row r="2787" spans="1:4">
      <c r="A2787" s="7" t="s">
        <v>1897</v>
      </c>
      <c r="B2787" s="46">
        <v>591</v>
      </c>
      <c r="C2787" s="46">
        <v>591</v>
      </c>
      <c r="D2787" s="49">
        <f t="shared" si="86"/>
        <v>0</v>
      </c>
    </row>
    <row r="2788" spans="1:4">
      <c r="A2788" s="7" t="s">
        <v>1898</v>
      </c>
      <c r="B2788" s="46">
        <v>48533</v>
      </c>
      <c r="C2788" s="46">
        <v>48533</v>
      </c>
      <c r="D2788" s="49">
        <f t="shared" si="86"/>
        <v>0</v>
      </c>
    </row>
    <row r="2789" spans="1:4">
      <c r="A2789" s="7" t="s">
        <v>1907</v>
      </c>
      <c r="B2789" s="46">
        <v>80000</v>
      </c>
      <c r="C2789" s="46">
        <v>80000</v>
      </c>
      <c r="D2789" s="49">
        <f t="shared" si="86"/>
        <v>0</v>
      </c>
    </row>
    <row r="2790" spans="1:4">
      <c r="A2790" s="7" t="s">
        <v>1908</v>
      </c>
      <c r="B2790" s="46">
        <v>34346</v>
      </c>
      <c r="C2790" s="46">
        <v>34346</v>
      </c>
      <c r="D2790" s="49">
        <f t="shared" si="86"/>
        <v>0</v>
      </c>
    </row>
    <row r="2791" spans="1:4">
      <c r="A2791" s="7" t="s">
        <v>1938</v>
      </c>
      <c r="B2791" s="46">
        <v>41119</v>
      </c>
      <c r="C2791" s="46">
        <v>41119</v>
      </c>
      <c r="D2791" s="49">
        <f t="shared" si="86"/>
        <v>0</v>
      </c>
    </row>
    <row r="2792" spans="1:4">
      <c r="A2792" s="7" t="s">
        <v>1939</v>
      </c>
      <c r="B2792" s="46">
        <v>46953</v>
      </c>
      <c r="C2792" s="46">
        <v>46953</v>
      </c>
      <c r="D2792" s="49">
        <f t="shared" si="86"/>
        <v>0</v>
      </c>
    </row>
    <row r="2793" spans="1:4">
      <c r="A2793" s="7" t="str">
        <f>"NIKON TAMRON 71-200SP AF F/2,8 DI LD zoom objektív"</f>
        <v>NIKON TAMRON 71-200SP AF F/2,8 DI LD zoom objektív</v>
      </c>
      <c r="B2793" s="46">
        <v>157472</v>
      </c>
      <c r="C2793" s="46">
        <v>157472</v>
      </c>
      <c r="D2793" s="49">
        <f t="shared" si="86"/>
        <v>0</v>
      </c>
    </row>
    <row r="2794" spans="1:4">
      <c r="A2794" s="7" t="s">
        <v>1943</v>
      </c>
      <c r="B2794" s="46">
        <v>41200</v>
      </c>
      <c r="C2794" s="46">
        <v>41200</v>
      </c>
      <c r="D2794" s="49">
        <f t="shared" si="86"/>
        <v>0</v>
      </c>
    </row>
    <row r="2795" spans="1:4">
      <c r="A2795" s="7" t="s">
        <v>1944</v>
      </c>
      <c r="B2795" s="46">
        <v>47400</v>
      </c>
      <c r="C2795" s="46">
        <v>47400</v>
      </c>
      <c r="D2795" s="49">
        <f t="shared" si="86"/>
        <v>0</v>
      </c>
    </row>
    <row r="2796" spans="1:4">
      <c r="A2796" s="7" t="s">
        <v>1945</v>
      </c>
      <c r="B2796" s="46">
        <v>35500</v>
      </c>
      <c r="C2796" s="46">
        <v>35500</v>
      </c>
      <c r="D2796" s="49">
        <f t="shared" si="86"/>
        <v>0</v>
      </c>
    </row>
    <row r="2797" spans="1:4">
      <c r="A2797" s="7" t="s">
        <v>1946</v>
      </c>
      <c r="B2797" s="46">
        <v>52900</v>
      </c>
      <c r="C2797" s="46">
        <v>52900</v>
      </c>
      <c r="D2797" s="49">
        <f t="shared" ref="D2797:D2860" si="87">B2797-C2797</f>
        <v>0</v>
      </c>
    </row>
    <row r="2798" spans="1:4">
      <c r="A2798" s="7" t="s">
        <v>1948</v>
      </c>
      <c r="B2798" s="46">
        <v>52900</v>
      </c>
      <c r="C2798" s="46">
        <v>52900</v>
      </c>
      <c r="D2798" s="49">
        <f t="shared" si="87"/>
        <v>0</v>
      </c>
    </row>
    <row r="2799" spans="1:4">
      <c r="A2799" s="7" t="s">
        <v>1950</v>
      </c>
      <c r="B2799" s="46">
        <v>64200</v>
      </c>
      <c r="C2799" s="46">
        <v>64200</v>
      </c>
      <c r="D2799" s="49">
        <f t="shared" si="87"/>
        <v>0</v>
      </c>
    </row>
    <row r="2800" spans="1:4">
      <c r="A2800" s="7" t="s">
        <v>1951</v>
      </c>
      <c r="B2800" s="46">
        <v>81000</v>
      </c>
      <c r="C2800" s="46">
        <v>81000</v>
      </c>
      <c r="D2800" s="49">
        <f t="shared" si="87"/>
        <v>0</v>
      </c>
    </row>
    <row r="2801" spans="1:4">
      <c r="A2801" s="7" t="s">
        <v>1952</v>
      </c>
      <c r="B2801" s="46">
        <v>157900</v>
      </c>
      <c r="C2801" s="46">
        <v>157900</v>
      </c>
      <c r="D2801" s="49">
        <f t="shared" si="87"/>
        <v>0</v>
      </c>
    </row>
    <row r="2802" spans="1:4">
      <c r="A2802" s="7" t="s">
        <v>1953</v>
      </c>
      <c r="B2802" s="46">
        <v>63900</v>
      </c>
      <c r="C2802" s="46">
        <v>63900</v>
      </c>
      <c r="D2802" s="49">
        <f t="shared" si="87"/>
        <v>0</v>
      </c>
    </row>
    <row r="2803" spans="1:4">
      <c r="A2803" s="7" t="s">
        <v>1954</v>
      </c>
      <c r="B2803" s="46">
        <v>29800</v>
      </c>
      <c r="C2803" s="46">
        <v>29800</v>
      </c>
      <c r="D2803" s="49">
        <f t="shared" si="87"/>
        <v>0</v>
      </c>
    </row>
    <row r="2804" spans="1:4">
      <c r="A2804" s="7" t="s">
        <v>1955</v>
      </c>
      <c r="B2804" s="46">
        <v>34400</v>
      </c>
      <c r="C2804" s="46">
        <v>34400</v>
      </c>
      <c r="D2804" s="49">
        <f t="shared" si="87"/>
        <v>0</v>
      </c>
    </row>
    <row r="2805" spans="1:4">
      <c r="A2805" s="7" t="s">
        <v>1963</v>
      </c>
      <c r="B2805" s="46">
        <v>6901200</v>
      </c>
      <c r="C2805" s="46">
        <v>6901200</v>
      </c>
      <c r="D2805" s="49">
        <f t="shared" si="87"/>
        <v>0</v>
      </c>
    </row>
    <row r="2806" spans="1:4">
      <c r="A2806" s="7" t="s">
        <v>1966</v>
      </c>
      <c r="B2806" s="46">
        <v>62512</v>
      </c>
      <c r="C2806" s="46">
        <v>62512</v>
      </c>
      <c r="D2806" s="49">
        <f t="shared" si="87"/>
        <v>0</v>
      </c>
    </row>
    <row r="2807" spans="1:4">
      <c r="A2807" s="7" t="s">
        <v>1967</v>
      </c>
      <c r="B2807" s="46">
        <v>39000</v>
      </c>
      <c r="C2807" s="46">
        <v>39000</v>
      </c>
      <c r="D2807" s="49">
        <f t="shared" si="87"/>
        <v>0</v>
      </c>
    </row>
    <row r="2808" spans="1:4">
      <c r="A2808" s="7" t="s">
        <v>1968</v>
      </c>
      <c r="B2808" s="46">
        <v>19000</v>
      </c>
      <c r="C2808" s="46">
        <v>19000</v>
      </c>
      <c r="D2808" s="49">
        <f t="shared" si="87"/>
        <v>0</v>
      </c>
    </row>
    <row r="2809" spans="1:4">
      <c r="A2809" s="7" t="s">
        <v>1969</v>
      </c>
      <c r="B2809" s="46">
        <v>80000</v>
      </c>
      <c r="C2809" s="46">
        <v>80000</v>
      </c>
      <c r="D2809" s="49">
        <f t="shared" si="87"/>
        <v>0</v>
      </c>
    </row>
    <row r="2810" spans="1:4">
      <c r="A2810" s="7" t="s">
        <v>1970</v>
      </c>
      <c r="B2810" s="46">
        <v>36000</v>
      </c>
      <c r="C2810" s="46">
        <v>36000</v>
      </c>
      <c r="D2810" s="49">
        <f t="shared" si="87"/>
        <v>0</v>
      </c>
    </row>
    <row r="2811" spans="1:4">
      <c r="A2811" s="7" t="s">
        <v>1971</v>
      </c>
      <c r="B2811" s="46">
        <v>36000</v>
      </c>
      <c r="C2811" s="46">
        <v>36000</v>
      </c>
      <c r="D2811" s="49">
        <f t="shared" si="87"/>
        <v>0</v>
      </c>
    </row>
    <row r="2812" spans="1:4">
      <c r="A2812" s="7" t="s">
        <v>1972</v>
      </c>
      <c r="B2812" s="46">
        <v>35000</v>
      </c>
      <c r="C2812" s="46">
        <v>35000</v>
      </c>
      <c r="D2812" s="49">
        <f t="shared" si="87"/>
        <v>0</v>
      </c>
    </row>
    <row r="2813" spans="1:4">
      <c r="A2813" s="7" t="s">
        <v>1973</v>
      </c>
      <c r="B2813" s="46">
        <v>10000</v>
      </c>
      <c r="C2813" s="46">
        <v>10000</v>
      </c>
      <c r="D2813" s="49">
        <f t="shared" si="87"/>
        <v>0</v>
      </c>
    </row>
    <row r="2814" spans="1:4">
      <c r="A2814" s="7" t="s">
        <v>1974</v>
      </c>
      <c r="B2814" s="46">
        <v>80000</v>
      </c>
      <c r="C2814" s="46">
        <v>80000</v>
      </c>
      <c r="D2814" s="49">
        <f t="shared" si="87"/>
        <v>0</v>
      </c>
    </row>
    <row r="2815" spans="1:4">
      <c r="A2815" s="7" t="s">
        <v>1975</v>
      </c>
      <c r="B2815" s="46">
        <v>35000</v>
      </c>
      <c r="C2815" s="46">
        <v>35000</v>
      </c>
      <c r="D2815" s="49">
        <f t="shared" si="87"/>
        <v>0</v>
      </c>
    </row>
    <row r="2816" spans="1:4">
      <c r="A2816" s="7" t="s">
        <v>1973</v>
      </c>
      <c r="B2816" s="46">
        <v>10000</v>
      </c>
      <c r="C2816" s="46">
        <v>10000</v>
      </c>
      <c r="D2816" s="49">
        <f t="shared" si="87"/>
        <v>0</v>
      </c>
    </row>
    <row r="2817" spans="1:4">
      <c r="A2817" s="7" t="s">
        <v>1976</v>
      </c>
      <c r="B2817" s="46">
        <v>25000</v>
      </c>
      <c r="C2817" s="46">
        <v>25000</v>
      </c>
      <c r="D2817" s="49">
        <f t="shared" si="87"/>
        <v>0</v>
      </c>
    </row>
    <row r="2818" spans="1:4">
      <c r="A2818" s="7" t="s">
        <v>1979</v>
      </c>
      <c r="B2818" s="46">
        <v>110000</v>
      </c>
      <c r="C2818" s="46">
        <v>110000</v>
      </c>
      <c r="D2818" s="49">
        <f t="shared" si="87"/>
        <v>0</v>
      </c>
    </row>
    <row r="2819" spans="1:4">
      <c r="A2819" s="7" t="s">
        <v>1980</v>
      </c>
      <c r="B2819" s="46">
        <v>672000</v>
      </c>
      <c r="C2819" s="46">
        <v>672000</v>
      </c>
      <c r="D2819" s="49">
        <f t="shared" si="87"/>
        <v>0</v>
      </c>
    </row>
    <row r="2820" spans="1:4">
      <c r="A2820" s="7" t="s">
        <v>1981</v>
      </c>
      <c r="B2820" s="46">
        <v>94400</v>
      </c>
      <c r="C2820" s="46">
        <v>94400</v>
      </c>
      <c r="D2820" s="49">
        <f t="shared" si="87"/>
        <v>0</v>
      </c>
    </row>
    <row r="2821" spans="1:4">
      <c r="A2821" s="7" t="s">
        <v>1997</v>
      </c>
      <c r="B2821" s="46">
        <v>215000</v>
      </c>
      <c r="C2821" s="46">
        <v>215000</v>
      </c>
      <c r="D2821" s="49">
        <f t="shared" si="87"/>
        <v>0</v>
      </c>
    </row>
    <row r="2822" spans="1:4">
      <c r="A2822" s="7" t="s">
        <v>1998</v>
      </c>
      <c r="B2822" s="46">
        <v>40024</v>
      </c>
      <c r="C2822" s="46">
        <v>40024</v>
      </c>
      <c r="D2822" s="49">
        <f t="shared" si="87"/>
        <v>0</v>
      </c>
    </row>
    <row r="2823" spans="1:4">
      <c r="A2823" s="7" t="s">
        <v>1999</v>
      </c>
      <c r="B2823" s="46">
        <v>28252</v>
      </c>
      <c r="C2823" s="46">
        <v>28252</v>
      </c>
      <c r="D2823" s="49">
        <f t="shared" si="87"/>
        <v>0</v>
      </c>
    </row>
    <row r="2824" spans="1:4">
      <c r="A2824" s="7" t="s">
        <v>2000</v>
      </c>
      <c r="B2824" s="46">
        <v>36395</v>
      </c>
      <c r="C2824" s="46">
        <v>36395</v>
      </c>
      <c r="D2824" s="49">
        <f t="shared" si="87"/>
        <v>0</v>
      </c>
    </row>
    <row r="2825" spans="1:4">
      <c r="A2825" s="7" t="s">
        <v>2001</v>
      </c>
      <c r="B2825" s="46">
        <v>21189</v>
      </c>
      <c r="C2825" s="46">
        <v>21189</v>
      </c>
      <c r="D2825" s="49">
        <f t="shared" si="87"/>
        <v>0</v>
      </c>
    </row>
    <row r="2826" spans="1:4">
      <c r="A2826" s="7" t="s">
        <v>2002</v>
      </c>
      <c r="B2826" s="46">
        <v>35315</v>
      </c>
      <c r="C2826" s="46">
        <v>35315</v>
      </c>
      <c r="D2826" s="49">
        <f t="shared" si="87"/>
        <v>0</v>
      </c>
    </row>
    <row r="2827" spans="1:4">
      <c r="A2827" s="7" t="s">
        <v>1795</v>
      </c>
      <c r="B2827" s="46">
        <v>7441</v>
      </c>
      <c r="C2827" s="46">
        <v>7441</v>
      </c>
      <c r="D2827" s="49">
        <f t="shared" si="87"/>
        <v>0</v>
      </c>
    </row>
    <row r="2828" spans="1:4">
      <c r="A2828" s="7" t="s">
        <v>2003</v>
      </c>
      <c r="B2828" s="46">
        <v>10221</v>
      </c>
      <c r="C2828" s="46">
        <v>10221</v>
      </c>
      <c r="D2828" s="49">
        <f t="shared" si="87"/>
        <v>0</v>
      </c>
    </row>
    <row r="2829" spans="1:4">
      <c r="A2829" s="7" t="s">
        <v>2004</v>
      </c>
      <c r="B2829" s="46">
        <v>15677</v>
      </c>
      <c r="C2829" s="46">
        <v>15677</v>
      </c>
      <c r="D2829" s="49">
        <f t="shared" si="87"/>
        <v>0</v>
      </c>
    </row>
    <row r="2830" spans="1:4">
      <c r="A2830" s="7" t="s">
        <v>2005</v>
      </c>
      <c r="B2830" s="46">
        <v>14126</v>
      </c>
      <c r="C2830" s="46">
        <v>14126</v>
      </c>
      <c r="D2830" s="49">
        <f t="shared" si="87"/>
        <v>0</v>
      </c>
    </row>
    <row r="2831" spans="1:4">
      <c r="A2831" s="7" t="s">
        <v>2006</v>
      </c>
      <c r="B2831" s="46">
        <v>60000</v>
      </c>
      <c r="C2831" s="46">
        <v>60000</v>
      </c>
      <c r="D2831" s="49">
        <f t="shared" si="87"/>
        <v>0</v>
      </c>
    </row>
    <row r="2832" spans="1:4">
      <c r="A2832" s="7" t="s">
        <v>2007</v>
      </c>
      <c r="B2832" s="46">
        <v>44000</v>
      </c>
      <c r="C2832" s="46">
        <v>44000</v>
      </c>
      <c r="D2832" s="49">
        <f t="shared" si="87"/>
        <v>0</v>
      </c>
    </row>
    <row r="2833" spans="1:4">
      <c r="A2833" s="7" t="s">
        <v>2008</v>
      </c>
      <c r="B2833" s="46">
        <v>112000</v>
      </c>
      <c r="C2833" s="46">
        <v>112000</v>
      </c>
      <c r="D2833" s="49">
        <f t="shared" si="87"/>
        <v>0</v>
      </c>
    </row>
    <row r="2834" spans="1:4">
      <c r="A2834" s="7" t="s">
        <v>2009</v>
      </c>
      <c r="B2834" s="46">
        <v>91300</v>
      </c>
      <c r="C2834" s="46">
        <v>91300</v>
      </c>
      <c r="D2834" s="49">
        <f t="shared" si="87"/>
        <v>0</v>
      </c>
    </row>
    <row r="2835" spans="1:4">
      <c r="A2835" s="7" t="s">
        <v>2010</v>
      </c>
      <c r="B2835" s="46">
        <v>21000</v>
      </c>
      <c r="C2835" s="46">
        <v>21000</v>
      </c>
      <c r="D2835" s="49">
        <f t="shared" si="87"/>
        <v>0</v>
      </c>
    </row>
    <row r="2836" spans="1:4">
      <c r="A2836" s="7" t="s">
        <v>2011</v>
      </c>
      <c r="B2836" s="46">
        <v>26500</v>
      </c>
      <c r="C2836" s="46">
        <v>26500</v>
      </c>
      <c r="D2836" s="49">
        <f t="shared" si="87"/>
        <v>0</v>
      </c>
    </row>
    <row r="2837" spans="1:4">
      <c r="A2837" s="7" t="s">
        <v>2012</v>
      </c>
      <c r="B2837" s="46">
        <v>30000</v>
      </c>
      <c r="C2837" s="46">
        <v>30000</v>
      </c>
      <c r="D2837" s="49">
        <f t="shared" si="87"/>
        <v>0</v>
      </c>
    </row>
    <row r="2838" spans="1:4">
      <c r="A2838" s="7" t="s">
        <v>2013</v>
      </c>
      <c r="B2838" s="46">
        <v>23400</v>
      </c>
      <c r="C2838" s="46">
        <v>23400</v>
      </c>
      <c r="D2838" s="49">
        <f t="shared" si="87"/>
        <v>0</v>
      </c>
    </row>
    <row r="2839" spans="1:4">
      <c r="A2839" s="7" t="s">
        <v>2023</v>
      </c>
      <c r="B2839" s="46">
        <v>15671</v>
      </c>
      <c r="C2839" s="46">
        <v>15671</v>
      </c>
      <c r="D2839" s="49">
        <f t="shared" si="87"/>
        <v>0</v>
      </c>
    </row>
    <row r="2840" spans="1:4">
      <c r="A2840" s="7" t="s">
        <v>2024</v>
      </c>
      <c r="B2840" s="46">
        <v>8668800</v>
      </c>
      <c r="C2840" s="46">
        <v>8668800</v>
      </c>
      <c r="D2840" s="49">
        <f t="shared" si="87"/>
        <v>0</v>
      </c>
    </row>
    <row r="2841" spans="1:4">
      <c r="A2841" s="7" t="s">
        <v>2028</v>
      </c>
      <c r="B2841" s="46">
        <v>755906</v>
      </c>
      <c r="C2841" s="46">
        <v>755906</v>
      </c>
      <c r="D2841" s="49">
        <f t="shared" si="87"/>
        <v>0</v>
      </c>
    </row>
    <row r="2842" spans="1:4">
      <c r="A2842" s="7" t="s">
        <v>1538</v>
      </c>
      <c r="B2842" s="46">
        <v>4850000</v>
      </c>
      <c r="C2842" s="46">
        <v>2840582</v>
      </c>
      <c r="D2842" s="49">
        <f t="shared" si="87"/>
        <v>2009418</v>
      </c>
    </row>
    <row r="2843" spans="1:4">
      <c r="A2843" s="7" t="s">
        <v>1539</v>
      </c>
      <c r="B2843" s="46">
        <v>356345</v>
      </c>
      <c r="C2843" s="46">
        <v>213079</v>
      </c>
      <c r="D2843" s="49">
        <f t="shared" si="87"/>
        <v>143266</v>
      </c>
    </row>
    <row r="2844" spans="1:4">
      <c r="A2844" s="7" t="s">
        <v>1540</v>
      </c>
      <c r="B2844" s="46">
        <v>104690</v>
      </c>
      <c r="C2844" s="46">
        <v>67388</v>
      </c>
      <c r="D2844" s="49">
        <f t="shared" si="87"/>
        <v>37302</v>
      </c>
    </row>
    <row r="2845" spans="1:4">
      <c r="A2845" s="7" t="s">
        <v>1541</v>
      </c>
      <c r="B2845" s="46">
        <v>771191</v>
      </c>
      <c r="C2845" s="46">
        <v>496403</v>
      </c>
      <c r="D2845" s="49">
        <f t="shared" si="87"/>
        <v>274788</v>
      </c>
    </row>
    <row r="2846" spans="1:4">
      <c r="A2846" s="7" t="s">
        <v>1542</v>
      </c>
      <c r="B2846" s="46">
        <v>1160286</v>
      </c>
      <c r="C2846" s="46">
        <v>746859</v>
      </c>
      <c r="D2846" s="49">
        <f t="shared" si="87"/>
        <v>413427</v>
      </c>
    </row>
    <row r="2847" spans="1:4">
      <c r="A2847" s="7" t="s">
        <v>1543</v>
      </c>
      <c r="B2847" s="46">
        <v>200813</v>
      </c>
      <c r="C2847" s="46">
        <v>129263</v>
      </c>
      <c r="D2847" s="49">
        <f t="shared" si="87"/>
        <v>71550</v>
      </c>
    </row>
    <row r="2848" spans="1:4">
      <c r="A2848" s="7" t="s">
        <v>1546</v>
      </c>
      <c r="B2848" s="46">
        <v>316710</v>
      </c>
      <c r="C2848" s="46">
        <v>203858</v>
      </c>
      <c r="D2848" s="49">
        <f t="shared" si="87"/>
        <v>112852</v>
      </c>
    </row>
    <row r="2849" spans="1:4">
      <c r="A2849" s="7" t="s">
        <v>1548</v>
      </c>
      <c r="B2849" s="46">
        <v>46900</v>
      </c>
      <c r="C2849" s="46">
        <v>28753</v>
      </c>
      <c r="D2849" s="49">
        <f t="shared" si="87"/>
        <v>18147</v>
      </c>
    </row>
    <row r="2850" spans="1:4">
      <c r="A2850" s="7" t="s">
        <v>1549</v>
      </c>
      <c r="B2850" s="46">
        <v>25000</v>
      </c>
      <c r="C2850" s="46">
        <v>15330</v>
      </c>
      <c r="D2850" s="49">
        <f t="shared" si="87"/>
        <v>9670</v>
      </c>
    </row>
    <row r="2851" spans="1:4">
      <c r="A2851" s="7" t="s">
        <v>1550</v>
      </c>
      <c r="B2851" s="46">
        <v>231818</v>
      </c>
      <c r="C2851" s="46">
        <v>149212</v>
      </c>
      <c r="D2851" s="49">
        <f t="shared" si="87"/>
        <v>82606</v>
      </c>
    </row>
    <row r="2852" spans="1:4">
      <c r="A2852" s="7" t="s">
        <v>1551</v>
      </c>
      <c r="B2852" s="46">
        <v>13490</v>
      </c>
      <c r="C2852" s="46">
        <v>6662</v>
      </c>
      <c r="D2852" s="49">
        <f t="shared" si="87"/>
        <v>6828</v>
      </c>
    </row>
    <row r="2853" spans="1:4">
      <c r="A2853" s="7" t="s">
        <v>1552</v>
      </c>
      <c r="B2853" s="46">
        <v>601219</v>
      </c>
      <c r="C2853" s="46">
        <v>362871</v>
      </c>
      <c r="D2853" s="49">
        <f t="shared" si="87"/>
        <v>238348</v>
      </c>
    </row>
    <row r="2854" spans="1:4">
      <c r="A2854" s="7" t="s">
        <v>1553</v>
      </c>
      <c r="B2854" s="46">
        <v>210566</v>
      </c>
      <c r="C2854" s="46">
        <v>127090</v>
      </c>
      <c r="D2854" s="49">
        <f t="shared" si="87"/>
        <v>83476</v>
      </c>
    </row>
    <row r="2855" spans="1:4">
      <c r="A2855" s="7" t="s">
        <v>1554</v>
      </c>
      <c r="B2855" s="46">
        <v>2253625</v>
      </c>
      <c r="C2855" s="46">
        <v>1360201</v>
      </c>
      <c r="D2855" s="49">
        <f t="shared" si="87"/>
        <v>893424</v>
      </c>
    </row>
    <row r="2856" spans="1:4">
      <c r="A2856" s="7" t="s">
        <v>1555</v>
      </c>
      <c r="B2856" s="46">
        <v>6243449</v>
      </c>
      <c r="C2856" s="46">
        <v>3768314</v>
      </c>
      <c r="D2856" s="49">
        <f t="shared" si="87"/>
        <v>2475135</v>
      </c>
    </row>
    <row r="2857" spans="1:4">
      <c r="A2857" s="7" t="s">
        <v>1556</v>
      </c>
      <c r="B2857" s="46">
        <v>5309420</v>
      </c>
      <c r="C2857" s="46">
        <v>3204568</v>
      </c>
      <c r="D2857" s="49">
        <f t="shared" si="87"/>
        <v>2104852</v>
      </c>
    </row>
    <row r="2858" spans="1:4">
      <c r="A2858" s="7" t="s">
        <v>1557</v>
      </c>
      <c r="B2858" s="46">
        <v>50713</v>
      </c>
      <c r="C2858" s="46">
        <v>30604</v>
      </c>
      <c r="D2858" s="49">
        <f t="shared" si="87"/>
        <v>20109</v>
      </c>
    </row>
    <row r="2859" spans="1:4">
      <c r="A2859" s="7" t="s">
        <v>1557</v>
      </c>
      <c r="B2859" s="46">
        <v>50714</v>
      </c>
      <c r="C2859" s="46">
        <v>30604</v>
      </c>
      <c r="D2859" s="49">
        <f t="shared" si="87"/>
        <v>20110</v>
      </c>
    </row>
    <row r="2860" spans="1:4">
      <c r="A2860" s="7" t="s">
        <v>1558</v>
      </c>
      <c r="B2860" s="46">
        <v>176947</v>
      </c>
      <c r="C2860" s="46">
        <v>106796</v>
      </c>
      <c r="D2860" s="49">
        <f t="shared" si="87"/>
        <v>70151</v>
      </c>
    </row>
    <row r="2861" spans="1:4">
      <c r="A2861" s="7" t="s">
        <v>1559</v>
      </c>
      <c r="B2861" s="46">
        <v>267410</v>
      </c>
      <c r="C2861" s="46">
        <v>161399</v>
      </c>
      <c r="D2861" s="49">
        <f t="shared" ref="D2861:D2924" si="88">B2861-C2861</f>
        <v>106011</v>
      </c>
    </row>
    <row r="2862" spans="1:4">
      <c r="A2862" s="7" t="s">
        <v>1560</v>
      </c>
      <c r="B2862" s="46">
        <v>796331</v>
      </c>
      <c r="C2862" s="46">
        <v>480635</v>
      </c>
      <c r="D2862" s="49">
        <f t="shared" si="88"/>
        <v>315696</v>
      </c>
    </row>
    <row r="2863" spans="1:4">
      <c r="A2863" s="7" t="s">
        <v>1561</v>
      </c>
      <c r="B2863" s="46">
        <v>768350</v>
      </c>
      <c r="C2863" s="46">
        <v>463746</v>
      </c>
      <c r="D2863" s="49">
        <f t="shared" si="88"/>
        <v>304604</v>
      </c>
    </row>
    <row r="2864" spans="1:4">
      <c r="A2864" s="7" t="s">
        <v>1562</v>
      </c>
      <c r="B2864" s="46">
        <v>293425</v>
      </c>
      <c r="C2864" s="46">
        <v>177103</v>
      </c>
      <c r="D2864" s="49">
        <f t="shared" si="88"/>
        <v>116322</v>
      </c>
    </row>
    <row r="2865" spans="1:4">
      <c r="A2865" s="7" t="s">
        <v>1563</v>
      </c>
      <c r="B2865" s="46">
        <v>61301</v>
      </c>
      <c r="C2865" s="46">
        <v>36996</v>
      </c>
      <c r="D2865" s="49">
        <f t="shared" si="88"/>
        <v>24305</v>
      </c>
    </row>
    <row r="2866" spans="1:4">
      <c r="A2866" s="7" t="s">
        <v>1564</v>
      </c>
      <c r="B2866" s="46">
        <v>43620</v>
      </c>
      <c r="C2866" s="46">
        <v>26329</v>
      </c>
      <c r="D2866" s="49">
        <f t="shared" si="88"/>
        <v>17291</v>
      </c>
    </row>
    <row r="2867" spans="1:4">
      <c r="A2867" s="7" t="s">
        <v>1565</v>
      </c>
      <c r="B2867" s="46">
        <v>86650</v>
      </c>
      <c r="C2867" s="46">
        <v>52297</v>
      </c>
      <c r="D2867" s="49">
        <f t="shared" si="88"/>
        <v>34353</v>
      </c>
    </row>
    <row r="2868" spans="1:4">
      <c r="A2868" s="7" t="s">
        <v>1566</v>
      </c>
      <c r="B2868" s="46">
        <v>48160</v>
      </c>
      <c r="C2868" s="46">
        <v>29066</v>
      </c>
      <c r="D2868" s="49">
        <f t="shared" si="88"/>
        <v>19094</v>
      </c>
    </row>
    <row r="2869" spans="1:4">
      <c r="A2869" s="7" t="s">
        <v>1567</v>
      </c>
      <c r="B2869" s="46">
        <v>67760</v>
      </c>
      <c r="C2869" s="46">
        <v>40899</v>
      </c>
      <c r="D2869" s="49">
        <f t="shared" si="88"/>
        <v>26861</v>
      </c>
    </row>
    <row r="2870" spans="1:4">
      <c r="A2870" s="7" t="s">
        <v>1568</v>
      </c>
      <c r="B2870" s="46">
        <v>127534</v>
      </c>
      <c r="C2870" s="46">
        <v>76974</v>
      </c>
      <c r="D2870" s="49">
        <f t="shared" si="88"/>
        <v>50560</v>
      </c>
    </row>
    <row r="2871" spans="1:4">
      <c r="A2871" s="7" t="s">
        <v>1569</v>
      </c>
      <c r="B2871" s="46">
        <v>48160</v>
      </c>
      <c r="C2871" s="46">
        <v>29066</v>
      </c>
      <c r="D2871" s="49">
        <f t="shared" si="88"/>
        <v>19094</v>
      </c>
    </row>
    <row r="2872" spans="1:4">
      <c r="A2872" s="7" t="s">
        <v>1570</v>
      </c>
      <c r="B2872" s="46">
        <v>119064</v>
      </c>
      <c r="C2872" s="46">
        <v>71864</v>
      </c>
      <c r="D2872" s="49">
        <f t="shared" si="88"/>
        <v>47200</v>
      </c>
    </row>
    <row r="2873" spans="1:4">
      <c r="A2873" s="7" t="s">
        <v>1571</v>
      </c>
      <c r="B2873" s="46">
        <v>128562</v>
      </c>
      <c r="C2873" s="46">
        <v>77600</v>
      </c>
      <c r="D2873" s="49">
        <f t="shared" si="88"/>
        <v>50962</v>
      </c>
    </row>
    <row r="2874" spans="1:4">
      <c r="A2874" s="7" t="s">
        <v>1572</v>
      </c>
      <c r="B2874" s="46">
        <v>219161</v>
      </c>
      <c r="C2874" s="46">
        <v>132279</v>
      </c>
      <c r="D2874" s="49">
        <f t="shared" si="88"/>
        <v>86882</v>
      </c>
    </row>
    <row r="2875" spans="1:4">
      <c r="A2875" s="7" t="s">
        <v>1573</v>
      </c>
      <c r="B2875" s="46">
        <v>323085</v>
      </c>
      <c r="C2875" s="46">
        <v>195002</v>
      </c>
      <c r="D2875" s="49">
        <f t="shared" si="88"/>
        <v>128083</v>
      </c>
    </row>
    <row r="2876" spans="1:4">
      <c r="A2876" s="7" t="s">
        <v>1574</v>
      </c>
      <c r="B2876" s="46">
        <v>299475</v>
      </c>
      <c r="C2876" s="46">
        <v>180749</v>
      </c>
      <c r="D2876" s="49">
        <f t="shared" si="88"/>
        <v>118726</v>
      </c>
    </row>
    <row r="2877" spans="1:4">
      <c r="A2877" s="7" t="s">
        <v>1575</v>
      </c>
      <c r="B2877" s="46">
        <v>117219</v>
      </c>
      <c r="C2877" s="46">
        <v>70750</v>
      </c>
      <c r="D2877" s="49">
        <f t="shared" si="88"/>
        <v>46469</v>
      </c>
    </row>
    <row r="2878" spans="1:4">
      <c r="A2878" s="7" t="s">
        <v>1576</v>
      </c>
      <c r="B2878" s="46">
        <v>282587</v>
      </c>
      <c r="C2878" s="46">
        <v>162224</v>
      </c>
      <c r="D2878" s="49">
        <f t="shared" si="88"/>
        <v>120363</v>
      </c>
    </row>
    <row r="2879" spans="1:4">
      <c r="A2879" s="7" t="s">
        <v>1577</v>
      </c>
      <c r="B2879" s="46">
        <v>489415</v>
      </c>
      <c r="C2879" s="46">
        <v>295391</v>
      </c>
      <c r="D2879" s="49">
        <f t="shared" si="88"/>
        <v>194024</v>
      </c>
    </row>
    <row r="2880" spans="1:4">
      <c r="A2880" s="7" t="s">
        <v>1578</v>
      </c>
      <c r="B2880" s="46">
        <v>239885</v>
      </c>
      <c r="C2880" s="46">
        <v>144783</v>
      </c>
      <c r="D2880" s="49">
        <f t="shared" si="88"/>
        <v>95102</v>
      </c>
    </row>
    <row r="2881" spans="1:4">
      <c r="A2881" s="7" t="s">
        <v>1579</v>
      </c>
      <c r="B2881" s="46">
        <v>2284200</v>
      </c>
      <c r="C2881" s="46">
        <v>1378658</v>
      </c>
      <c r="D2881" s="49">
        <f t="shared" si="88"/>
        <v>905542</v>
      </c>
    </row>
    <row r="2882" spans="1:4">
      <c r="A2882" s="7" t="s">
        <v>1584</v>
      </c>
      <c r="B2882" s="46">
        <v>11353654</v>
      </c>
      <c r="C2882" s="46">
        <v>6852645</v>
      </c>
      <c r="D2882" s="49">
        <f t="shared" si="88"/>
        <v>4501009</v>
      </c>
    </row>
    <row r="2883" spans="1:4">
      <c r="A2883" s="7" t="s">
        <v>1585</v>
      </c>
      <c r="B2883" s="46">
        <v>704020</v>
      </c>
      <c r="C2883" s="46">
        <v>424918</v>
      </c>
      <c r="D2883" s="49">
        <f t="shared" si="88"/>
        <v>279102</v>
      </c>
    </row>
    <row r="2884" spans="1:4">
      <c r="A2884" s="7" t="s">
        <v>1586</v>
      </c>
      <c r="B2884" s="46">
        <v>944280</v>
      </c>
      <c r="C2884" s="46">
        <v>569927</v>
      </c>
      <c r="D2884" s="49">
        <f t="shared" si="88"/>
        <v>374353</v>
      </c>
    </row>
    <row r="2885" spans="1:4">
      <c r="A2885" s="7" t="s">
        <v>1587</v>
      </c>
      <c r="B2885" s="46">
        <v>30371</v>
      </c>
      <c r="C2885" s="46">
        <v>18331</v>
      </c>
      <c r="D2885" s="49">
        <f t="shared" si="88"/>
        <v>12040</v>
      </c>
    </row>
    <row r="2886" spans="1:4">
      <c r="A2886" s="7" t="s">
        <v>1588</v>
      </c>
      <c r="B2886" s="46">
        <v>88663</v>
      </c>
      <c r="C2886" s="46">
        <v>53510</v>
      </c>
      <c r="D2886" s="49">
        <f t="shared" si="88"/>
        <v>35153</v>
      </c>
    </row>
    <row r="2887" spans="1:4">
      <c r="A2887" s="7" t="s">
        <v>1589</v>
      </c>
      <c r="B2887" s="46">
        <v>111925</v>
      </c>
      <c r="C2887" s="46">
        <v>67555</v>
      </c>
      <c r="D2887" s="49">
        <f t="shared" si="88"/>
        <v>44370</v>
      </c>
    </row>
    <row r="2888" spans="1:4">
      <c r="A2888" s="7" t="s">
        <v>1591</v>
      </c>
      <c r="B2888" s="46">
        <v>16660000</v>
      </c>
      <c r="C2888" s="46">
        <v>9973862</v>
      </c>
      <c r="D2888" s="49">
        <f t="shared" si="88"/>
        <v>6686138</v>
      </c>
    </row>
    <row r="2889" spans="1:4">
      <c r="A2889" s="7" t="str">
        <f>"Migatronic Pi 250 AC/DC kocsival"</f>
        <v>Migatronic Pi 250 AC/DC kocsival</v>
      </c>
      <c r="B2889" s="46">
        <v>1400000</v>
      </c>
      <c r="C2889" s="46">
        <v>838140</v>
      </c>
      <c r="D2889" s="49">
        <f t="shared" si="88"/>
        <v>561860</v>
      </c>
    </row>
    <row r="2890" spans="1:4">
      <c r="A2890" s="7" t="str">
        <f>"Migatronic Pi 250 AC/DC kocsival"</f>
        <v>Migatronic Pi 250 AC/DC kocsival</v>
      </c>
      <c r="B2890" s="46">
        <v>1400000</v>
      </c>
      <c r="C2890" s="46">
        <v>838140</v>
      </c>
      <c r="D2890" s="49">
        <f t="shared" si="88"/>
        <v>561860</v>
      </c>
    </row>
    <row r="2891" spans="1:4">
      <c r="A2891" s="7" t="str">
        <f>"Migatronic Pi 250 AC/DC kocsival"</f>
        <v>Migatronic Pi 250 AC/DC kocsival</v>
      </c>
      <c r="B2891" s="46">
        <v>1400000</v>
      </c>
      <c r="C2891" s="46">
        <v>838140</v>
      </c>
      <c r="D2891" s="49">
        <f t="shared" si="88"/>
        <v>561860</v>
      </c>
    </row>
    <row r="2892" spans="1:4">
      <c r="A2892" s="7" t="str">
        <f>"Migatronic Pi 250 AC/DC kocsival"</f>
        <v>Migatronic Pi 250 AC/DC kocsival</v>
      </c>
      <c r="B2892" s="46">
        <v>1400000</v>
      </c>
      <c r="C2892" s="46">
        <v>838140</v>
      </c>
      <c r="D2892" s="49">
        <f t="shared" si="88"/>
        <v>561860</v>
      </c>
    </row>
    <row r="2893" spans="1:4">
      <c r="A2893" s="7" t="str">
        <f>"Migatronoc Pi 250 AC/DC kocsival"</f>
        <v>Migatronoc Pi 250 AC/DC kocsival</v>
      </c>
      <c r="B2893" s="46">
        <v>1400000</v>
      </c>
      <c r="C2893" s="46">
        <v>838140</v>
      </c>
      <c r="D2893" s="49">
        <f t="shared" si="88"/>
        <v>561860</v>
      </c>
    </row>
    <row r="2894" spans="1:4">
      <c r="A2894" s="7" t="s">
        <v>1592</v>
      </c>
      <c r="B2894" s="46">
        <v>2000000</v>
      </c>
      <c r="C2894" s="46">
        <v>1197342</v>
      </c>
      <c r="D2894" s="49">
        <f t="shared" si="88"/>
        <v>802658</v>
      </c>
    </row>
    <row r="2895" spans="1:4">
      <c r="A2895" s="7" t="s">
        <v>1592</v>
      </c>
      <c r="B2895" s="46">
        <v>2000000</v>
      </c>
      <c r="C2895" s="46">
        <v>1197342</v>
      </c>
      <c r="D2895" s="49">
        <f t="shared" si="88"/>
        <v>802658</v>
      </c>
    </row>
    <row r="2896" spans="1:4">
      <c r="A2896" s="7" t="s">
        <v>1592</v>
      </c>
      <c r="B2896" s="46">
        <v>2000000</v>
      </c>
      <c r="C2896" s="46">
        <v>1197342</v>
      </c>
      <c r="D2896" s="49">
        <f t="shared" si="88"/>
        <v>802658</v>
      </c>
    </row>
    <row r="2897" spans="1:4">
      <c r="A2897" s="7" t="s">
        <v>1592</v>
      </c>
      <c r="B2897" s="46">
        <v>2000000</v>
      </c>
      <c r="C2897" s="46">
        <v>1197342</v>
      </c>
      <c r="D2897" s="49">
        <f t="shared" si="88"/>
        <v>802658</v>
      </c>
    </row>
    <row r="2898" spans="1:4">
      <c r="A2898" s="7" t="s">
        <v>1593</v>
      </c>
      <c r="B2898" s="46">
        <v>2610950</v>
      </c>
      <c r="C2898" s="46">
        <v>1563102</v>
      </c>
      <c r="D2898" s="49">
        <f t="shared" si="88"/>
        <v>1047848</v>
      </c>
    </row>
    <row r="2899" spans="1:4">
      <c r="A2899" s="7" t="s">
        <v>1594</v>
      </c>
      <c r="B2899" s="46">
        <v>837925</v>
      </c>
      <c r="C2899" s="46">
        <v>505741</v>
      </c>
      <c r="D2899" s="49">
        <f t="shared" si="88"/>
        <v>332184</v>
      </c>
    </row>
    <row r="2900" spans="1:4">
      <c r="A2900" s="7" t="s">
        <v>1595</v>
      </c>
      <c r="B2900" s="46">
        <v>884160</v>
      </c>
      <c r="C2900" s="46">
        <v>531188</v>
      </c>
      <c r="D2900" s="49">
        <f t="shared" si="88"/>
        <v>352972</v>
      </c>
    </row>
    <row r="2901" spans="1:4">
      <c r="A2901" s="7" t="s">
        <v>1596</v>
      </c>
      <c r="B2901" s="46">
        <v>13362937</v>
      </c>
      <c r="C2901" s="46">
        <v>8065373</v>
      </c>
      <c r="D2901" s="49">
        <f t="shared" si="88"/>
        <v>5297564</v>
      </c>
    </row>
    <row r="2902" spans="1:4">
      <c r="A2902" s="7" t="s">
        <v>1597</v>
      </c>
      <c r="B2902" s="46">
        <v>4809750</v>
      </c>
      <c r="C2902" s="46">
        <v>2902987</v>
      </c>
      <c r="D2902" s="49">
        <f t="shared" si="88"/>
        <v>1906763</v>
      </c>
    </row>
    <row r="2903" spans="1:4">
      <c r="A2903" s="7" t="s">
        <v>1598</v>
      </c>
      <c r="B2903" s="46">
        <v>72187</v>
      </c>
      <c r="C2903" s="46">
        <v>36113</v>
      </c>
      <c r="D2903" s="49">
        <f t="shared" si="88"/>
        <v>36074</v>
      </c>
    </row>
    <row r="2904" spans="1:4">
      <c r="A2904" s="7" t="s">
        <v>1598</v>
      </c>
      <c r="B2904" s="46">
        <v>72188</v>
      </c>
      <c r="C2904" s="46">
        <v>36115</v>
      </c>
      <c r="D2904" s="49">
        <f t="shared" si="88"/>
        <v>36073</v>
      </c>
    </row>
    <row r="2905" spans="1:4">
      <c r="A2905" s="7" t="s">
        <v>1599</v>
      </c>
      <c r="B2905" s="46">
        <v>359375</v>
      </c>
      <c r="C2905" s="46">
        <v>179247</v>
      </c>
      <c r="D2905" s="49">
        <f t="shared" si="88"/>
        <v>180128</v>
      </c>
    </row>
    <row r="2906" spans="1:4">
      <c r="A2906" s="7" t="s">
        <v>1600</v>
      </c>
      <c r="B2906" s="46">
        <v>224093</v>
      </c>
      <c r="C2906" s="46">
        <v>135253</v>
      </c>
      <c r="D2906" s="49">
        <f t="shared" si="88"/>
        <v>88840</v>
      </c>
    </row>
    <row r="2907" spans="1:4">
      <c r="A2907" s="7" t="s">
        <v>1601</v>
      </c>
      <c r="B2907" s="46">
        <v>478252</v>
      </c>
      <c r="C2907" s="46">
        <v>288654</v>
      </c>
      <c r="D2907" s="49">
        <f t="shared" si="88"/>
        <v>189598</v>
      </c>
    </row>
    <row r="2908" spans="1:4">
      <c r="A2908" s="7" t="s">
        <v>1607</v>
      </c>
      <c r="B2908" s="46">
        <v>2865500</v>
      </c>
      <c r="C2908" s="46">
        <v>1715491</v>
      </c>
      <c r="D2908" s="49">
        <f t="shared" si="88"/>
        <v>1150009</v>
      </c>
    </row>
    <row r="2909" spans="1:4">
      <c r="A2909" s="7" t="s">
        <v>1608</v>
      </c>
      <c r="B2909" s="46">
        <v>2892400</v>
      </c>
      <c r="C2909" s="46">
        <v>1731594</v>
      </c>
      <c r="D2909" s="49">
        <f t="shared" si="88"/>
        <v>1160806</v>
      </c>
    </row>
    <row r="2910" spans="1:4">
      <c r="A2910" s="7" t="s">
        <v>1609</v>
      </c>
      <c r="B2910" s="46">
        <v>1513125</v>
      </c>
      <c r="C2910" s="46">
        <v>905868</v>
      </c>
      <c r="D2910" s="49">
        <f t="shared" si="88"/>
        <v>607257</v>
      </c>
    </row>
    <row r="2911" spans="1:4">
      <c r="A2911" s="7" t="s">
        <v>1610</v>
      </c>
      <c r="B2911" s="46">
        <v>1250000</v>
      </c>
      <c r="C2911" s="46">
        <v>748339</v>
      </c>
      <c r="D2911" s="49">
        <f t="shared" si="88"/>
        <v>501661</v>
      </c>
    </row>
    <row r="2912" spans="1:4">
      <c r="A2912" s="7" t="s">
        <v>1636</v>
      </c>
      <c r="B2912" s="46">
        <v>945312</v>
      </c>
      <c r="C2912" s="46">
        <v>570555</v>
      </c>
      <c r="D2912" s="49">
        <f t="shared" si="88"/>
        <v>374757</v>
      </c>
    </row>
    <row r="2913" spans="1:4">
      <c r="A2913" s="7" t="s">
        <v>1637</v>
      </c>
      <c r="B2913" s="46">
        <v>2063957</v>
      </c>
      <c r="C2913" s="46">
        <v>1245726</v>
      </c>
      <c r="D2913" s="49">
        <f t="shared" si="88"/>
        <v>818231</v>
      </c>
    </row>
    <row r="2914" spans="1:4">
      <c r="A2914" s="7" t="s">
        <v>1638</v>
      </c>
      <c r="B2914" s="46">
        <v>602853</v>
      </c>
      <c r="C2914" s="46">
        <v>312860</v>
      </c>
      <c r="D2914" s="49">
        <f t="shared" si="88"/>
        <v>289993</v>
      </c>
    </row>
    <row r="2915" spans="1:4">
      <c r="A2915" s="7" t="s">
        <v>1639</v>
      </c>
      <c r="B2915" s="46">
        <v>5550875</v>
      </c>
      <c r="C2915" s="46">
        <v>3350304</v>
      </c>
      <c r="D2915" s="49">
        <f t="shared" si="88"/>
        <v>2200571</v>
      </c>
    </row>
    <row r="2916" spans="1:4">
      <c r="A2916" s="7" t="s">
        <v>1640</v>
      </c>
      <c r="B2916" s="46">
        <v>19900</v>
      </c>
      <c r="C2916" s="46">
        <v>9824</v>
      </c>
      <c r="D2916" s="49">
        <f t="shared" si="88"/>
        <v>10076</v>
      </c>
    </row>
    <row r="2917" spans="1:4">
      <c r="A2917" s="7" t="s">
        <v>1641</v>
      </c>
      <c r="B2917" s="46">
        <v>86182</v>
      </c>
      <c r="C2917" s="46">
        <v>52018</v>
      </c>
      <c r="D2917" s="49">
        <f t="shared" si="88"/>
        <v>34164</v>
      </c>
    </row>
    <row r="2918" spans="1:4">
      <c r="A2918" s="7" t="s">
        <v>1641</v>
      </c>
      <c r="B2918" s="46">
        <v>86183</v>
      </c>
      <c r="C2918" s="46">
        <v>52018</v>
      </c>
      <c r="D2918" s="49">
        <f t="shared" si="88"/>
        <v>34165</v>
      </c>
    </row>
    <row r="2919" spans="1:4">
      <c r="A2919" s="7" t="s">
        <v>1642</v>
      </c>
      <c r="B2919" s="46">
        <v>359975</v>
      </c>
      <c r="C2919" s="46">
        <v>216793</v>
      </c>
      <c r="D2919" s="49">
        <f t="shared" si="88"/>
        <v>143182</v>
      </c>
    </row>
    <row r="2920" spans="1:4">
      <c r="A2920" s="7" t="s">
        <v>1643</v>
      </c>
      <c r="B2920" s="46">
        <v>43620</v>
      </c>
      <c r="C2920" s="46">
        <v>26329</v>
      </c>
      <c r="D2920" s="49">
        <f t="shared" si="88"/>
        <v>17291</v>
      </c>
    </row>
    <row r="2921" spans="1:4">
      <c r="A2921" s="7" t="s">
        <v>1644</v>
      </c>
      <c r="B2921" s="46">
        <v>275275</v>
      </c>
      <c r="C2921" s="46">
        <v>166145</v>
      </c>
      <c r="D2921" s="49">
        <f t="shared" si="88"/>
        <v>109130</v>
      </c>
    </row>
    <row r="2922" spans="1:4">
      <c r="A2922" s="7" t="s">
        <v>1645</v>
      </c>
      <c r="B2922" s="46">
        <v>230808</v>
      </c>
      <c r="C2922" s="46">
        <v>139310</v>
      </c>
      <c r="D2922" s="49">
        <f t="shared" si="88"/>
        <v>91498</v>
      </c>
    </row>
    <row r="2923" spans="1:4">
      <c r="A2923" s="7" t="s">
        <v>1646</v>
      </c>
      <c r="B2923" s="46">
        <v>332296</v>
      </c>
      <c r="C2923" s="46">
        <v>200565</v>
      </c>
      <c r="D2923" s="49">
        <f t="shared" si="88"/>
        <v>131731</v>
      </c>
    </row>
    <row r="2924" spans="1:4">
      <c r="A2924" s="7" t="s">
        <v>1647</v>
      </c>
      <c r="B2924" s="46">
        <v>1116225</v>
      </c>
      <c r="C2924" s="46">
        <v>673711</v>
      </c>
      <c r="D2924" s="49">
        <f t="shared" si="88"/>
        <v>442514</v>
      </c>
    </row>
    <row r="2925" spans="1:4">
      <c r="A2925" s="7" t="s">
        <v>1648</v>
      </c>
      <c r="B2925" s="46">
        <v>2106156</v>
      </c>
      <c r="C2925" s="46">
        <v>1271199</v>
      </c>
      <c r="D2925" s="49">
        <f t="shared" ref="D2925:D2946" si="89">B2925-C2925</f>
        <v>834957</v>
      </c>
    </row>
    <row r="2926" spans="1:4">
      <c r="A2926" s="7" t="s">
        <v>1649</v>
      </c>
      <c r="B2926" s="46">
        <v>271191</v>
      </c>
      <c r="C2926" s="46">
        <v>163679</v>
      </c>
      <c r="D2926" s="49">
        <f t="shared" si="89"/>
        <v>107512</v>
      </c>
    </row>
    <row r="2927" spans="1:4">
      <c r="A2927" s="7" t="s">
        <v>1650</v>
      </c>
      <c r="B2927" s="46">
        <v>68608</v>
      </c>
      <c r="C2927" s="46">
        <v>41405</v>
      </c>
      <c r="D2927" s="49">
        <f t="shared" si="89"/>
        <v>27203</v>
      </c>
    </row>
    <row r="2928" spans="1:4">
      <c r="A2928" s="7" t="s">
        <v>1651</v>
      </c>
      <c r="B2928" s="46">
        <v>756250</v>
      </c>
      <c r="C2928" s="46">
        <v>456443</v>
      </c>
      <c r="D2928" s="49">
        <f t="shared" si="89"/>
        <v>299807</v>
      </c>
    </row>
    <row r="2929" spans="1:4">
      <c r="A2929" s="7" t="s">
        <v>1652</v>
      </c>
      <c r="B2929" s="46">
        <v>135974</v>
      </c>
      <c r="C2929" s="46">
        <v>82074</v>
      </c>
      <c r="D2929" s="49">
        <f t="shared" si="89"/>
        <v>53900</v>
      </c>
    </row>
    <row r="2930" spans="1:4">
      <c r="A2930" s="7" t="s">
        <v>1653</v>
      </c>
      <c r="B2930" s="46">
        <v>135512</v>
      </c>
      <c r="C2930" s="46">
        <v>81791</v>
      </c>
      <c r="D2930" s="49">
        <f t="shared" si="89"/>
        <v>53721</v>
      </c>
    </row>
    <row r="2931" spans="1:4">
      <c r="A2931" s="7" t="s">
        <v>1654</v>
      </c>
      <c r="B2931" s="46">
        <v>972991</v>
      </c>
      <c r="C2931" s="46">
        <v>587263</v>
      </c>
      <c r="D2931" s="49">
        <f t="shared" si="89"/>
        <v>385728</v>
      </c>
    </row>
    <row r="2932" spans="1:4">
      <c r="A2932" s="7" t="s">
        <v>1655</v>
      </c>
      <c r="B2932" s="46">
        <v>151099</v>
      </c>
      <c r="C2932" s="46">
        <v>91192</v>
      </c>
      <c r="D2932" s="49">
        <f t="shared" si="89"/>
        <v>59907</v>
      </c>
    </row>
    <row r="2933" spans="1:4">
      <c r="A2933" s="7" t="s">
        <v>1656</v>
      </c>
      <c r="B2933" s="46">
        <v>468875</v>
      </c>
      <c r="C2933" s="46">
        <v>282994</v>
      </c>
      <c r="D2933" s="49">
        <f t="shared" si="89"/>
        <v>185881</v>
      </c>
    </row>
    <row r="2934" spans="1:4">
      <c r="A2934" s="7" t="s">
        <v>1657</v>
      </c>
      <c r="B2934" s="46">
        <v>442406</v>
      </c>
      <c r="C2934" s="46">
        <v>267021</v>
      </c>
      <c r="D2934" s="49">
        <f t="shared" si="89"/>
        <v>175385</v>
      </c>
    </row>
    <row r="2935" spans="1:4">
      <c r="A2935" s="7" t="s">
        <v>1658</v>
      </c>
      <c r="B2935" s="46">
        <v>143688</v>
      </c>
      <c r="C2935" s="46">
        <v>86724</v>
      </c>
      <c r="D2935" s="49">
        <f t="shared" si="89"/>
        <v>56964</v>
      </c>
    </row>
    <row r="2936" spans="1:4">
      <c r="A2936" s="28" t="s">
        <v>2117</v>
      </c>
      <c r="B2936" s="29">
        <f>SUM(B2480:B2935)</f>
        <v>278187043</v>
      </c>
      <c r="C2936" s="29">
        <f t="shared" ref="C2936:D2936" si="90">SUM(C2480:C2935)</f>
        <v>166485268</v>
      </c>
      <c r="D2936" s="58">
        <f t="shared" si="90"/>
        <v>111701775</v>
      </c>
    </row>
    <row r="2937" spans="1:4">
      <c r="A2937" s="7" t="s">
        <v>2041</v>
      </c>
      <c r="B2937" s="46">
        <v>200000</v>
      </c>
      <c r="C2937" s="46">
        <v>170082</v>
      </c>
      <c r="D2937" s="49">
        <f t="shared" si="89"/>
        <v>29918</v>
      </c>
    </row>
    <row r="2938" spans="1:4">
      <c r="A2938" s="7" t="s">
        <v>2042</v>
      </c>
      <c r="B2938" s="46">
        <v>5433071</v>
      </c>
      <c r="C2938" s="46">
        <v>4001119</v>
      </c>
      <c r="D2938" s="49">
        <f t="shared" si="89"/>
        <v>1431952</v>
      </c>
    </row>
    <row r="2939" spans="1:4">
      <c r="A2939" s="7" t="s">
        <v>2043</v>
      </c>
      <c r="B2939" s="46">
        <v>3862172</v>
      </c>
      <c r="C2939" s="46">
        <v>1676572</v>
      </c>
      <c r="D2939" s="49">
        <f t="shared" si="89"/>
        <v>2185600</v>
      </c>
    </row>
    <row r="2940" spans="1:4">
      <c r="A2940" s="7" t="s">
        <v>2044</v>
      </c>
      <c r="B2940" s="46">
        <v>5736220</v>
      </c>
      <c r="C2940" s="46">
        <v>2357350</v>
      </c>
      <c r="D2940" s="49">
        <f t="shared" si="89"/>
        <v>3378870</v>
      </c>
    </row>
    <row r="2941" spans="1:4">
      <c r="A2941" s="7" t="s">
        <v>2045</v>
      </c>
      <c r="B2941" s="46">
        <v>2799619</v>
      </c>
      <c r="C2941" s="46">
        <v>1158197</v>
      </c>
      <c r="D2941" s="49">
        <f t="shared" si="89"/>
        <v>1641422</v>
      </c>
    </row>
    <row r="2942" spans="1:4">
      <c r="A2942" s="7" t="s">
        <v>2046</v>
      </c>
      <c r="B2942" s="46">
        <v>2251969</v>
      </c>
      <c r="C2942" s="46">
        <v>739582</v>
      </c>
      <c r="D2942" s="49">
        <f t="shared" si="89"/>
        <v>1512387</v>
      </c>
    </row>
    <row r="2943" spans="1:4">
      <c r="A2943" s="7" t="s">
        <v>2047</v>
      </c>
      <c r="B2943" s="46">
        <v>5650000</v>
      </c>
      <c r="C2943" s="46">
        <v>1769099</v>
      </c>
      <c r="D2943" s="49">
        <f t="shared" si="89"/>
        <v>3880901</v>
      </c>
    </row>
    <row r="2944" spans="1:4">
      <c r="A2944" s="7" t="s">
        <v>2048</v>
      </c>
      <c r="B2944" s="46">
        <v>2000000</v>
      </c>
      <c r="C2944" s="46">
        <v>402186</v>
      </c>
      <c r="D2944" s="49">
        <f t="shared" si="89"/>
        <v>1597814</v>
      </c>
    </row>
    <row r="2945" spans="1:4">
      <c r="A2945" s="7" t="s">
        <v>2049</v>
      </c>
      <c r="B2945" s="46">
        <v>6786644</v>
      </c>
      <c r="C2945" s="46">
        <v>702836</v>
      </c>
      <c r="D2945" s="49">
        <f t="shared" si="89"/>
        <v>6083808</v>
      </c>
    </row>
    <row r="2946" spans="1:4">
      <c r="A2946" s="7" t="s">
        <v>2050</v>
      </c>
      <c r="B2946" s="46">
        <v>12598000</v>
      </c>
      <c r="C2946" s="46">
        <v>82836</v>
      </c>
      <c r="D2946" s="49">
        <f t="shared" si="89"/>
        <v>12515164</v>
      </c>
    </row>
    <row r="2947" spans="1:4">
      <c r="A2947" s="7" t="s">
        <v>2030</v>
      </c>
      <c r="B2947" s="46">
        <v>70000</v>
      </c>
      <c r="C2947" s="46">
        <v>70000</v>
      </c>
      <c r="D2947" s="49">
        <f t="shared" ref="D2947:D2975" si="91">B2947-C2947</f>
        <v>0</v>
      </c>
    </row>
    <row r="2948" spans="1:4">
      <c r="A2948" s="7" t="s">
        <v>2032</v>
      </c>
      <c r="B2948" s="46">
        <v>14053693</v>
      </c>
      <c r="C2948" s="46">
        <v>14053693</v>
      </c>
      <c r="D2948" s="49">
        <f t="shared" si="91"/>
        <v>0</v>
      </c>
    </row>
    <row r="2949" spans="1:4">
      <c r="A2949" s="7" t="s">
        <v>2033</v>
      </c>
      <c r="B2949" s="46">
        <v>202800</v>
      </c>
      <c r="C2949" s="46">
        <v>202800</v>
      </c>
      <c r="D2949" s="49">
        <f t="shared" si="91"/>
        <v>0</v>
      </c>
    </row>
    <row r="2950" spans="1:4">
      <c r="A2950" s="7" t="str">
        <f>"MAZDA E 2200/D HLW-292"</f>
        <v>MAZDA E 2200/D HLW-292</v>
      </c>
      <c r="B2950" s="46">
        <v>3398000</v>
      </c>
      <c r="C2950" s="46">
        <v>3398000</v>
      </c>
      <c r="D2950" s="49">
        <f t="shared" si="91"/>
        <v>0</v>
      </c>
    </row>
    <row r="2951" spans="1:4">
      <c r="A2951" s="7" t="s">
        <v>2034</v>
      </c>
      <c r="B2951" s="46">
        <v>1650000</v>
      </c>
      <c r="C2951" s="46">
        <v>1650000</v>
      </c>
      <c r="D2951" s="49">
        <f t="shared" si="91"/>
        <v>0</v>
      </c>
    </row>
    <row r="2952" spans="1:4">
      <c r="A2952" s="7" t="s">
        <v>2035</v>
      </c>
      <c r="B2952" s="46">
        <v>76000</v>
      </c>
      <c r="C2952" s="46">
        <v>76000</v>
      </c>
      <c r="D2952" s="49">
        <f t="shared" si="91"/>
        <v>0</v>
      </c>
    </row>
    <row r="2953" spans="1:4">
      <c r="A2953" s="7" t="s">
        <v>2036</v>
      </c>
      <c r="B2953" s="46">
        <v>3150299</v>
      </c>
      <c r="C2953" s="46">
        <v>3150299</v>
      </c>
      <c r="D2953" s="49">
        <f t="shared" si="91"/>
        <v>0</v>
      </c>
    </row>
    <row r="2954" spans="1:4">
      <c r="A2954" s="7" t="str">
        <f>"Opel Corsa 05/04/221"</f>
        <v>Opel Corsa 05/04/221</v>
      </c>
      <c r="B2954" s="46">
        <v>2479520</v>
      </c>
      <c r="C2954" s="46">
        <v>2479520</v>
      </c>
      <c r="D2954" s="49">
        <f t="shared" si="91"/>
        <v>0</v>
      </c>
    </row>
    <row r="2955" spans="1:4">
      <c r="A2955" s="7" t="str">
        <f>"Toyota Dyna 06/01/208"</f>
        <v>Toyota Dyna 06/01/208</v>
      </c>
      <c r="B2955" s="46">
        <v>4458333</v>
      </c>
      <c r="C2955" s="46">
        <v>4458333</v>
      </c>
      <c r="D2955" s="49">
        <f t="shared" si="91"/>
        <v>0</v>
      </c>
    </row>
    <row r="2956" spans="1:4">
      <c r="A2956" s="7" t="s">
        <v>2037</v>
      </c>
      <c r="B2956" s="46">
        <v>8716990</v>
      </c>
      <c r="C2956" s="46">
        <v>8716990</v>
      </c>
      <c r="D2956" s="49">
        <f t="shared" si="91"/>
        <v>0</v>
      </c>
    </row>
    <row r="2957" spans="1:4">
      <c r="A2957" s="7" t="s">
        <v>2038</v>
      </c>
      <c r="B2957" s="46">
        <v>2989465</v>
      </c>
      <c r="C2957" s="46">
        <v>2989465</v>
      </c>
      <c r="D2957" s="49">
        <f t="shared" si="91"/>
        <v>0</v>
      </c>
    </row>
    <row r="2958" spans="1:4">
      <c r="A2958" s="7" t="s">
        <v>2039</v>
      </c>
      <c r="B2958" s="46">
        <v>1530000</v>
      </c>
      <c r="C2958" s="46">
        <v>1530000</v>
      </c>
      <c r="D2958" s="49">
        <f t="shared" si="91"/>
        <v>0</v>
      </c>
    </row>
    <row r="2959" spans="1:4">
      <c r="A2959" s="7" t="s">
        <v>2040</v>
      </c>
      <c r="B2959" s="46">
        <v>3812375</v>
      </c>
      <c r="C2959" s="46">
        <v>3812375</v>
      </c>
      <c r="D2959" s="49">
        <f t="shared" si="91"/>
        <v>0</v>
      </c>
    </row>
    <row r="2960" spans="1:4">
      <c r="A2960" s="28" t="s">
        <v>2118</v>
      </c>
      <c r="B2960" s="29">
        <f>SUM(B2937:B2959)</f>
        <v>93905170</v>
      </c>
      <c r="C2960" s="29">
        <f t="shared" ref="C2960:D2960" si="92">SUM(C2937:C2959)</f>
        <v>59647334</v>
      </c>
      <c r="D2960" s="58">
        <f t="shared" si="92"/>
        <v>34257836</v>
      </c>
    </row>
    <row r="2961" spans="1:4">
      <c r="A2961" s="20" t="s">
        <v>2057</v>
      </c>
      <c r="B2961" s="46">
        <v>54507458</v>
      </c>
      <c r="C2961" s="46">
        <v>52648505</v>
      </c>
      <c r="D2961" s="49">
        <f t="shared" si="91"/>
        <v>1858953</v>
      </c>
    </row>
    <row r="2962" spans="1:4">
      <c r="A2962" s="20" t="s">
        <v>2059</v>
      </c>
      <c r="B2962" s="46">
        <v>36551723</v>
      </c>
      <c r="C2962" s="46">
        <v>27379070</v>
      </c>
      <c r="D2962" s="49">
        <f t="shared" si="91"/>
        <v>9172653</v>
      </c>
    </row>
    <row r="2963" spans="1:4">
      <c r="A2963" s="20" t="s">
        <v>2103</v>
      </c>
      <c r="B2963" s="46">
        <v>19312827</v>
      </c>
      <c r="C2963" s="46">
        <v>19251834</v>
      </c>
      <c r="D2963" s="49">
        <f t="shared" si="91"/>
        <v>60993</v>
      </c>
    </row>
    <row r="2964" spans="1:4">
      <c r="A2964" s="20" t="s">
        <v>2060</v>
      </c>
      <c r="B2964" s="46">
        <v>18919437</v>
      </c>
      <c r="C2964" s="46">
        <v>18088108</v>
      </c>
      <c r="D2964" s="49">
        <f t="shared" si="91"/>
        <v>831329</v>
      </c>
    </row>
    <row r="2965" spans="1:4">
      <c r="A2965" s="20" t="s">
        <v>2061</v>
      </c>
      <c r="B2965" s="46">
        <v>2309379</v>
      </c>
      <c r="C2965" s="46">
        <v>2309379</v>
      </c>
      <c r="D2965" s="49">
        <f t="shared" si="91"/>
        <v>0</v>
      </c>
    </row>
    <row r="2966" spans="1:4">
      <c r="A2966" s="20" t="s">
        <v>2062</v>
      </c>
      <c r="B2966" s="46">
        <v>22615691</v>
      </c>
      <c r="C2966" s="46">
        <v>14839524</v>
      </c>
      <c r="D2966" s="49">
        <f t="shared" si="91"/>
        <v>7776167</v>
      </c>
    </row>
    <row r="2967" spans="1:4">
      <c r="A2967" s="20" t="s">
        <v>2063</v>
      </c>
      <c r="B2967" s="46">
        <v>257733662</v>
      </c>
      <c r="C2967" s="46">
        <v>251002751</v>
      </c>
      <c r="D2967" s="49">
        <f t="shared" si="91"/>
        <v>6730911</v>
      </c>
    </row>
    <row r="2968" spans="1:4">
      <c r="A2968" s="7" t="s">
        <v>2064</v>
      </c>
      <c r="B2968" s="46">
        <v>116757589</v>
      </c>
      <c r="C2968" s="46">
        <v>80361942</v>
      </c>
      <c r="D2968" s="49">
        <f t="shared" si="91"/>
        <v>36395647</v>
      </c>
    </row>
    <row r="2969" spans="1:4">
      <c r="A2969" s="30" t="s">
        <v>2119</v>
      </c>
      <c r="B2969" s="29">
        <f>SUM(B2961:B2968)</f>
        <v>528707766</v>
      </c>
      <c r="C2969" s="29">
        <f>SUM(C2961:C2968)</f>
        <v>465881113</v>
      </c>
      <c r="D2969" s="58">
        <f t="shared" si="91"/>
        <v>62826653</v>
      </c>
    </row>
    <row r="2970" spans="1:4">
      <c r="A2970" s="20" t="s">
        <v>2120</v>
      </c>
      <c r="B2970" s="46">
        <v>71160</v>
      </c>
      <c r="C2970" s="46"/>
      <c r="D2970" s="49">
        <f t="shared" si="91"/>
        <v>71160</v>
      </c>
    </row>
    <row r="2971" spans="1:4">
      <c r="A2971" s="20" t="s">
        <v>2121</v>
      </c>
      <c r="B2971" s="46">
        <v>4020000</v>
      </c>
      <c r="C2971" s="46"/>
      <c r="D2971" s="49">
        <f t="shared" si="91"/>
        <v>4020000</v>
      </c>
    </row>
    <row r="2972" spans="1:4">
      <c r="A2972" s="20" t="s">
        <v>2122</v>
      </c>
      <c r="B2972" s="46">
        <v>65800000</v>
      </c>
      <c r="C2972" s="46"/>
      <c r="D2972" s="49">
        <f t="shared" si="91"/>
        <v>65800000</v>
      </c>
    </row>
    <row r="2973" spans="1:4">
      <c r="A2973" s="20" t="s">
        <v>2123</v>
      </c>
      <c r="B2973" s="46">
        <v>3000000</v>
      </c>
      <c r="C2973" s="46"/>
      <c r="D2973" s="49">
        <f t="shared" si="91"/>
        <v>3000000</v>
      </c>
    </row>
    <row r="2974" spans="1:4">
      <c r="A2974" s="20" t="s">
        <v>2124</v>
      </c>
      <c r="B2974" s="46">
        <v>3130000</v>
      </c>
      <c r="C2974" s="46"/>
      <c r="D2974" s="49">
        <f t="shared" si="91"/>
        <v>3130000</v>
      </c>
    </row>
    <row r="2975" spans="1:4">
      <c r="A2975" s="20" t="s">
        <v>2125</v>
      </c>
      <c r="B2975" s="46">
        <v>11000</v>
      </c>
      <c r="C2975" s="46"/>
      <c r="D2975" s="49">
        <f t="shared" si="91"/>
        <v>11000</v>
      </c>
    </row>
    <row r="2976" spans="1:4">
      <c r="A2976" s="28" t="s">
        <v>2126</v>
      </c>
      <c r="B2976" s="29">
        <f>SUM(B2970:B2975)</f>
        <v>76032160</v>
      </c>
      <c r="C2976" s="29">
        <f>SUM(C2970:C2975)</f>
        <v>0</v>
      </c>
      <c r="D2976" s="58">
        <f>SUM(D2970:D2975)</f>
        <v>76032160</v>
      </c>
    </row>
    <row r="2977" spans="1:4">
      <c r="A2977" s="31" t="s">
        <v>2127</v>
      </c>
      <c r="B2977" s="44">
        <f>B2976+B2969+B2960+B2936+B2479+B2415+B2405+B2401+B2370+B2188+B1983</f>
        <v>3512964856</v>
      </c>
      <c r="C2977" s="44">
        <f t="shared" ref="C2977:D2977" si="93">C2976+C2969+C2960+C2936+C2479+C2415+C2405+C2401+C2370+C2188+C1983</f>
        <v>1350495470</v>
      </c>
      <c r="D2977" s="59">
        <f t="shared" si="93"/>
        <v>2162469386</v>
      </c>
    </row>
    <row r="2978" spans="1:4" ht="15.75" thickBot="1">
      <c r="A2978" s="32" t="s">
        <v>2128</v>
      </c>
      <c r="B2978" s="45">
        <f>B2977+B1875+B33</f>
        <v>19518635883</v>
      </c>
      <c r="C2978" s="45">
        <f t="shared" ref="C2978:D2978" si="94">C2977+C1875+C33</f>
        <v>5421898382</v>
      </c>
      <c r="D2978" s="60">
        <f t="shared" si="94"/>
        <v>14096737501</v>
      </c>
    </row>
    <row r="2981" spans="1:4" ht="15.75" thickBot="1"/>
    <row r="2982" spans="1:4">
      <c r="A2982" s="33" t="s">
        <v>2129</v>
      </c>
      <c r="B2982" s="34">
        <v>2475818205</v>
      </c>
      <c r="C2982" s="34">
        <v>959743713</v>
      </c>
      <c r="D2982" s="39">
        <f t="shared" ref="D2982" si="95">B2982-C2982</f>
        <v>1516074492</v>
      </c>
    </row>
    <row r="2983" spans="1:4">
      <c r="A2983" s="7" t="s">
        <v>2130</v>
      </c>
      <c r="B2983" s="21">
        <v>76032160</v>
      </c>
      <c r="C2983" s="21"/>
      <c r="D2983" s="41">
        <f t="shared" ref="D2983" si="96">B2983-C2983</f>
        <v>76032160</v>
      </c>
    </row>
    <row r="2984" spans="1:4" ht="15.75" thickBot="1">
      <c r="A2984" s="35" t="s">
        <v>2131</v>
      </c>
      <c r="B2984" s="36">
        <f>B2978-B2982-B2983</f>
        <v>16966785518</v>
      </c>
      <c r="C2984" s="36">
        <f>C2978-C2982-C2983</f>
        <v>4462154669</v>
      </c>
      <c r="D2984" s="37">
        <f>D2978-D2982-D2983</f>
        <v>12504630849</v>
      </c>
    </row>
    <row r="2985" spans="1:4" ht="15.75" thickBot="1"/>
    <row r="2986" spans="1:4">
      <c r="A2986" s="33" t="s">
        <v>2132</v>
      </c>
      <c r="B2986" s="38">
        <v>1069387296</v>
      </c>
      <c r="C2986" s="38">
        <v>343853796</v>
      </c>
      <c r="D2986" s="39">
        <f t="shared" ref="D2986:D2991" si="97">B2986-C2986</f>
        <v>725533500</v>
      </c>
    </row>
    <row r="2987" spans="1:4">
      <c r="A2987" s="7" t="s">
        <v>2133</v>
      </c>
      <c r="B2987" s="40">
        <v>124577216</v>
      </c>
      <c r="C2987" s="40">
        <v>74886071</v>
      </c>
      <c r="D2987" s="41">
        <f t="shared" si="97"/>
        <v>49691145</v>
      </c>
    </row>
    <row r="2988" spans="1:4">
      <c r="A2988" s="7" t="s">
        <v>2133</v>
      </c>
      <c r="B2988" s="40">
        <v>5656483</v>
      </c>
      <c r="C2988" s="40">
        <v>5656483</v>
      </c>
      <c r="D2988" s="41">
        <f t="shared" si="97"/>
        <v>0</v>
      </c>
    </row>
    <row r="2989" spans="1:4">
      <c r="A2989" s="7" t="s">
        <v>2134</v>
      </c>
      <c r="B2989" s="40">
        <v>1014461374</v>
      </c>
      <c r="C2989" s="40">
        <v>280342438</v>
      </c>
      <c r="D2989" s="41">
        <f t="shared" si="97"/>
        <v>734118936</v>
      </c>
    </row>
    <row r="2990" spans="1:4">
      <c r="A2990" s="7" t="s">
        <v>2135</v>
      </c>
      <c r="B2990" s="40">
        <v>257733662</v>
      </c>
      <c r="C2990" s="40">
        <v>251002751</v>
      </c>
      <c r="D2990" s="41">
        <f t="shared" si="97"/>
        <v>6730911</v>
      </c>
    </row>
    <row r="2991" spans="1:4">
      <c r="A2991" s="7" t="s">
        <v>2136</v>
      </c>
      <c r="B2991" s="40">
        <v>4002174</v>
      </c>
      <c r="C2991" s="40">
        <v>4002174</v>
      </c>
      <c r="D2991" s="41">
        <f t="shared" si="97"/>
        <v>0</v>
      </c>
    </row>
    <row r="2992" spans="1:4" ht="15.75" thickBot="1">
      <c r="A2992" s="35" t="s">
        <v>2137</v>
      </c>
      <c r="B2992" s="42">
        <f>SUM(B2986:B2991)</f>
        <v>2475818205</v>
      </c>
      <c r="C2992" s="42">
        <f>SUM(C2986:C2991)</f>
        <v>959743713</v>
      </c>
      <c r="D2992" s="43">
        <f>SUM(D2986:D2991)</f>
        <v>1516074492</v>
      </c>
    </row>
  </sheetData>
  <mergeCells count="1">
    <mergeCell ref="A1:D1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A2" sqref="A2"/>
    </sheetView>
  </sheetViews>
  <sheetFormatPr defaultColWidth="9.140625" defaultRowHeight="12.75"/>
  <cols>
    <col min="1" max="1" width="34.140625" style="62" customWidth="1"/>
    <col min="2" max="2" width="15.42578125" style="62" customWidth="1"/>
    <col min="3" max="3" width="13.7109375" style="62" bestFit="1" customWidth="1"/>
    <col min="4" max="4" width="15.7109375" style="62" customWidth="1"/>
    <col min="5" max="5" width="17.42578125" style="62" bestFit="1" customWidth="1"/>
    <col min="6" max="6" width="13.7109375" style="62" bestFit="1" customWidth="1"/>
    <col min="7" max="7" width="15.85546875" style="62" customWidth="1"/>
    <col min="8" max="8" width="9.140625" style="62"/>
    <col min="9" max="9" width="10" style="62" customWidth="1"/>
    <col min="10" max="256" width="9.140625" style="62"/>
    <col min="257" max="257" width="34.140625" style="62" customWidth="1"/>
    <col min="258" max="258" width="15.42578125" style="62" customWidth="1"/>
    <col min="259" max="259" width="13.7109375" style="62" bestFit="1" customWidth="1"/>
    <col min="260" max="260" width="15.7109375" style="62" customWidth="1"/>
    <col min="261" max="261" width="17.42578125" style="62" bestFit="1" customWidth="1"/>
    <col min="262" max="262" width="13.7109375" style="62" bestFit="1" customWidth="1"/>
    <col min="263" max="263" width="15.85546875" style="62" customWidth="1"/>
    <col min="264" max="264" width="9.140625" style="62"/>
    <col min="265" max="265" width="10" style="62" customWidth="1"/>
    <col min="266" max="512" width="9.140625" style="62"/>
    <col min="513" max="513" width="34.140625" style="62" customWidth="1"/>
    <col min="514" max="514" width="15.42578125" style="62" customWidth="1"/>
    <col min="515" max="515" width="13.7109375" style="62" bestFit="1" customWidth="1"/>
    <col min="516" max="516" width="15.7109375" style="62" customWidth="1"/>
    <col min="517" max="517" width="17.42578125" style="62" bestFit="1" customWidth="1"/>
    <col min="518" max="518" width="13.7109375" style="62" bestFit="1" customWidth="1"/>
    <col min="519" max="519" width="15.85546875" style="62" customWidth="1"/>
    <col min="520" max="520" width="9.140625" style="62"/>
    <col min="521" max="521" width="10" style="62" customWidth="1"/>
    <col min="522" max="768" width="9.140625" style="62"/>
    <col min="769" max="769" width="34.140625" style="62" customWidth="1"/>
    <col min="770" max="770" width="15.42578125" style="62" customWidth="1"/>
    <col min="771" max="771" width="13.7109375" style="62" bestFit="1" customWidth="1"/>
    <col min="772" max="772" width="15.7109375" style="62" customWidth="1"/>
    <col min="773" max="773" width="17.42578125" style="62" bestFit="1" customWidth="1"/>
    <col min="774" max="774" width="13.7109375" style="62" bestFit="1" customWidth="1"/>
    <col min="775" max="775" width="15.85546875" style="62" customWidth="1"/>
    <col min="776" max="776" width="9.140625" style="62"/>
    <col min="777" max="777" width="10" style="62" customWidth="1"/>
    <col min="778" max="1024" width="9.140625" style="62"/>
    <col min="1025" max="1025" width="34.140625" style="62" customWidth="1"/>
    <col min="1026" max="1026" width="15.42578125" style="62" customWidth="1"/>
    <col min="1027" max="1027" width="13.7109375" style="62" bestFit="1" customWidth="1"/>
    <col min="1028" max="1028" width="15.7109375" style="62" customWidth="1"/>
    <col min="1029" max="1029" width="17.42578125" style="62" bestFit="1" customWidth="1"/>
    <col min="1030" max="1030" width="13.7109375" style="62" bestFit="1" customWidth="1"/>
    <col min="1031" max="1031" width="15.85546875" style="62" customWidth="1"/>
    <col min="1032" max="1032" width="9.140625" style="62"/>
    <col min="1033" max="1033" width="10" style="62" customWidth="1"/>
    <col min="1034" max="1280" width="9.140625" style="62"/>
    <col min="1281" max="1281" width="34.140625" style="62" customWidth="1"/>
    <col min="1282" max="1282" width="15.42578125" style="62" customWidth="1"/>
    <col min="1283" max="1283" width="13.7109375" style="62" bestFit="1" customWidth="1"/>
    <col min="1284" max="1284" width="15.7109375" style="62" customWidth="1"/>
    <col min="1285" max="1285" width="17.42578125" style="62" bestFit="1" customWidth="1"/>
    <col min="1286" max="1286" width="13.7109375" style="62" bestFit="1" customWidth="1"/>
    <col min="1287" max="1287" width="15.85546875" style="62" customWidth="1"/>
    <col min="1288" max="1288" width="9.140625" style="62"/>
    <col min="1289" max="1289" width="10" style="62" customWidth="1"/>
    <col min="1290" max="1536" width="9.140625" style="62"/>
    <col min="1537" max="1537" width="34.140625" style="62" customWidth="1"/>
    <col min="1538" max="1538" width="15.42578125" style="62" customWidth="1"/>
    <col min="1539" max="1539" width="13.7109375" style="62" bestFit="1" customWidth="1"/>
    <col min="1540" max="1540" width="15.7109375" style="62" customWidth="1"/>
    <col min="1541" max="1541" width="17.42578125" style="62" bestFit="1" customWidth="1"/>
    <col min="1542" max="1542" width="13.7109375" style="62" bestFit="1" customWidth="1"/>
    <col min="1543" max="1543" width="15.85546875" style="62" customWidth="1"/>
    <col min="1544" max="1544" width="9.140625" style="62"/>
    <col min="1545" max="1545" width="10" style="62" customWidth="1"/>
    <col min="1546" max="1792" width="9.140625" style="62"/>
    <col min="1793" max="1793" width="34.140625" style="62" customWidth="1"/>
    <col min="1794" max="1794" width="15.42578125" style="62" customWidth="1"/>
    <col min="1795" max="1795" width="13.7109375" style="62" bestFit="1" customWidth="1"/>
    <col min="1796" max="1796" width="15.7109375" style="62" customWidth="1"/>
    <col min="1797" max="1797" width="17.42578125" style="62" bestFit="1" customWidth="1"/>
    <col min="1798" max="1798" width="13.7109375" style="62" bestFit="1" customWidth="1"/>
    <col min="1799" max="1799" width="15.85546875" style="62" customWidth="1"/>
    <col min="1800" max="1800" width="9.140625" style="62"/>
    <col min="1801" max="1801" width="10" style="62" customWidth="1"/>
    <col min="1802" max="2048" width="9.140625" style="62"/>
    <col min="2049" max="2049" width="34.140625" style="62" customWidth="1"/>
    <col min="2050" max="2050" width="15.42578125" style="62" customWidth="1"/>
    <col min="2051" max="2051" width="13.7109375" style="62" bestFit="1" customWidth="1"/>
    <col min="2052" max="2052" width="15.7109375" style="62" customWidth="1"/>
    <col min="2053" max="2053" width="17.42578125" style="62" bestFit="1" customWidth="1"/>
    <col min="2054" max="2054" width="13.7109375" style="62" bestFit="1" customWidth="1"/>
    <col min="2055" max="2055" width="15.85546875" style="62" customWidth="1"/>
    <col min="2056" max="2056" width="9.140625" style="62"/>
    <col min="2057" max="2057" width="10" style="62" customWidth="1"/>
    <col min="2058" max="2304" width="9.140625" style="62"/>
    <col min="2305" max="2305" width="34.140625" style="62" customWidth="1"/>
    <col min="2306" max="2306" width="15.42578125" style="62" customWidth="1"/>
    <col min="2307" max="2307" width="13.7109375" style="62" bestFit="1" customWidth="1"/>
    <col min="2308" max="2308" width="15.7109375" style="62" customWidth="1"/>
    <col min="2309" max="2309" width="17.42578125" style="62" bestFit="1" customWidth="1"/>
    <col min="2310" max="2310" width="13.7109375" style="62" bestFit="1" customWidth="1"/>
    <col min="2311" max="2311" width="15.85546875" style="62" customWidth="1"/>
    <col min="2312" max="2312" width="9.140625" style="62"/>
    <col min="2313" max="2313" width="10" style="62" customWidth="1"/>
    <col min="2314" max="2560" width="9.140625" style="62"/>
    <col min="2561" max="2561" width="34.140625" style="62" customWidth="1"/>
    <col min="2562" max="2562" width="15.42578125" style="62" customWidth="1"/>
    <col min="2563" max="2563" width="13.7109375" style="62" bestFit="1" customWidth="1"/>
    <col min="2564" max="2564" width="15.7109375" style="62" customWidth="1"/>
    <col min="2565" max="2565" width="17.42578125" style="62" bestFit="1" customWidth="1"/>
    <col min="2566" max="2566" width="13.7109375" style="62" bestFit="1" customWidth="1"/>
    <col min="2567" max="2567" width="15.85546875" style="62" customWidth="1"/>
    <col min="2568" max="2568" width="9.140625" style="62"/>
    <col min="2569" max="2569" width="10" style="62" customWidth="1"/>
    <col min="2570" max="2816" width="9.140625" style="62"/>
    <col min="2817" max="2817" width="34.140625" style="62" customWidth="1"/>
    <col min="2818" max="2818" width="15.42578125" style="62" customWidth="1"/>
    <col min="2819" max="2819" width="13.7109375" style="62" bestFit="1" customWidth="1"/>
    <col min="2820" max="2820" width="15.7109375" style="62" customWidth="1"/>
    <col min="2821" max="2821" width="17.42578125" style="62" bestFit="1" customWidth="1"/>
    <col min="2822" max="2822" width="13.7109375" style="62" bestFit="1" customWidth="1"/>
    <col min="2823" max="2823" width="15.85546875" style="62" customWidth="1"/>
    <col min="2824" max="2824" width="9.140625" style="62"/>
    <col min="2825" max="2825" width="10" style="62" customWidth="1"/>
    <col min="2826" max="3072" width="9.140625" style="62"/>
    <col min="3073" max="3073" width="34.140625" style="62" customWidth="1"/>
    <col min="3074" max="3074" width="15.42578125" style="62" customWidth="1"/>
    <col min="3075" max="3075" width="13.7109375" style="62" bestFit="1" customWidth="1"/>
    <col min="3076" max="3076" width="15.7109375" style="62" customWidth="1"/>
    <col min="3077" max="3077" width="17.42578125" style="62" bestFit="1" customWidth="1"/>
    <col min="3078" max="3078" width="13.7109375" style="62" bestFit="1" customWidth="1"/>
    <col min="3079" max="3079" width="15.85546875" style="62" customWidth="1"/>
    <col min="3080" max="3080" width="9.140625" style="62"/>
    <col min="3081" max="3081" width="10" style="62" customWidth="1"/>
    <col min="3082" max="3328" width="9.140625" style="62"/>
    <col min="3329" max="3329" width="34.140625" style="62" customWidth="1"/>
    <col min="3330" max="3330" width="15.42578125" style="62" customWidth="1"/>
    <col min="3331" max="3331" width="13.7109375" style="62" bestFit="1" customWidth="1"/>
    <col min="3332" max="3332" width="15.7109375" style="62" customWidth="1"/>
    <col min="3333" max="3333" width="17.42578125" style="62" bestFit="1" customWidth="1"/>
    <col min="3334" max="3334" width="13.7109375" style="62" bestFit="1" customWidth="1"/>
    <col min="3335" max="3335" width="15.85546875" style="62" customWidth="1"/>
    <col min="3336" max="3336" width="9.140625" style="62"/>
    <col min="3337" max="3337" width="10" style="62" customWidth="1"/>
    <col min="3338" max="3584" width="9.140625" style="62"/>
    <col min="3585" max="3585" width="34.140625" style="62" customWidth="1"/>
    <col min="3586" max="3586" width="15.42578125" style="62" customWidth="1"/>
    <col min="3587" max="3587" width="13.7109375" style="62" bestFit="1" customWidth="1"/>
    <col min="3588" max="3588" width="15.7109375" style="62" customWidth="1"/>
    <col min="3589" max="3589" width="17.42578125" style="62" bestFit="1" customWidth="1"/>
    <col min="3590" max="3590" width="13.7109375" style="62" bestFit="1" customWidth="1"/>
    <col min="3591" max="3591" width="15.85546875" style="62" customWidth="1"/>
    <col min="3592" max="3592" width="9.140625" style="62"/>
    <col min="3593" max="3593" width="10" style="62" customWidth="1"/>
    <col min="3594" max="3840" width="9.140625" style="62"/>
    <col min="3841" max="3841" width="34.140625" style="62" customWidth="1"/>
    <col min="3842" max="3842" width="15.42578125" style="62" customWidth="1"/>
    <col min="3843" max="3843" width="13.7109375" style="62" bestFit="1" customWidth="1"/>
    <col min="3844" max="3844" width="15.7109375" style="62" customWidth="1"/>
    <col min="3845" max="3845" width="17.42578125" style="62" bestFit="1" customWidth="1"/>
    <col min="3846" max="3846" width="13.7109375" style="62" bestFit="1" customWidth="1"/>
    <col min="3847" max="3847" width="15.85546875" style="62" customWidth="1"/>
    <col min="3848" max="3848" width="9.140625" style="62"/>
    <col min="3849" max="3849" width="10" style="62" customWidth="1"/>
    <col min="3850" max="4096" width="9.140625" style="62"/>
    <col min="4097" max="4097" width="34.140625" style="62" customWidth="1"/>
    <col min="4098" max="4098" width="15.42578125" style="62" customWidth="1"/>
    <col min="4099" max="4099" width="13.7109375" style="62" bestFit="1" customWidth="1"/>
    <col min="4100" max="4100" width="15.7109375" style="62" customWidth="1"/>
    <col min="4101" max="4101" width="17.42578125" style="62" bestFit="1" customWidth="1"/>
    <col min="4102" max="4102" width="13.7109375" style="62" bestFit="1" customWidth="1"/>
    <col min="4103" max="4103" width="15.85546875" style="62" customWidth="1"/>
    <col min="4104" max="4104" width="9.140625" style="62"/>
    <col min="4105" max="4105" width="10" style="62" customWidth="1"/>
    <col min="4106" max="4352" width="9.140625" style="62"/>
    <col min="4353" max="4353" width="34.140625" style="62" customWidth="1"/>
    <col min="4354" max="4354" width="15.42578125" style="62" customWidth="1"/>
    <col min="4355" max="4355" width="13.7109375" style="62" bestFit="1" customWidth="1"/>
    <col min="4356" max="4356" width="15.7109375" style="62" customWidth="1"/>
    <col min="4357" max="4357" width="17.42578125" style="62" bestFit="1" customWidth="1"/>
    <col min="4358" max="4358" width="13.7109375" style="62" bestFit="1" customWidth="1"/>
    <col min="4359" max="4359" width="15.85546875" style="62" customWidth="1"/>
    <col min="4360" max="4360" width="9.140625" style="62"/>
    <col min="4361" max="4361" width="10" style="62" customWidth="1"/>
    <col min="4362" max="4608" width="9.140625" style="62"/>
    <col min="4609" max="4609" width="34.140625" style="62" customWidth="1"/>
    <col min="4610" max="4610" width="15.42578125" style="62" customWidth="1"/>
    <col min="4611" max="4611" width="13.7109375" style="62" bestFit="1" customWidth="1"/>
    <col min="4612" max="4612" width="15.7109375" style="62" customWidth="1"/>
    <col min="4613" max="4613" width="17.42578125" style="62" bestFit="1" customWidth="1"/>
    <col min="4614" max="4614" width="13.7109375" style="62" bestFit="1" customWidth="1"/>
    <col min="4615" max="4615" width="15.85546875" style="62" customWidth="1"/>
    <col min="4616" max="4616" width="9.140625" style="62"/>
    <col min="4617" max="4617" width="10" style="62" customWidth="1"/>
    <col min="4618" max="4864" width="9.140625" style="62"/>
    <col min="4865" max="4865" width="34.140625" style="62" customWidth="1"/>
    <col min="4866" max="4866" width="15.42578125" style="62" customWidth="1"/>
    <col min="4867" max="4867" width="13.7109375" style="62" bestFit="1" customWidth="1"/>
    <col min="4868" max="4868" width="15.7109375" style="62" customWidth="1"/>
    <col min="4869" max="4869" width="17.42578125" style="62" bestFit="1" customWidth="1"/>
    <col min="4870" max="4870" width="13.7109375" style="62" bestFit="1" customWidth="1"/>
    <col min="4871" max="4871" width="15.85546875" style="62" customWidth="1"/>
    <col min="4872" max="4872" width="9.140625" style="62"/>
    <col min="4873" max="4873" width="10" style="62" customWidth="1"/>
    <col min="4874" max="5120" width="9.140625" style="62"/>
    <col min="5121" max="5121" width="34.140625" style="62" customWidth="1"/>
    <col min="5122" max="5122" width="15.42578125" style="62" customWidth="1"/>
    <col min="5123" max="5123" width="13.7109375" style="62" bestFit="1" customWidth="1"/>
    <col min="5124" max="5124" width="15.7109375" style="62" customWidth="1"/>
    <col min="5125" max="5125" width="17.42578125" style="62" bestFit="1" customWidth="1"/>
    <col min="5126" max="5126" width="13.7109375" style="62" bestFit="1" customWidth="1"/>
    <col min="5127" max="5127" width="15.85546875" style="62" customWidth="1"/>
    <col min="5128" max="5128" width="9.140625" style="62"/>
    <col min="5129" max="5129" width="10" style="62" customWidth="1"/>
    <col min="5130" max="5376" width="9.140625" style="62"/>
    <col min="5377" max="5377" width="34.140625" style="62" customWidth="1"/>
    <col min="5378" max="5378" width="15.42578125" style="62" customWidth="1"/>
    <col min="5379" max="5379" width="13.7109375" style="62" bestFit="1" customWidth="1"/>
    <col min="5380" max="5380" width="15.7109375" style="62" customWidth="1"/>
    <col min="5381" max="5381" width="17.42578125" style="62" bestFit="1" customWidth="1"/>
    <col min="5382" max="5382" width="13.7109375" style="62" bestFit="1" customWidth="1"/>
    <col min="5383" max="5383" width="15.85546875" style="62" customWidth="1"/>
    <col min="5384" max="5384" width="9.140625" style="62"/>
    <col min="5385" max="5385" width="10" style="62" customWidth="1"/>
    <col min="5386" max="5632" width="9.140625" style="62"/>
    <col min="5633" max="5633" width="34.140625" style="62" customWidth="1"/>
    <col min="5634" max="5634" width="15.42578125" style="62" customWidth="1"/>
    <col min="5635" max="5635" width="13.7109375" style="62" bestFit="1" customWidth="1"/>
    <col min="5636" max="5636" width="15.7109375" style="62" customWidth="1"/>
    <col min="5637" max="5637" width="17.42578125" style="62" bestFit="1" customWidth="1"/>
    <col min="5638" max="5638" width="13.7109375" style="62" bestFit="1" customWidth="1"/>
    <col min="5639" max="5639" width="15.85546875" style="62" customWidth="1"/>
    <col min="5640" max="5640" width="9.140625" style="62"/>
    <col min="5641" max="5641" width="10" style="62" customWidth="1"/>
    <col min="5642" max="5888" width="9.140625" style="62"/>
    <col min="5889" max="5889" width="34.140625" style="62" customWidth="1"/>
    <col min="5890" max="5890" width="15.42578125" style="62" customWidth="1"/>
    <col min="5891" max="5891" width="13.7109375" style="62" bestFit="1" customWidth="1"/>
    <col min="5892" max="5892" width="15.7109375" style="62" customWidth="1"/>
    <col min="5893" max="5893" width="17.42578125" style="62" bestFit="1" customWidth="1"/>
    <col min="5894" max="5894" width="13.7109375" style="62" bestFit="1" customWidth="1"/>
    <col min="5895" max="5895" width="15.85546875" style="62" customWidth="1"/>
    <col min="5896" max="5896" width="9.140625" style="62"/>
    <col min="5897" max="5897" width="10" style="62" customWidth="1"/>
    <col min="5898" max="6144" width="9.140625" style="62"/>
    <col min="6145" max="6145" width="34.140625" style="62" customWidth="1"/>
    <col min="6146" max="6146" width="15.42578125" style="62" customWidth="1"/>
    <col min="6147" max="6147" width="13.7109375" style="62" bestFit="1" customWidth="1"/>
    <col min="6148" max="6148" width="15.7109375" style="62" customWidth="1"/>
    <col min="6149" max="6149" width="17.42578125" style="62" bestFit="1" customWidth="1"/>
    <col min="6150" max="6150" width="13.7109375" style="62" bestFit="1" customWidth="1"/>
    <col min="6151" max="6151" width="15.85546875" style="62" customWidth="1"/>
    <col min="6152" max="6152" width="9.140625" style="62"/>
    <col min="6153" max="6153" width="10" style="62" customWidth="1"/>
    <col min="6154" max="6400" width="9.140625" style="62"/>
    <col min="6401" max="6401" width="34.140625" style="62" customWidth="1"/>
    <col min="6402" max="6402" width="15.42578125" style="62" customWidth="1"/>
    <col min="6403" max="6403" width="13.7109375" style="62" bestFit="1" customWidth="1"/>
    <col min="6404" max="6404" width="15.7109375" style="62" customWidth="1"/>
    <col min="6405" max="6405" width="17.42578125" style="62" bestFit="1" customWidth="1"/>
    <col min="6406" max="6406" width="13.7109375" style="62" bestFit="1" customWidth="1"/>
    <col min="6407" max="6407" width="15.85546875" style="62" customWidth="1"/>
    <col min="6408" max="6408" width="9.140625" style="62"/>
    <col min="6409" max="6409" width="10" style="62" customWidth="1"/>
    <col min="6410" max="6656" width="9.140625" style="62"/>
    <col min="6657" max="6657" width="34.140625" style="62" customWidth="1"/>
    <col min="6658" max="6658" width="15.42578125" style="62" customWidth="1"/>
    <col min="6659" max="6659" width="13.7109375" style="62" bestFit="1" customWidth="1"/>
    <col min="6660" max="6660" width="15.7109375" style="62" customWidth="1"/>
    <col min="6661" max="6661" width="17.42578125" style="62" bestFit="1" customWidth="1"/>
    <col min="6662" max="6662" width="13.7109375" style="62" bestFit="1" customWidth="1"/>
    <col min="6663" max="6663" width="15.85546875" style="62" customWidth="1"/>
    <col min="6664" max="6664" width="9.140625" style="62"/>
    <col min="6665" max="6665" width="10" style="62" customWidth="1"/>
    <col min="6666" max="6912" width="9.140625" style="62"/>
    <col min="6913" max="6913" width="34.140625" style="62" customWidth="1"/>
    <col min="6914" max="6914" width="15.42578125" style="62" customWidth="1"/>
    <col min="6915" max="6915" width="13.7109375" style="62" bestFit="1" customWidth="1"/>
    <col min="6916" max="6916" width="15.7109375" style="62" customWidth="1"/>
    <col min="6917" max="6917" width="17.42578125" style="62" bestFit="1" customWidth="1"/>
    <col min="6918" max="6918" width="13.7109375" style="62" bestFit="1" customWidth="1"/>
    <col min="6919" max="6919" width="15.85546875" style="62" customWidth="1"/>
    <col min="6920" max="6920" width="9.140625" style="62"/>
    <col min="6921" max="6921" width="10" style="62" customWidth="1"/>
    <col min="6922" max="7168" width="9.140625" style="62"/>
    <col min="7169" max="7169" width="34.140625" style="62" customWidth="1"/>
    <col min="7170" max="7170" width="15.42578125" style="62" customWidth="1"/>
    <col min="7171" max="7171" width="13.7109375" style="62" bestFit="1" customWidth="1"/>
    <col min="7172" max="7172" width="15.7109375" style="62" customWidth="1"/>
    <col min="7173" max="7173" width="17.42578125" style="62" bestFit="1" customWidth="1"/>
    <col min="7174" max="7174" width="13.7109375" style="62" bestFit="1" customWidth="1"/>
    <col min="7175" max="7175" width="15.85546875" style="62" customWidth="1"/>
    <col min="7176" max="7176" width="9.140625" style="62"/>
    <col min="7177" max="7177" width="10" style="62" customWidth="1"/>
    <col min="7178" max="7424" width="9.140625" style="62"/>
    <col min="7425" max="7425" width="34.140625" style="62" customWidth="1"/>
    <col min="7426" max="7426" width="15.42578125" style="62" customWidth="1"/>
    <col min="7427" max="7427" width="13.7109375" style="62" bestFit="1" customWidth="1"/>
    <col min="7428" max="7428" width="15.7109375" style="62" customWidth="1"/>
    <col min="7429" max="7429" width="17.42578125" style="62" bestFit="1" customWidth="1"/>
    <col min="7430" max="7430" width="13.7109375" style="62" bestFit="1" customWidth="1"/>
    <col min="7431" max="7431" width="15.85546875" style="62" customWidth="1"/>
    <col min="7432" max="7432" width="9.140625" style="62"/>
    <col min="7433" max="7433" width="10" style="62" customWidth="1"/>
    <col min="7434" max="7680" width="9.140625" style="62"/>
    <col min="7681" max="7681" width="34.140625" style="62" customWidth="1"/>
    <col min="7682" max="7682" width="15.42578125" style="62" customWidth="1"/>
    <col min="7683" max="7683" width="13.7109375" style="62" bestFit="1" customWidth="1"/>
    <col min="7684" max="7684" width="15.7109375" style="62" customWidth="1"/>
    <col min="7685" max="7685" width="17.42578125" style="62" bestFit="1" customWidth="1"/>
    <col min="7686" max="7686" width="13.7109375" style="62" bestFit="1" customWidth="1"/>
    <col min="7687" max="7687" width="15.85546875" style="62" customWidth="1"/>
    <col min="7688" max="7688" width="9.140625" style="62"/>
    <col min="7689" max="7689" width="10" style="62" customWidth="1"/>
    <col min="7690" max="7936" width="9.140625" style="62"/>
    <col min="7937" max="7937" width="34.140625" style="62" customWidth="1"/>
    <col min="7938" max="7938" width="15.42578125" style="62" customWidth="1"/>
    <col min="7939" max="7939" width="13.7109375" style="62" bestFit="1" customWidth="1"/>
    <col min="7940" max="7940" width="15.7109375" style="62" customWidth="1"/>
    <col min="7941" max="7941" width="17.42578125" style="62" bestFit="1" customWidth="1"/>
    <col min="7942" max="7942" width="13.7109375" style="62" bestFit="1" customWidth="1"/>
    <col min="7943" max="7943" width="15.85546875" style="62" customWidth="1"/>
    <col min="7944" max="7944" width="9.140625" style="62"/>
    <col min="7945" max="7945" width="10" style="62" customWidth="1"/>
    <col min="7946" max="8192" width="9.140625" style="62"/>
    <col min="8193" max="8193" width="34.140625" style="62" customWidth="1"/>
    <col min="8194" max="8194" width="15.42578125" style="62" customWidth="1"/>
    <col min="8195" max="8195" width="13.7109375" style="62" bestFit="1" customWidth="1"/>
    <col min="8196" max="8196" width="15.7109375" style="62" customWidth="1"/>
    <col min="8197" max="8197" width="17.42578125" style="62" bestFit="1" customWidth="1"/>
    <col min="8198" max="8198" width="13.7109375" style="62" bestFit="1" customWidth="1"/>
    <col min="8199" max="8199" width="15.85546875" style="62" customWidth="1"/>
    <col min="8200" max="8200" width="9.140625" style="62"/>
    <col min="8201" max="8201" width="10" style="62" customWidth="1"/>
    <col min="8202" max="8448" width="9.140625" style="62"/>
    <col min="8449" max="8449" width="34.140625" style="62" customWidth="1"/>
    <col min="8450" max="8450" width="15.42578125" style="62" customWidth="1"/>
    <col min="8451" max="8451" width="13.7109375" style="62" bestFit="1" customWidth="1"/>
    <col min="8452" max="8452" width="15.7109375" style="62" customWidth="1"/>
    <col min="8453" max="8453" width="17.42578125" style="62" bestFit="1" customWidth="1"/>
    <col min="8454" max="8454" width="13.7109375" style="62" bestFit="1" customWidth="1"/>
    <col min="8455" max="8455" width="15.85546875" style="62" customWidth="1"/>
    <col min="8456" max="8456" width="9.140625" style="62"/>
    <col min="8457" max="8457" width="10" style="62" customWidth="1"/>
    <col min="8458" max="8704" width="9.140625" style="62"/>
    <col min="8705" max="8705" width="34.140625" style="62" customWidth="1"/>
    <col min="8706" max="8706" width="15.42578125" style="62" customWidth="1"/>
    <col min="8707" max="8707" width="13.7109375" style="62" bestFit="1" customWidth="1"/>
    <col min="8708" max="8708" width="15.7109375" style="62" customWidth="1"/>
    <col min="8709" max="8709" width="17.42578125" style="62" bestFit="1" customWidth="1"/>
    <col min="8710" max="8710" width="13.7109375" style="62" bestFit="1" customWidth="1"/>
    <col min="8711" max="8711" width="15.85546875" style="62" customWidth="1"/>
    <col min="8712" max="8712" width="9.140625" style="62"/>
    <col min="8713" max="8713" width="10" style="62" customWidth="1"/>
    <col min="8714" max="8960" width="9.140625" style="62"/>
    <col min="8961" max="8961" width="34.140625" style="62" customWidth="1"/>
    <col min="8962" max="8962" width="15.42578125" style="62" customWidth="1"/>
    <col min="8963" max="8963" width="13.7109375" style="62" bestFit="1" customWidth="1"/>
    <col min="8964" max="8964" width="15.7109375" style="62" customWidth="1"/>
    <col min="8965" max="8965" width="17.42578125" style="62" bestFit="1" customWidth="1"/>
    <col min="8966" max="8966" width="13.7109375" style="62" bestFit="1" customWidth="1"/>
    <col min="8967" max="8967" width="15.85546875" style="62" customWidth="1"/>
    <col min="8968" max="8968" width="9.140625" style="62"/>
    <col min="8969" max="8969" width="10" style="62" customWidth="1"/>
    <col min="8970" max="9216" width="9.140625" style="62"/>
    <col min="9217" max="9217" width="34.140625" style="62" customWidth="1"/>
    <col min="9218" max="9218" width="15.42578125" style="62" customWidth="1"/>
    <col min="9219" max="9219" width="13.7109375" style="62" bestFit="1" customWidth="1"/>
    <col min="9220" max="9220" width="15.7109375" style="62" customWidth="1"/>
    <col min="9221" max="9221" width="17.42578125" style="62" bestFit="1" customWidth="1"/>
    <col min="9222" max="9222" width="13.7109375" style="62" bestFit="1" customWidth="1"/>
    <col min="9223" max="9223" width="15.85546875" style="62" customWidth="1"/>
    <col min="9224" max="9224" width="9.140625" style="62"/>
    <col min="9225" max="9225" width="10" style="62" customWidth="1"/>
    <col min="9226" max="9472" width="9.140625" style="62"/>
    <col min="9473" max="9473" width="34.140625" style="62" customWidth="1"/>
    <col min="9474" max="9474" width="15.42578125" style="62" customWidth="1"/>
    <col min="9475" max="9475" width="13.7109375" style="62" bestFit="1" customWidth="1"/>
    <col min="9476" max="9476" width="15.7109375" style="62" customWidth="1"/>
    <col min="9477" max="9477" width="17.42578125" style="62" bestFit="1" customWidth="1"/>
    <col min="9478" max="9478" width="13.7109375" style="62" bestFit="1" customWidth="1"/>
    <col min="9479" max="9479" width="15.85546875" style="62" customWidth="1"/>
    <col min="9480" max="9480" width="9.140625" style="62"/>
    <col min="9481" max="9481" width="10" style="62" customWidth="1"/>
    <col min="9482" max="9728" width="9.140625" style="62"/>
    <col min="9729" max="9729" width="34.140625" style="62" customWidth="1"/>
    <col min="9730" max="9730" width="15.42578125" style="62" customWidth="1"/>
    <col min="9731" max="9731" width="13.7109375" style="62" bestFit="1" customWidth="1"/>
    <col min="9732" max="9732" width="15.7109375" style="62" customWidth="1"/>
    <col min="9733" max="9733" width="17.42578125" style="62" bestFit="1" customWidth="1"/>
    <col min="9734" max="9734" width="13.7109375" style="62" bestFit="1" customWidth="1"/>
    <col min="9735" max="9735" width="15.85546875" style="62" customWidth="1"/>
    <col min="9736" max="9736" width="9.140625" style="62"/>
    <col min="9737" max="9737" width="10" style="62" customWidth="1"/>
    <col min="9738" max="9984" width="9.140625" style="62"/>
    <col min="9985" max="9985" width="34.140625" style="62" customWidth="1"/>
    <col min="9986" max="9986" width="15.42578125" style="62" customWidth="1"/>
    <col min="9987" max="9987" width="13.7109375" style="62" bestFit="1" customWidth="1"/>
    <col min="9988" max="9988" width="15.7109375" style="62" customWidth="1"/>
    <col min="9989" max="9989" width="17.42578125" style="62" bestFit="1" customWidth="1"/>
    <col min="9990" max="9990" width="13.7109375" style="62" bestFit="1" customWidth="1"/>
    <col min="9991" max="9991" width="15.85546875" style="62" customWidth="1"/>
    <col min="9992" max="9992" width="9.140625" style="62"/>
    <col min="9993" max="9993" width="10" style="62" customWidth="1"/>
    <col min="9994" max="10240" width="9.140625" style="62"/>
    <col min="10241" max="10241" width="34.140625" style="62" customWidth="1"/>
    <col min="10242" max="10242" width="15.42578125" style="62" customWidth="1"/>
    <col min="10243" max="10243" width="13.7109375" style="62" bestFit="1" customWidth="1"/>
    <col min="10244" max="10244" width="15.7109375" style="62" customWidth="1"/>
    <col min="10245" max="10245" width="17.42578125" style="62" bestFit="1" customWidth="1"/>
    <col min="10246" max="10246" width="13.7109375" style="62" bestFit="1" customWidth="1"/>
    <col min="10247" max="10247" width="15.85546875" style="62" customWidth="1"/>
    <col min="10248" max="10248" width="9.140625" style="62"/>
    <col min="10249" max="10249" width="10" style="62" customWidth="1"/>
    <col min="10250" max="10496" width="9.140625" style="62"/>
    <col min="10497" max="10497" width="34.140625" style="62" customWidth="1"/>
    <col min="10498" max="10498" width="15.42578125" style="62" customWidth="1"/>
    <col min="10499" max="10499" width="13.7109375" style="62" bestFit="1" customWidth="1"/>
    <col min="10500" max="10500" width="15.7109375" style="62" customWidth="1"/>
    <col min="10501" max="10501" width="17.42578125" style="62" bestFit="1" customWidth="1"/>
    <col min="10502" max="10502" width="13.7109375" style="62" bestFit="1" customWidth="1"/>
    <col min="10503" max="10503" width="15.85546875" style="62" customWidth="1"/>
    <col min="10504" max="10504" width="9.140625" style="62"/>
    <col min="10505" max="10505" width="10" style="62" customWidth="1"/>
    <col min="10506" max="10752" width="9.140625" style="62"/>
    <col min="10753" max="10753" width="34.140625" style="62" customWidth="1"/>
    <col min="10754" max="10754" width="15.42578125" style="62" customWidth="1"/>
    <col min="10755" max="10755" width="13.7109375" style="62" bestFit="1" customWidth="1"/>
    <col min="10756" max="10756" width="15.7109375" style="62" customWidth="1"/>
    <col min="10757" max="10757" width="17.42578125" style="62" bestFit="1" customWidth="1"/>
    <col min="10758" max="10758" width="13.7109375" style="62" bestFit="1" customWidth="1"/>
    <col min="10759" max="10759" width="15.85546875" style="62" customWidth="1"/>
    <col min="10760" max="10760" width="9.140625" style="62"/>
    <col min="10761" max="10761" width="10" style="62" customWidth="1"/>
    <col min="10762" max="11008" width="9.140625" style="62"/>
    <col min="11009" max="11009" width="34.140625" style="62" customWidth="1"/>
    <col min="11010" max="11010" width="15.42578125" style="62" customWidth="1"/>
    <col min="11011" max="11011" width="13.7109375" style="62" bestFit="1" customWidth="1"/>
    <col min="11012" max="11012" width="15.7109375" style="62" customWidth="1"/>
    <col min="11013" max="11013" width="17.42578125" style="62" bestFit="1" customWidth="1"/>
    <col min="11014" max="11014" width="13.7109375" style="62" bestFit="1" customWidth="1"/>
    <col min="11015" max="11015" width="15.85546875" style="62" customWidth="1"/>
    <col min="11016" max="11016" width="9.140625" style="62"/>
    <col min="11017" max="11017" width="10" style="62" customWidth="1"/>
    <col min="11018" max="11264" width="9.140625" style="62"/>
    <col min="11265" max="11265" width="34.140625" style="62" customWidth="1"/>
    <col min="11266" max="11266" width="15.42578125" style="62" customWidth="1"/>
    <col min="11267" max="11267" width="13.7109375" style="62" bestFit="1" customWidth="1"/>
    <col min="11268" max="11268" width="15.7109375" style="62" customWidth="1"/>
    <col min="11269" max="11269" width="17.42578125" style="62" bestFit="1" customWidth="1"/>
    <col min="11270" max="11270" width="13.7109375" style="62" bestFit="1" customWidth="1"/>
    <col min="11271" max="11271" width="15.85546875" style="62" customWidth="1"/>
    <col min="11272" max="11272" width="9.140625" style="62"/>
    <col min="11273" max="11273" width="10" style="62" customWidth="1"/>
    <col min="11274" max="11520" width="9.140625" style="62"/>
    <col min="11521" max="11521" width="34.140625" style="62" customWidth="1"/>
    <col min="11522" max="11522" width="15.42578125" style="62" customWidth="1"/>
    <col min="11523" max="11523" width="13.7109375" style="62" bestFit="1" customWidth="1"/>
    <col min="11524" max="11524" width="15.7109375" style="62" customWidth="1"/>
    <col min="11525" max="11525" width="17.42578125" style="62" bestFit="1" customWidth="1"/>
    <col min="11526" max="11526" width="13.7109375" style="62" bestFit="1" customWidth="1"/>
    <col min="11527" max="11527" width="15.85546875" style="62" customWidth="1"/>
    <col min="11528" max="11528" width="9.140625" style="62"/>
    <col min="11529" max="11529" width="10" style="62" customWidth="1"/>
    <col min="11530" max="11776" width="9.140625" style="62"/>
    <col min="11777" max="11777" width="34.140625" style="62" customWidth="1"/>
    <col min="11778" max="11778" width="15.42578125" style="62" customWidth="1"/>
    <col min="11779" max="11779" width="13.7109375" style="62" bestFit="1" customWidth="1"/>
    <col min="11780" max="11780" width="15.7109375" style="62" customWidth="1"/>
    <col min="11781" max="11781" width="17.42578125" style="62" bestFit="1" customWidth="1"/>
    <col min="11782" max="11782" width="13.7109375" style="62" bestFit="1" customWidth="1"/>
    <col min="11783" max="11783" width="15.85546875" style="62" customWidth="1"/>
    <col min="11784" max="11784" width="9.140625" style="62"/>
    <col min="11785" max="11785" width="10" style="62" customWidth="1"/>
    <col min="11786" max="12032" width="9.140625" style="62"/>
    <col min="12033" max="12033" width="34.140625" style="62" customWidth="1"/>
    <col min="12034" max="12034" width="15.42578125" style="62" customWidth="1"/>
    <col min="12035" max="12035" width="13.7109375" style="62" bestFit="1" customWidth="1"/>
    <col min="12036" max="12036" width="15.7109375" style="62" customWidth="1"/>
    <col min="12037" max="12037" width="17.42578125" style="62" bestFit="1" customWidth="1"/>
    <col min="12038" max="12038" width="13.7109375" style="62" bestFit="1" customWidth="1"/>
    <col min="12039" max="12039" width="15.85546875" style="62" customWidth="1"/>
    <col min="12040" max="12040" width="9.140625" style="62"/>
    <col min="12041" max="12041" width="10" style="62" customWidth="1"/>
    <col min="12042" max="12288" width="9.140625" style="62"/>
    <col min="12289" max="12289" width="34.140625" style="62" customWidth="1"/>
    <col min="12290" max="12290" width="15.42578125" style="62" customWidth="1"/>
    <col min="12291" max="12291" width="13.7109375" style="62" bestFit="1" customWidth="1"/>
    <col min="12292" max="12292" width="15.7109375" style="62" customWidth="1"/>
    <col min="12293" max="12293" width="17.42578125" style="62" bestFit="1" customWidth="1"/>
    <col min="12294" max="12294" width="13.7109375" style="62" bestFit="1" customWidth="1"/>
    <col min="12295" max="12295" width="15.85546875" style="62" customWidth="1"/>
    <col min="12296" max="12296" width="9.140625" style="62"/>
    <col min="12297" max="12297" width="10" style="62" customWidth="1"/>
    <col min="12298" max="12544" width="9.140625" style="62"/>
    <col min="12545" max="12545" width="34.140625" style="62" customWidth="1"/>
    <col min="12546" max="12546" width="15.42578125" style="62" customWidth="1"/>
    <col min="12547" max="12547" width="13.7109375" style="62" bestFit="1" customWidth="1"/>
    <col min="12548" max="12548" width="15.7109375" style="62" customWidth="1"/>
    <col min="12549" max="12549" width="17.42578125" style="62" bestFit="1" customWidth="1"/>
    <col min="12550" max="12550" width="13.7109375" style="62" bestFit="1" customWidth="1"/>
    <col min="12551" max="12551" width="15.85546875" style="62" customWidth="1"/>
    <col min="12552" max="12552" width="9.140625" style="62"/>
    <col min="12553" max="12553" width="10" style="62" customWidth="1"/>
    <col min="12554" max="12800" width="9.140625" style="62"/>
    <col min="12801" max="12801" width="34.140625" style="62" customWidth="1"/>
    <col min="12802" max="12802" width="15.42578125" style="62" customWidth="1"/>
    <col min="12803" max="12803" width="13.7109375" style="62" bestFit="1" customWidth="1"/>
    <col min="12804" max="12804" width="15.7109375" style="62" customWidth="1"/>
    <col min="12805" max="12805" width="17.42578125" style="62" bestFit="1" customWidth="1"/>
    <col min="12806" max="12806" width="13.7109375" style="62" bestFit="1" customWidth="1"/>
    <col min="12807" max="12807" width="15.85546875" style="62" customWidth="1"/>
    <col min="12808" max="12808" width="9.140625" style="62"/>
    <col min="12809" max="12809" width="10" style="62" customWidth="1"/>
    <col min="12810" max="13056" width="9.140625" style="62"/>
    <col min="13057" max="13057" width="34.140625" style="62" customWidth="1"/>
    <col min="13058" max="13058" width="15.42578125" style="62" customWidth="1"/>
    <col min="13059" max="13059" width="13.7109375" style="62" bestFit="1" customWidth="1"/>
    <col min="13060" max="13060" width="15.7109375" style="62" customWidth="1"/>
    <col min="13061" max="13061" width="17.42578125" style="62" bestFit="1" customWidth="1"/>
    <col min="13062" max="13062" width="13.7109375" style="62" bestFit="1" customWidth="1"/>
    <col min="13063" max="13063" width="15.85546875" style="62" customWidth="1"/>
    <col min="13064" max="13064" width="9.140625" style="62"/>
    <col min="13065" max="13065" width="10" style="62" customWidth="1"/>
    <col min="13066" max="13312" width="9.140625" style="62"/>
    <col min="13313" max="13313" width="34.140625" style="62" customWidth="1"/>
    <col min="13314" max="13314" width="15.42578125" style="62" customWidth="1"/>
    <col min="13315" max="13315" width="13.7109375" style="62" bestFit="1" customWidth="1"/>
    <col min="13316" max="13316" width="15.7109375" style="62" customWidth="1"/>
    <col min="13317" max="13317" width="17.42578125" style="62" bestFit="1" customWidth="1"/>
    <col min="13318" max="13318" width="13.7109375" style="62" bestFit="1" customWidth="1"/>
    <col min="13319" max="13319" width="15.85546875" style="62" customWidth="1"/>
    <col min="13320" max="13320" width="9.140625" style="62"/>
    <col min="13321" max="13321" width="10" style="62" customWidth="1"/>
    <col min="13322" max="13568" width="9.140625" style="62"/>
    <col min="13569" max="13569" width="34.140625" style="62" customWidth="1"/>
    <col min="13570" max="13570" width="15.42578125" style="62" customWidth="1"/>
    <col min="13571" max="13571" width="13.7109375" style="62" bestFit="1" customWidth="1"/>
    <col min="13572" max="13572" width="15.7109375" style="62" customWidth="1"/>
    <col min="13573" max="13573" width="17.42578125" style="62" bestFit="1" customWidth="1"/>
    <col min="13574" max="13574" width="13.7109375" style="62" bestFit="1" customWidth="1"/>
    <col min="13575" max="13575" width="15.85546875" style="62" customWidth="1"/>
    <col min="13576" max="13576" width="9.140625" style="62"/>
    <col min="13577" max="13577" width="10" style="62" customWidth="1"/>
    <col min="13578" max="13824" width="9.140625" style="62"/>
    <col min="13825" max="13825" width="34.140625" style="62" customWidth="1"/>
    <col min="13826" max="13826" width="15.42578125" style="62" customWidth="1"/>
    <col min="13827" max="13827" width="13.7109375" style="62" bestFit="1" customWidth="1"/>
    <col min="13828" max="13828" width="15.7109375" style="62" customWidth="1"/>
    <col min="13829" max="13829" width="17.42578125" style="62" bestFit="1" customWidth="1"/>
    <col min="13830" max="13830" width="13.7109375" style="62" bestFit="1" customWidth="1"/>
    <col min="13831" max="13831" width="15.85546875" style="62" customWidth="1"/>
    <col min="13832" max="13832" width="9.140625" style="62"/>
    <col min="13833" max="13833" width="10" style="62" customWidth="1"/>
    <col min="13834" max="14080" width="9.140625" style="62"/>
    <col min="14081" max="14081" width="34.140625" style="62" customWidth="1"/>
    <col min="14082" max="14082" width="15.42578125" style="62" customWidth="1"/>
    <col min="14083" max="14083" width="13.7109375" style="62" bestFit="1" customWidth="1"/>
    <col min="14084" max="14084" width="15.7109375" style="62" customWidth="1"/>
    <col min="14085" max="14085" width="17.42578125" style="62" bestFit="1" customWidth="1"/>
    <col min="14086" max="14086" width="13.7109375" style="62" bestFit="1" customWidth="1"/>
    <col min="14087" max="14087" width="15.85546875" style="62" customWidth="1"/>
    <col min="14088" max="14088" width="9.140625" style="62"/>
    <col min="14089" max="14089" width="10" style="62" customWidth="1"/>
    <col min="14090" max="14336" width="9.140625" style="62"/>
    <col min="14337" max="14337" width="34.140625" style="62" customWidth="1"/>
    <col min="14338" max="14338" width="15.42578125" style="62" customWidth="1"/>
    <col min="14339" max="14339" width="13.7109375" style="62" bestFit="1" customWidth="1"/>
    <col min="14340" max="14340" width="15.7109375" style="62" customWidth="1"/>
    <col min="14341" max="14341" width="17.42578125" style="62" bestFit="1" customWidth="1"/>
    <col min="14342" max="14342" width="13.7109375" style="62" bestFit="1" customWidth="1"/>
    <col min="14343" max="14343" width="15.85546875" style="62" customWidth="1"/>
    <col min="14344" max="14344" width="9.140625" style="62"/>
    <col min="14345" max="14345" width="10" style="62" customWidth="1"/>
    <col min="14346" max="14592" width="9.140625" style="62"/>
    <col min="14593" max="14593" width="34.140625" style="62" customWidth="1"/>
    <col min="14594" max="14594" width="15.42578125" style="62" customWidth="1"/>
    <col min="14595" max="14595" width="13.7109375" style="62" bestFit="1" customWidth="1"/>
    <col min="14596" max="14596" width="15.7109375" style="62" customWidth="1"/>
    <col min="14597" max="14597" width="17.42578125" style="62" bestFit="1" customWidth="1"/>
    <col min="14598" max="14598" width="13.7109375" style="62" bestFit="1" customWidth="1"/>
    <col min="14599" max="14599" width="15.85546875" style="62" customWidth="1"/>
    <col min="14600" max="14600" width="9.140625" style="62"/>
    <col min="14601" max="14601" width="10" style="62" customWidth="1"/>
    <col min="14602" max="14848" width="9.140625" style="62"/>
    <col min="14849" max="14849" width="34.140625" style="62" customWidth="1"/>
    <col min="14850" max="14850" width="15.42578125" style="62" customWidth="1"/>
    <col min="14851" max="14851" width="13.7109375" style="62" bestFit="1" customWidth="1"/>
    <col min="14852" max="14852" width="15.7109375" style="62" customWidth="1"/>
    <col min="14853" max="14853" width="17.42578125" style="62" bestFit="1" customWidth="1"/>
    <col min="14854" max="14854" width="13.7109375" style="62" bestFit="1" customWidth="1"/>
    <col min="14855" max="14855" width="15.85546875" style="62" customWidth="1"/>
    <col min="14856" max="14856" width="9.140625" style="62"/>
    <col min="14857" max="14857" width="10" style="62" customWidth="1"/>
    <col min="14858" max="15104" width="9.140625" style="62"/>
    <col min="15105" max="15105" width="34.140625" style="62" customWidth="1"/>
    <col min="15106" max="15106" width="15.42578125" style="62" customWidth="1"/>
    <col min="15107" max="15107" width="13.7109375" style="62" bestFit="1" customWidth="1"/>
    <col min="15108" max="15108" width="15.7109375" style="62" customWidth="1"/>
    <col min="15109" max="15109" width="17.42578125" style="62" bestFit="1" customWidth="1"/>
    <col min="15110" max="15110" width="13.7109375" style="62" bestFit="1" customWidth="1"/>
    <col min="15111" max="15111" width="15.85546875" style="62" customWidth="1"/>
    <col min="15112" max="15112" width="9.140625" style="62"/>
    <col min="15113" max="15113" width="10" style="62" customWidth="1"/>
    <col min="15114" max="15360" width="9.140625" style="62"/>
    <col min="15361" max="15361" width="34.140625" style="62" customWidth="1"/>
    <col min="15362" max="15362" width="15.42578125" style="62" customWidth="1"/>
    <col min="15363" max="15363" width="13.7109375" style="62" bestFit="1" customWidth="1"/>
    <col min="15364" max="15364" width="15.7109375" style="62" customWidth="1"/>
    <col min="15365" max="15365" width="17.42578125" style="62" bestFit="1" customWidth="1"/>
    <col min="15366" max="15366" width="13.7109375" style="62" bestFit="1" customWidth="1"/>
    <col min="15367" max="15367" width="15.85546875" style="62" customWidth="1"/>
    <col min="15368" max="15368" width="9.140625" style="62"/>
    <col min="15369" max="15369" width="10" style="62" customWidth="1"/>
    <col min="15370" max="15616" width="9.140625" style="62"/>
    <col min="15617" max="15617" width="34.140625" style="62" customWidth="1"/>
    <col min="15618" max="15618" width="15.42578125" style="62" customWidth="1"/>
    <col min="15619" max="15619" width="13.7109375" style="62" bestFit="1" customWidth="1"/>
    <col min="15620" max="15620" width="15.7109375" style="62" customWidth="1"/>
    <col min="15621" max="15621" width="17.42578125" style="62" bestFit="1" customWidth="1"/>
    <col min="15622" max="15622" width="13.7109375" style="62" bestFit="1" customWidth="1"/>
    <col min="15623" max="15623" width="15.85546875" style="62" customWidth="1"/>
    <col min="15624" max="15624" width="9.140625" style="62"/>
    <col min="15625" max="15625" width="10" style="62" customWidth="1"/>
    <col min="15626" max="15872" width="9.140625" style="62"/>
    <col min="15873" max="15873" width="34.140625" style="62" customWidth="1"/>
    <col min="15874" max="15874" width="15.42578125" style="62" customWidth="1"/>
    <col min="15875" max="15875" width="13.7109375" style="62" bestFit="1" customWidth="1"/>
    <col min="15876" max="15876" width="15.7109375" style="62" customWidth="1"/>
    <col min="15877" max="15877" width="17.42578125" style="62" bestFit="1" customWidth="1"/>
    <col min="15878" max="15878" width="13.7109375" style="62" bestFit="1" customWidth="1"/>
    <col min="15879" max="15879" width="15.85546875" style="62" customWidth="1"/>
    <col min="15880" max="15880" width="9.140625" style="62"/>
    <col min="15881" max="15881" width="10" style="62" customWidth="1"/>
    <col min="15882" max="16128" width="9.140625" style="62"/>
    <col min="16129" max="16129" width="34.140625" style="62" customWidth="1"/>
    <col min="16130" max="16130" width="15.42578125" style="62" customWidth="1"/>
    <col min="16131" max="16131" width="13.7109375" style="62" bestFit="1" customWidth="1"/>
    <col min="16132" max="16132" width="15.7109375" style="62" customWidth="1"/>
    <col min="16133" max="16133" width="17.42578125" style="62" bestFit="1" customWidth="1"/>
    <col min="16134" max="16134" width="13.7109375" style="62" bestFit="1" customWidth="1"/>
    <col min="16135" max="16135" width="15.85546875" style="62" customWidth="1"/>
    <col min="16136" max="16136" width="9.140625" style="62"/>
    <col min="16137" max="16137" width="10" style="62" customWidth="1"/>
    <col min="16138" max="16384" width="9.140625" style="62"/>
  </cols>
  <sheetData>
    <row r="1" spans="1:7">
      <c r="A1" s="61" t="s">
        <v>2051</v>
      </c>
    </row>
    <row r="3" spans="1:7">
      <c r="A3" s="117" t="s">
        <v>2138</v>
      </c>
      <c r="B3" s="117"/>
      <c r="C3" s="117"/>
      <c r="D3" s="117"/>
      <c r="E3" s="117"/>
      <c r="F3" s="117"/>
      <c r="G3" s="117"/>
    </row>
    <row r="5" spans="1:7">
      <c r="C5" s="63" t="s">
        <v>2182</v>
      </c>
      <c r="F5" s="63" t="s">
        <v>2183</v>
      </c>
    </row>
    <row r="6" spans="1:7">
      <c r="G6" s="62" t="s">
        <v>2052</v>
      </c>
    </row>
    <row r="7" spans="1:7">
      <c r="A7" s="64"/>
      <c r="B7" s="64" t="s">
        <v>2139</v>
      </c>
      <c r="C7" s="64" t="s">
        <v>2140</v>
      </c>
      <c r="D7" s="64" t="s">
        <v>2141</v>
      </c>
      <c r="E7" s="64" t="s">
        <v>2139</v>
      </c>
      <c r="F7" s="64" t="s">
        <v>2140</v>
      </c>
      <c r="G7" s="64" t="s">
        <v>2141</v>
      </c>
    </row>
    <row r="8" spans="1:7">
      <c r="A8" s="65"/>
      <c r="B8" s="66"/>
      <c r="C8" s="67"/>
      <c r="D8" s="67"/>
      <c r="E8" s="67"/>
      <c r="F8" s="67"/>
      <c r="G8" s="67"/>
    </row>
    <row r="9" spans="1:7">
      <c r="A9" s="68" t="s">
        <v>487</v>
      </c>
      <c r="B9" s="67"/>
      <c r="C9" s="67"/>
      <c r="D9" s="67">
        <f>B9-C9</f>
        <v>0</v>
      </c>
      <c r="E9" s="67"/>
      <c r="F9" s="67"/>
      <c r="G9" s="67">
        <f>E9-F9</f>
        <v>0</v>
      </c>
    </row>
    <row r="10" spans="1:7">
      <c r="A10" s="68" t="s">
        <v>2120</v>
      </c>
      <c r="B10" s="67">
        <v>71160</v>
      </c>
      <c r="C10" s="67"/>
      <c r="D10" s="67">
        <f t="shared" ref="D10:D16" si="0">B10-C10</f>
        <v>71160</v>
      </c>
      <c r="E10" s="67">
        <v>71160</v>
      </c>
      <c r="F10" s="67"/>
      <c r="G10" s="67">
        <f t="shared" ref="G10:G16" si="1">E10-F10</f>
        <v>71160</v>
      </c>
    </row>
    <row r="11" spans="1:7">
      <c r="A11" s="68" t="s">
        <v>2121</v>
      </c>
      <c r="B11" s="67">
        <v>4020000</v>
      </c>
      <c r="C11" s="67"/>
      <c r="D11" s="67">
        <f t="shared" si="0"/>
        <v>4020000</v>
      </c>
      <c r="E11" s="67">
        <v>4020000</v>
      </c>
      <c r="F11" s="67"/>
      <c r="G11" s="67">
        <f t="shared" si="1"/>
        <v>4020000</v>
      </c>
    </row>
    <row r="12" spans="1:7">
      <c r="A12" s="68" t="s">
        <v>2122</v>
      </c>
      <c r="B12" s="67">
        <v>65800000</v>
      </c>
      <c r="C12" s="67"/>
      <c r="D12" s="67">
        <f t="shared" si="0"/>
        <v>65800000</v>
      </c>
      <c r="E12" s="67">
        <v>65800000</v>
      </c>
      <c r="F12" s="67"/>
      <c r="G12" s="67">
        <f t="shared" si="1"/>
        <v>65800000</v>
      </c>
    </row>
    <row r="13" spans="1:7">
      <c r="A13" s="68" t="s">
        <v>2123</v>
      </c>
      <c r="B13" s="67">
        <v>3000000</v>
      </c>
      <c r="C13" s="67"/>
      <c r="D13" s="67">
        <f t="shared" si="0"/>
        <v>3000000</v>
      </c>
      <c r="E13" s="67">
        <v>3000000</v>
      </c>
      <c r="F13" s="67"/>
      <c r="G13" s="67">
        <f t="shared" si="1"/>
        <v>3000000</v>
      </c>
    </row>
    <row r="14" spans="1:7">
      <c r="A14" s="69" t="s">
        <v>2142</v>
      </c>
      <c r="B14" s="67">
        <v>3130000</v>
      </c>
      <c r="C14" s="67"/>
      <c r="D14" s="67">
        <f t="shared" si="0"/>
        <v>3130000</v>
      </c>
      <c r="E14" s="67">
        <v>3130000</v>
      </c>
      <c r="F14" s="67"/>
      <c r="G14" s="67">
        <f t="shared" si="1"/>
        <v>3130000</v>
      </c>
    </row>
    <row r="15" spans="1:7">
      <c r="A15" s="68" t="s">
        <v>2143</v>
      </c>
      <c r="B15" s="67">
        <v>5981</v>
      </c>
      <c r="C15" s="67"/>
      <c r="D15" s="67">
        <f t="shared" si="0"/>
        <v>5981</v>
      </c>
      <c r="E15" s="67"/>
      <c r="F15" s="67"/>
      <c r="G15" s="67">
        <f t="shared" si="1"/>
        <v>0</v>
      </c>
    </row>
    <row r="16" spans="1:7">
      <c r="A16" s="68" t="s">
        <v>2144</v>
      </c>
      <c r="B16" s="67">
        <v>11000</v>
      </c>
      <c r="C16" s="67"/>
      <c r="D16" s="67">
        <f t="shared" si="0"/>
        <v>11000</v>
      </c>
      <c r="E16" s="67">
        <v>11000</v>
      </c>
      <c r="F16" s="67"/>
      <c r="G16" s="67">
        <f t="shared" si="1"/>
        <v>11000</v>
      </c>
    </row>
    <row r="17" spans="1:7">
      <c r="A17" s="70" t="s">
        <v>2137</v>
      </c>
      <c r="B17" s="71">
        <f t="shared" ref="B17:G17" si="2">SUM(B9:B16)</f>
        <v>76038141</v>
      </c>
      <c r="C17" s="71">
        <f t="shared" si="2"/>
        <v>0</v>
      </c>
      <c r="D17" s="71">
        <f t="shared" si="2"/>
        <v>76038141</v>
      </c>
      <c r="E17" s="71">
        <f t="shared" si="2"/>
        <v>76032160</v>
      </c>
      <c r="F17" s="71">
        <f t="shared" si="2"/>
        <v>0</v>
      </c>
      <c r="G17" s="71">
        <f t="shared" si="2"/>
        <v>76032160</v>
      </c>
    </row>
  </sheetData>
  <mergeCells count="1">
    <mergeCell ref="A3:G3"/>
  </mergeCells>
  <pageMargins left="0.74803149606299213" right="0.74803149606299213" top="0.98425196850393704" bottom="0.98425196850393704" header="0.51181102362204722" footer="0.51181102362204722"/>
  <pageSetup paperSize="9" firstPageNumber="120" orientation="landscape" useFirstPageNumber="1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37"/>
  <sheetViews>
    <sheetView workbookViewId="0">
      <selection activeCell="A3" sqref="A3:D3"/>
    </sheetView>
  </sheetViews>
  <sheetFormatPr defaultColWidth="9.140625" defaultRowHeight="12.75"/>
  <cols>
    <col min="1" max="1" width="26.85546875" style="72" customWidth="1"/>
    <col min="2" max="2" width="31.85546875" style="72" customWidth="1"/>
    <col min="3" max="3" width="12.28515625" style="72" customWidth="1"/>
    <col min="4" max="4" width="15" style="72" customWidth="1"/>
    <col min="5" max="256" width="9.140625" style="72"/>
    <col min="257" max="257" width="26.85546875" style="72" customWidth="1"/>
    <col min="258" max="258" width="31.85546875" style="72" customWidth="1"/>
    <col min="259" max="259" width="12.28515625" style="72" customWidth="1"/>
    <col min="260" max="260" width="15" style="72" customWidth="1"/>
    <col min="261" max="512" width="9.140625" style="72"/>
    <col min="513" max="513" width="26.85546875" style="72" customWidth="1"/>
    <col min="514" max="514" width="31.85546875" style="72" customWidth="1"/>
    <col min="515" max="515" width="12.28515625" style="72" customWidth="1"/>
    <col min="516" max="516" width="15" style="72" customWidth="1"/>
    <col min="517" max="768" width="9.140625" style="72"/>
    <col min="769" max="769" width="26.85546875" style="72" customWidth="1"/>
    <col min="770" max="770" width="31.85546875" style="72" customWidth="1"/>
    <col min="771" max="771" width="12.28515625" style="72" customWidth="1"/>
    <col min="772" max="772" width="15" style="72" customWidth="1"/>
    <col min="773" max="1024" width="9.140625" style="72"/>
    <col min="1025" max="1025" width="26.85546875" style="72" customWidth="1"/>
    <col min="1026" max="1026" width="31.85546875" style="72" customWidth="1"/>
    <col min="1027" max="1027" width="12.28515625" style="72" customWidth="1"/>
    <col min="1028" max="1028" width="15" style="72" customWidth="1"/>
    <col min="1029" max="1280" width="9.140625" style="72"/>
    <col min="1281" max="1281" width="26.85546875" style="72" customWidth="1"/>
    <col min="1282" max="1282" width="31.85546875" style="72" customWidth="1"/>
    <col min="1283" max="1283" width="12.28515625" style="72" customWidth="1"/>
    <col min="1284" max="1284" width="15" style="72" customWidth="1"/>
    <col min="1285" max="1536" width="9.140625" style="72"/>
    <col min="1537" max="1537" width="26.85546875" style="72" customWidth="1"/>
    <col min="1538" max="1538" width="31.85546875" style="72" customWidth="1"/>
    <col min="1539" max="1539" width="12.28515625" style="72" customWidth="1"/>
    <col min="1540" max="1540" width="15" style="72" customWidth="1"/>
    <col min="1541" max="1792" width="9.140625" style="72"/>
    <col min="1793" max="1793" width="26.85546875" style="72" customWidth="1"/>
    <col min="1794" max="1794" width="31.85546875" style="72" customWidth="1"/>
    <col min="1795" max="1795" width="12.28515625" style="72" customWidth="1"/>
    <col min="1796" max="1796" width="15" style="72" customWidth="1"/>
    <col min="1797" max="2048" width="9.140625" style="72"/>
    <col min="2049" max="2049" width="26.85546875" style="72" customWidth="1"/>
    <col min="2050" max="2050" width="31.85546875" style="72" customWidth="1"/>
    <col min="2051" max="2051" width="12.28515625" style="72" customWidth="1"/>
    <col min="2052" max="2052" width="15" style="72" customWidth="1"/>
    <col min="2053" max="2304" width="9.140625" style="72"/>
    <col min="2305" max="2305" width="26.85546875" style="72" customWidth="1"/>
    <col min="2306" max="2306" width="31.85546875" style="72" customWidth="1"/>
    <col min="2307" max="2307" width="12.28515625" style="72" customWidth="1"/>
    <col min="2308" max="2308" width="15" style="72" customWidth="1"/>
    <col min="2309" max="2560" width="9.140625" style="72"/>
    <col min="2561" max="2561" width="26.85546875" style="72" customWidth="1"/>
    <col min="2562" max="2562" width="31.85546875" style="72" customWidth="1"/>
    <col min="2563" max="2563" width="12.28515625" style="72" customWidth="1"/>
    <col min="2564" max="2564" width="15" style="72" customWidth="1"/>
    <col min="2565" max="2816" width="9.140625" style="72"/>
    <col min="2817" max="2817" width="26.85546875" style="72" customWidth="1"/>
    <col min="2818" max="2818" width="31.85546875" style="72" customWidth="1"/>
    <col min="2819" max="2819" width="12.28515625" style="72" customWidth="1"/>
    <col min="2820" max="2820" width="15" style="72" customWidth="1"/>
    <col min="2821" max="3072" width="9.140625" style="72"/>
    <col min="3073" max="3073" width="26.85546875" style="72" customWidth="1"/>
    <col min="3074" max="3074" width="31.85546875" style="72" customWidth="1"/>
    <col min="3075" max="3075" width="12.28515625" style="72" customWidth="1"/>
    <col min="3076" max="3076" width="15" style="72" customWidth="1"/>
    <col min="3077" max="3328" width="9.140625" style="72"/>
    <col min="3329" max="3329" width="26.85546875" style="72" customWidth="1"/>
    <col min="3330" max="3330" width="31.85546875" style="72" customWidth="1"/>
    <col min="3331" max="3331" width="12.28515625" style="72" customWidth="1"/>
    <col min="3332" max="3332" width="15" style="72" customWidth="1"/>
    <col min="3333" max="3584" width="9.140625" style="72"/>
    <col min="3585" max="3585" width="26.85546875" style="72" customWidth="1"/>
    <col min="3586" max="3586" width="31.85546875" style="72" customWidth="1"/>
    <col min="3587" max="3587" width="12.28515625" style="72" customWidth="1"/>
    <col min="3588" max="3588" width="15" style="72" customWidth="1"/>
    <col min="3589" max="3840" width="9.140625" style="72"/>
    <col min="3841" max="3841" width="26.85546875" style="72" customWidth="1"/>
    <col min="3842" max="3842" width="31.85546875" style="72" customWidth="1"/>
    <col min="3843" max="3843" width="12.28515625" style="72" customWidth="1"/>
    <col min="3844" max="3844" width="15" style="72" customWidth="1"/>
    <col min="3845" max="4096" width="9.140625" style="72"/>
    <col min="4097" max="4097" width="26.85546875" style="72" customWidth="1"/>
    <col min="4098" max="4098" width="31.85546875" style="72" customWidth="1"/>
    <col min="4099" max="4099" width="12.28515625" style="72" customWidth="1"/>
    <col min="4100" max="4100" width="15" style="72" customWidth="1"/>
    <col min="4101" max="4352" width="9.140625" style="72"/>
    <col min="4353" max="4353" width="26.85546875" style="72" customWidth="1"/>
    <col min="4354" max="4354" width="31.85546875" style="72" customWidth="1"/>
    <col min="4355" max="4355" width="12.28515625" style="72" customWidth="1"/>
    <col min="4356" max="4356" width="15" style="72" customWidth="1"/>
    <col min="4357" max="4608" width="9.140625" style="72"/>
    <col min="4609" max="4609" width="26.85546875" style="72" customWidth="1"/>
    <col min="4610" max="4610" width="31.85546875" style="72" customWidth="1"/>
    <col min="4611" max="4611" width="12.28515625" style="72" customWidth="1"/>
    <col min="4612" max="4612" width="15" style="72" customWidth="1"/>
    <col min="4613" max="4864" width="9.140625" style="72"/>
    <col min="4865" max="4865" width="26.85546875" style="72" customWidth="1"/>
    <col min="4866" max="4866" width="31.85546875" style="72" customWidth="1"/>
    <col min="4867" max="4867" width="12.28515625" style="72" customWidth="1"/>
    <col min="4868" max="4868" width="15" style="72" customWidth="1"/>
    <col min="4869" max="5120" width="9.140625" style="72"/>
    <col min="5121" max="5121" width="26.85546875" style="72" customWidth="1"/>
    <col min="5122" max="5122" width="31.85546875" style="72" customWidth="1"/>
    <col min="5123" max="5123" width="12.28515625" style="72" customWidth="1"/>
    <col min="5124" max="5124" width="15" style="72" customWidth="1"/>
    <col min="5125" max="5376" width="9.140625" style="72"/>
    <col min="5377" max="5377" width="26.85546875" style="72" customWidth="1"/>
    <col min="5378" max="5378" width="31.85546875" style="72" customWidth="1"/>
    <col min="5379" max="5379" width="12.28515625" style="72" customWidth="1"/>
    <col min="5380" max="5380" width="15" style="72" customWidth="1"/>
    <col min="5381" max="5632" width="9.140625" style="72"/>
    <col min="5633" max="5633" width="26.85546875" style="72" customWidth="1"/>
    <col min="5634" max="5634" width="31.85546875" style="72" customWidth="1"/>
    <col min="5635" max="5635" width="12.28515625" style="72" customWidth="1"/>
    <col min="5636" max="5636" width="15" style="72" customWidth="1"/>
    <col min="5637" max="5888" width="9.140625" style="72"/>
    <col min="5889" max="5889" width="26.85546875" style="72" customWidth="1"/>
    <col min="5890" max="5890" width="31.85546875" style="72" customWidth="1"/>
    <col min="5891" max="5891" width="12.28515625" style="72" customWidth="1"/>
    <col min="5892" max="5892" width="15" style="72" customWidth="1"/>
    <col min="5893" max="6144" width="9.140625" style="72"/>
    <col min="6145" max="6145" width="26.85546875" style="72" customWidth="1"/>
    <col min="6146" max="6146" width="31.85546875" style="72" customWidth="1"/>
    <col min="6147" max="6147" width="12.28515625" style="72" customWidth="1"/>
    <col min="6148" max="6148" width="15" style="72" customWidth="1"/>
    <col min="6149" max="6400" width="9.140625" style="72"/>
    <col min="6401" max="6401" width="26.85546875" style="72" customWidth="1"/>
    <col min="6402" max="6402" width="31.85546875" style="72" customWidth="1"/>
    <col min="6403" max="6403" width="12.28515625" style="72" customWidth="1"/>
    <col min="6404" max="6404" width="15" style="72" customWidth="1"/>
    <col min="6405" max="6656" width="9.140625" style="72"/>
    <col min="6657" max="6657" width="26.85546875" style="72" customWidth="1"/>
    <col min="6658" max="6658" width="31.85546875" style="72" customWidth="1"/>
    <col min="6659" max="6659" width="12.28515625" style="72" customWidth="1"/>
    <col min="6660" max="6660" width="15" style="72" customWidth="1"/>
    <col min="6661" max="6912" width="9.140625" style="72"/>
    <col min="6913" max="6913" width="26.85546875" style="72" customWidth="1"/>
    <col min="6914" max="6914" width="31.85546875" style="72" customWidth="1"/>
    <col min="6915" max="6915" width="12.28515625" style="72" customWidth="1"/>
    <col min="6916" max="6916" width="15" style="72" customWidth="1"/>
    <col min="6917" max="7168" width="9.140625" style="72"/>
    <col min="7169" max="7169" width="26.85546875" style="72" customWidth="1"/>
    <col min="7170" max="7170" width="31.85546875" style="72" customWidth="1"/>
    <col min="7171" max="7171" width="12.28515625" style="72" customWidth="1"/>
    <col min="7172" max="7172" width="15" style="72" customWidth="1"/>
    <col min="7173" max="7424" width="9.140625" style="72"/>
    <col min="7425" max="7425" width="26.85546875" style="72" customWidth="1"/>
    <col min="7426" max="7426" width="31.85546875" style="72" customWidth="1"/>
    <col min="7427" max="7427" width="12.28515625" style="72" customWidth="1"/>
    <col min="7428" max="7428" width="15" style="72" customWidth="1"/>
    <col min="7429" max="7680" width="9.140625" style="72"/>
    <col min="7681" max="7681" width="26.85546875" style="72" customWidth="1"/>
    <col min="7682" max="7682" width="31.85546875" style="72" customWidth="1"/>
    <col min="7683" max="7683" width="12.28515625" style="72" customWidth="1"/>
    <col min="7684" max="7684" width="15" style="72" customWidth="1"/>
    <col min="7685" max="7936" width="9.140625" style="72"/>
    <col min="7937" max="7937" width="26.85546875" style="72" customWidth="1"/>
    <col min="7938" max="7938" width="31.85546875" style="72" customWidth="1"/>
    <col min="7939" max="7939" width="12.28515625" style="72" customWidth="1"/>
    <col min="7940" max="7940" width="15" style="72" customWidth="1"/>
    <col min="7941" max="8192" width="9.140625" style="72"/>
    <col min="8193" max="8193" width="26.85546875" style="72" customWidth="1"/>
    <col min="8194" max="8194" width="31.85546875" style="72" customWidth="1"/>
    <col min="8195" max="8195" width="12.28515625" style="72" customWidth="1"/>
    <col min="8196" max="8196" width="15" style="72" customWidth="1"/>
    <col min="8197" max="8448" width="9.140625" style="72"/>
    <col min="8449" max="8449" width="26.85546875" style="72" customWidth="1"/>
    <col min="8450" max="8450" width="31.85546875" style="72" customWidth="1"/>
    <col min="8451" max="8451" width="12.28515625" style="72" customWidth="1"/>
    <col min="8452" max="8452" width="15" style="72" customWidth="1"/>
    <col min="8453" max="8704" width="9.140625" style="72"/>
    <col min="8705" max="8705" width="26.85546875" style="72" customWidth="1"/>
    <col min="8706" max="8706" width="31.85546875" style="72" customWidth="1"/>
    <col min="8707" max="8707" width="12.28515625" style="72" customWidth="1"/>
    <col min="8708" max="8708" width="15" style="72" customWidth="1"/>
    <col min="8709" max="8960" width="9.140625" style="72"/>
    <col min="8961" max="8961" width="26.85546875" style="72" customWidth="1"/>
    <col min="8962" max="8962" width="31.85546875" style="72" customWidth="1"/>
    <col min="8963" max="8963" width="12.28515625" style="72" customWidth="1"/>
    <col min="8964" max="8964" width="15" style="72" customWidth="1"/>
    <col min="8965" max="9216" width="9.140625" style="72"/>
    <col min="9217" max="9217" width="26.85546875" style="72" customWidth="1"/>
    <col min="9218" max="9218" width="31.85546875" style="72" customWidth="1"/>
    <col min="9219" max="9219" width="12.28515625" style="72" customWidth="1"/>
    <col min="9220" max="9220" width="15" style="72" customWidth="1"/>
    <col min="9221" max="9472" width="9.140625" style="72"/>
    <col min="9473" max="9473" width="26.85546875" style="72" customWidth="1"/>
    <col min="9474" max="9474" width="31.85546875" style="72" customWidth="1"/>
    <col min="9475" max="9475" width="12.28515625" style="72" customWidth="1"/>
    <col min="9476" max="9476" width="15" style="72" customWidth="1"/>
    <col min="9477" max="9728" width="9.140625" style="72"/>
    <col min="9729" max="9729" width="26.85546875" style="72" customWidth="1"/>
    <col min="9730" max="9730" width="31.85546875" style="72" customWidth="1"/>
    <col min="9731" max="9731" width="12.28515625" style="72" customWidth="1"/>
    <col min="9732" max="9732" width="15" style="72" customWidth="1"/>
    <col min="9733" max="9984" width="9.140625" style="72"/>
    <col min="9985" max="9985" width="26.85546875" style="72" customWidth="1"/>
    <col min="9986" max="9986" width="31.85546875" style="72" customWidth="1"/>
    <col min="9987" max="9987" width="12.28515625" style="72" customWidth="1"/>
    <col min="9988" max="9988" width="15" style="72" customWidth="1"/>
    <col min="9989" max="10240" width="9.140625" style="72"/>
    <col min="10241" max="10241" width="26.85546875" style="72" customWidth="1"/>
    <col min="10242" max="10242" width="31.85546875" style="72" customWidth="1"/>
    <col min="10243" max="10243" width="12.28515625" style="72" customWidth="1"/>
    <col min="10244" max="10244" width="15" style="72" customWidth="1"/>
    <col min="10245" max="10496" width="9.140625" style="72"/>
    <col min="10497" max="10497" width="26.85546875" style="72" customWidth="1"/>
    <col min="10498" max="10498" width="31.85546875" style="72" customWidth="1"/>
    <col min="10499" max="10499" width="12.28515625" style="72" customWidth="1"/>
    <col min="10500" max="10500" width="15" style="72" customWidth="1"/>
    <col min="10501" max="10752" width="9.140625" style="72"/>
    <col min="10753" max="10753" width="26.85546875" style="72" customWidth="1"/>
    <col min="10754" max="10754" width="31.85546875" style="72" customWidth="1"/>
    <col min="10755" max="10755" width="12.28515625" style="72" customWidth="1"/>
    <col min="10756" max="10756" width="15" style="72" customWidth="1"/>
    <col min="10757" max="11008" width="9.140625" style="72"/>
    <col min="11009" max="11009" width="26.85546875" style="72" customWidth="1"/>
    <col min="11010" max="11010" width="31.85546875" style="72" customWidth="1"/>
    <col min="11011" max="11011" width="12.28515625" style="72" customWidth="1"/>
    <col min="11012" max="11012" width="15" style="72" customWidth="1"/>
    <col min="11013" max="11264" width="9.140625" style="72"/>
    <col min="11265" max="11265" width="26.85546875" style="72" customWidth="1"/>
    <col min="11266" max="11266" width="31.85546875" style="72" customWidth="1"/>
    <col min="11267" max="11267" width="12.28515625" style="72" customWidth="1"/>
    <col min="11268" max="11268" width="15" style="72" customWidth="1"/>
    <col min="11269" max="11520" width="9.140625" style="72"/>
    <col min="11521" max="11521" width="26.85546875" style="72" customWidth="1"/>
    <col min="11522" max="11522" width="31.85546875" style="72" customWidth="1"/>
    <col min="11523" max="11523" width="12.28515625" style="72" customWidth="1"/>
    <col min="11524" max="11524" width="15" style="72" customWidth="1"/>
    <col min="11525" max="11776" width="9.140625" style="72"/>
    <col min="11777" max="11777" width="26.85546875" style="72" customWidth="1"/>
    <col min="11778" max="11778" width="31.85546875" style="72" customWidth="1"/>
    <col min="11779" max="11779" width="12.28515625" style="72" customWidth="1"/>
    <col min="11780" max="11780" width="15" style="72" customWidth="1"/>
    <col min="11781" max="12032" width="9.140625" style="72"/>
    <col min="12033" max="12033" width="26.85546875" style="72" customWidth="1"/>
    <col min="12034" max="12034" width="31.85546875" style="72" customWidth="1"/>
    <col min="12035" max="12035" width="12.28515625" style="72" customWidth="1"/>
    <col min="12036" max="12036" width="15" style="72" customWidth="1"/>
    <col min="12037" max="12288" width="9.140625" style="72"/>
    <col min="12289" max="12289" width="26.85546875" style="72" customWidth="1"/>
    <col min="12290" max="12290" width="31.85546875" style="72" customWidth="1"/>
    <col min="12291" max="12291" width="12.28515625" style="72" customWidth="1"/>
    <col min="12292" max="12292" width="15" style="72" customWidth="1"/>
    <col min="12293" max="12544" width="9.140625" style="72"/>
    <col min="12545" max="12545" width="26.85546875" style="72" customWidth="1"/>
    <col min="12546" max="12546" width="31.85546875" style="72" customWidth="1"/>
    <col min="12547" max="12547" width="12.28515625" style="72" customWidth="1"/>
    <col min="12548" max="12548" width="15" style="72" customWidth="1"/>
    <col min="12549" max="12800" width="9.140625" style="72"/>
    <col min="12801" max="12801" width="26.85546875" style="72" customWidth="1"/>
    <col min="12802" max="12802" width="31.85546875" style="72" customWidth="1"/>
    <col min="12803" max="12803" width="12.28515625" style="72" customWidth="1"/>
    <col min="12804" max="12804" width="15" style="72" customWidth="1"/>
    <col min="12805" max="13056" width="9.140625" style="72"/>
    <col min="13057" max="13057" width="26.85546875" style="72" customWidth="1"/>
    <col min="13058" max="13058" width="31.85546875" style="72" customWidth="1"/>
    <col min="13059" max="13059" width="12.28515625" style="72" customWidth="1"/>
    <col min="13060" max="13060" width="15" style="72" customWidth="1"/>
    <col min="13061" max="13312" width="9.140625" style="72"/>
    <col min="13313" max="13313" width="26.85546875" style="72" customWidth="1"/>
    <col min="13314" max="13314" width="31.85546875" style="72" customWidth="1"/>
    <col min="13315" max="13315" width="12.28515625" style="72" customWidth="1"/>
    <col min="13316" max="13316" width="15" style="72" customWidth="1"/>
    <col min="13317" max="13568" width="9.140625" style="72"/>
    <col min="13569" max="13569" width="26.85546875" style="72" customWidth="1"/>
    <col min="13570" max="13570" width="31.85546875" style="72" customWidth="1"/>
    <col min="13571" max="13571" width="12.28515625" style="72" customWidth="1"/>
    <col min="13572" max="13572" width="15" style="72" customWidth="1"/>
    <col min="13573" max="13824" width="9.140625" style="72"/>
    <col min="13825" max="13825" width="26.85546875" style="72" customWidth="1"/>
    <col min="13826" max="13826" width="31.85546875" style="72" customWidth="1"/>
    <col min="13827" max="13827" width="12.28515625" style="72" customWidth="1"/>
    <col min="13828" max="13828" width="15" style="72" customWidth="1"/>
    <col min="13829" max="14080" width="9.140625" style="72"/>
    <col min="14081" max="14081" width="26.85546875" style="72" customWidth="1"/>
    <col min="14082" max="14082" width="31.85546875" style="72" customWidth="1"/>
    <col min="14083" max="14083" width="12.28515625" style="72" customWidth="1"/>
    <col min="14084" max="14084" width="15" style="72" customWidth="1"/>
    <col min="14085" max="14336" width="9.140625" style="72"/>
    <col min="14337" max="14337" width="26.85546875" style="72" customWidth="1"/>
    <col min="14338" max="14338" width="31.85546875" style="72" customWidth="1"/>
    <col min="14339" max="14339" width="12.28515625" style="72" customWidth="1"/>
    <col min="14340" max="14340" width="15" style="72" customWidth="1"/>
    <col min="14341" max="14592" width="9.140625" style="72"/>
    <col min="14593" max="14593" width="26.85546875" style="72" customWidth="1"/>
    <col min="14594" max="14594" width="31.85546875" style="72" customWidth="1"/>
    <col min="14595" max="14595" width="12.28515625" style="72" customWidth="1"/>
    <col min="14596" max="14596" width="15" style="72" customWidth="1"/>
    <col min="14597" max="14848" width="9.140625" style="72"/>
    <col min="14849" max="14849" width="26.85546875" style="72" customWidth="1"/>
    <col min="14850" max="14850" width="31.85546875" style="72" customWidth="1"/>
    <col min="14851" max="14851" width="12.28515625" style="72" customWidth="1"/>
    <col min="14852" max="14852" width="15" style="72" customWidth="1"/>
    <col min="14853" max="15104" width="9.140625" style="72"/>
    <col min="15105" max="15105" width="26.85546875" style="72" customWidth="1"/>
    <col min="15106" max="15106" width="31.85546875" style="72" customWidth="1"/>
    <col min="15107" max="15107" width="12.28515625" style="72" customWidth="1"/>
    <col min="15108" max="15108" width="15" style="72" customWidth="1"/>
    <col min="15109" max="15360" width="9.140625" style="72"/>
    <col min="15361" max="15361" width="26.85546875" style="72" customWidth="1"/>
    <col min="15362" max="15362" width="31.85546875" style="72" customWidth="1"/>
    <col min="15363" max="15363" width="12.28515625" style="72" customWidth="1"/>
    <col min="15364" max="15364" width="15" style="72" customWidth="1"/>
    <col min="15365" max="15616" width="9.140625" style="72"/>
    <col min="15617" max="15617" width="26.85546875" style="72" customWidth="1"/>
    <col min="15618" max="15618" width="31.85546875" style="72" customWidth="1"/>
    <col min="15619" max="15619" width="12.28515625" style="72" customWidth="1"/>
    <col min="15620" max="15620" width="15" style="72" customWidth="1"/>
    <col min="15621" max="15872" width="9.140625" style="72"/>
    <col min="15873" max="15873" width="26.85546875" style="72" customWidth="1"/>
    <col min="15874" max="15874" width="31.85546875" style="72" customWidth="1"/>
    <col min="15875" max="15875" width="12.28515625" style="72" customWidth="1"/>
    <col min="15876" max="15876" width="15" style="72" customWidth="1"/>
    <col min="15877" max="16128" width="9.140625" style="72"/>
    <col min="16129" max="16129" width="26.85546875" style="72" customWidth="1"/>
    <col min="16130" max="16130" width="31.85546875" style="72" customWidth="1"/>
    <col min="16131" max="16131" width="12.28515625" style="72" customWidth="1"/>
    <col min="16132" max="16132" width="15" style="72" customWidth="1"/>
    <col min="16133" max="16384" width="9.140625" style="72"/>
  </cols>
  <sheetData>
    <row r="2" spans="1:4">
      <c r="C2" s="73" t="s">
        <v>2272</v>
      </c>
    </row>
    <row r="3" spans="1:4" ht="15">
      <c r="A3" s="118" t="s">
        <v>2180</v>
      </c>
      <c r="B3" s="118"/>
      <c r="C3" s="118"/>
      <c r="D3" s="118"/>
    </row>
    <row r="4" spans="1:4" ht="15">
      <c r="A4" s="74"/>
      <c r="B4" s="74"/>
      <c r="C4" s="74"/>
      <c r="D4" s="74"/>
    </row>
    <row r="5" spans="1:4" ht="15">
      <c r="A5" s="75"/>
      <c r="B5" s="76" t="s">
        <v>2145</v>
      </c>
      <c r="C5" s="75"/>
      <c r="D5" s="77"/>
    </row>
    <row r="6" spans="1:4">
      <c r="A6" s="75"/>
      <c r="B6" s="75"/>
      <c r="D6" s="75"/>
    </row>
    <row r="7" spans="1:4">
      <c r="A7" s="78" t="s">
        <v>2146</v>
      </c>
      <c r="B7" s="78" t="s">
        <v>2147</v>
      </c>
      <c r="C7" s="78" t="s">
        <v>2148</v>
      </c>
      <c r="D7" s="78" t="s">
        <v>2149</v>
      </c>
    </row>
    <row r="8" spans="1:4">
      <c r="A8" s="79" t="s">
        <v>2150</v>
      </c>
      <c r="B8" s="80" t="s">
        <v>2151</v>
      </c>
      <c r="C8" s="80">
        <v>500</v>
      </c>
      <c r="D8" s="81">
        <v>150000</v>
      </c>
    </row>
    <row r="9" spans="1:4">
      <c r="A9" s="82"/>
      <c r="B9" s="83" t="s">
        <v>2152</v>
      </c>
      <c r="C9" s="83">
        <v>50</v>
      </c>
      <c r="D9" s="84">
        <v>25000</v>
      </c>
    </row>
    <row r="10" spans="1:4">
      <c r="A10" s="82"/>
      <c r="B10" s="83" t="s">
        <v>2153</v>
      </c>
      <c r="C10" s="83">
        <v>78</v>
      </c>
      <c r="D10" s="84">
        <v>40000</v>
      </c>
    </row>
    <row r="11" spans="1:4">
      <c r="A11" s="79" t="s">
        <v>2154</v>
      </c>
      <c r="B11" s="83" t="s">
        <v>2155</v>
      </c>
      <c r="C11" s="83">
        <v>85507</v>
      </c>
      <c r="D11" s="84">
        <v>67222864</v>
      </c>
    </row>
    <row r="12" spans="1:4">
      <c r="A12" s="82"/>
      <c r="B12" s="83" t="s">
        <v>2156</v>
      </c>
      <c r="C12" s="83">
        <v>4166</v>
      </c>
      <c r="D12" s="84">
        <v>5678423</v>
      </c>
    </row>
    <row r="13" spans="1:4">
      <c r="A13" s="82"/>
      <c r="B13" s="83" t="s">
        <v>2157</v>
      </c>
      <c r="C13" s="83">
        <v>625</v>
      </c>
      <c r="D13" s="84">
        <v>1021852</v>
      </c>
    </row>
    <row r="14" spans="1:4">
      <c r="A14" s="82"/>
      <c r="B14" s="83" t="s">
        <v>2158</v>
      </c>
      <c r="C14" s="83">
        <v>1857</v>
      </c>
      <c r="D14" s="84">
        <v>212680</v>
      </c>
    </row>
    <row r="15" spans="1:4">
      <c r="A15" s="82"/>
      <c r="B15" s="83" t="s">
        <v>2159</v>
      </c>
      <c r="C15" s="83">
        <v>923</v>
      </c>
      <c r="D15" s="84">
        <v>97442</v>
      </c>
    </row>
    <row r="16" spans="1:4">
      <c r="A16" s="82"/>
      <c r="B16" s="83" t="s">
        <v>2160</v>
      </c>
      <c r="C16" s="83">
        <v>950</v>
      </c>
      <c r="D16" s="84">
        <v>1195524</v>
      </c>
    </row>
    <row r="17" spans="1:4">
      <c r="A17" s="82"/>
      <c r="B17" s="83" t="s">
        <v>2161</v>
      </c>
      <c r="C17" s="83">
        <v>269</v>
      </c>
      <c r="D17" s="84">
        <v>1715461</v>
      </c>
    </row>
    <row r="18" spans="1:4">
      <c r="A18" s="82"/>
      <c r="B18" s="83" t="s">
        <v>2162</v>
      </c>
      <c r="C18" s="83">
        <v>6194</v>
      </c>
      <c r="D18" s="84">
        <v>44353</v>
      </c>
    </row>
    <row r="19" spans="1:4">
      <c r="A19" s="82"/>
      <c r="B19" s="83" t="s">
        <v>2163</v>
      </c>
      <c r="C19" s="83">
        <v>113</v>
      </c>
      <c r="D19" s="84">
        <v>26060</v>
      </c>
    </row>
    <row r="20" spans="1:4">
      <c r="A20" s="82"/>
      <c r="B20" s="83" t="s">
        <v>2164</v>
      </c>
      <c r="C20" s="83">
        <v>860</v>
      </c>
      <c r="D20" s="84">
        <v>1259731</v>
      </c>
    </row>
    <row r="21" spans="1:4">
      <c r="A21" s="82"/>
      <c r="B21" s="83" t="s">
        <v>2165</v>
      </c>
      <c r="C21" s="83">
        <v>78</v>
      </c>
      <c r="D21" s="84">
        <v>44253</v>
      </c>
    </row>
    <row r="22" spans="1:4">
      <c r="A22" s="78" t="s">
        <v>2137</v>
      </c>
      <c r="B22" s="83"/>
      <c r="C22" s="83"/>
      <c r="D22" s="84">
        <f>SUM(D8:D21)</f>
        <v>78733643</v>
      </c>
    </row>
    <row r="23" spans="1:4">
      <c r="A23" s="75"/>
      <c r="B23" s="75"/>
      <c r="C23" s="75"/>
      <c r="D23" s="75"/>
    </row>
    <row r="24" spans="1:4" ht="15">
      <c r="A24" s="118" t="s">
        <v>2181</v>
      </c>
      <c r="B24" s="118"/>
      <c r="C24" s="118"/>
      <c r="D24" s="118"/>
    </row>
    <row r="25" spans="1:4">
      <c r="A25" s="75"/>
      <c r="B25" s="75"/>
      <c r="C25" s="75"/>
      <c r="D25" s="85"/>
    </row>
    <row r="26" spans="1:4">
      <c r="A26" s="78" t="s">
        <v>2146</v>
      </c>
      <c r="B26" s="78" t="s">
        <v>2147</v>
      </c>
      <c r="C26" s="78" t="s">
        <v>2148</v>
      </c>
      <c r="D26" s="78" t="s">
        <v>2149</v>
      </c>
    </row>
    <row r="27" spans="1:4">
      <c r="A27" s="79" t="s">
        <v>2166</v>
      </c>
      <c r="B27" s="83" t="s">
        <v>2167</v>
      </c>
      <c r="C27" s="83">
        <v>46</v>
      </c>
      <c r="D27" s="84">
        <v>1355000</v>
      </c>
    </row>
    <row r="28" spans="1:4">
      <c r="A28" s="80"/>
      <c r="B28" s="83" t="s">
        <v>2168</v>
      </c>
      <c r="C28" s="83">
        <v>1</v>
      </c>
      <c r="D28" s="84">
        <v>59000</v>
      </c>
    </row>
    <row r="29" spans="1:4">
      <c r="A29" s="80"/>
      <c r="B29" s="83" t="s">
        <v>2169</v>
      </c>
      <c r="C29" s="83">
        <v>1</v>
      </c>
      <c r="D29" s="84">
        <v>800000</v>
      </c>
    </row>
    <row r="30" spans="1:4">
      <c r="A30" s="80"/>
      <c r="B30" s="86" t="s">
        <v>2170</v>
      </c>
      <c r="C30" s="83">
        <v>1</v>
      </c>
      <c r="D30" s="84"/>
    </row>
    <row r="31" spans="1:4">
      <c r="A31" s="79" t="s">
        <v>2154</v>
      </c>
      <c r="B31" s="83" t="s">
        <v>2167</v>
      </c>
      <c r="C31" s="83">
        <v>55</v>
      </c>
      <c r="D31" s="84">
        <v>287000</v>
      </c>
    </row>
    <row r="32" spans="1:4">
      <c r="A32" s="80"/>
      <c r="B32" s="86" t="s">
        <v>2171</v>
      </c>
      <c r="C32" s="83">
        <v>2</v>
      </c>
      <c r="D32" s="84"/>
    </row>
    <row r="33" spans="1:4">
      <c r="A33" s="79" t="s">
        <v>2172</v>
      </c>
      <c r="B33" s="83" t="s">
        <v>2173</v>
      </c>
      <c r="C33" s="83">
        <v>196</v>
      </c>
      <c r="D33" s="84"/>
    </row>
    <row r="34" spans="1:4">
      <c r="A34" s="79"/>
      <c r="B34" s="83"/>
      <c r="C34" s="83"/>
      <c r="D34" s="84"/>
    </row>
    <row r="35" spans="1:4">
      <c r="A35" s="78" t="s">
        <v>2137</v>
      </c>
      <c r="B35" s="83"/>
      <c r="C35" s="83"/>
      <c r="D35" s="84">
        <f>SUM(D27:D34)</f>
        <v>2501000</v>
      </c>
    </row>
    <row r="36" spans="1:4">
      <c r="A36" s="87" t="s">
        <v>2174</v>
      </c>
      <c r="B36" s="88"/>
      <c r="C36" s="88"/>
      <c r="D36" s="89"/>
    </row>
    <row r="37" spans="1:4">
      <c r="A37" s="87"/>
      <c r="B37" s="88"/>
      <c r="C37" s="88"/>
      <c r="D37" s="89"/>
    </row>
  </sheetData>
  <mergeCells count="2">
    <mergeCell ref="A3:D3"/>
    <mergeCell ref="A24:D24"/>
  </mergeCells>
  <pageMargins left="0.59055118110236227" right="0.59055118110236227" top="0.98425196850393704" bottom="0.98425196850393704" header="0.51181102362204722" footer="0.51181102362204722"/>
  <pageSetup paperSize="9" firstPageNumber="121" orientation="portrait" useFirstPageNumber="1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workbookViewId="0">
      <selection activeCell="E5" sqref="E5"/>
    </sheetView>
  </sheetViews>
  <sheetFormatPr defaultColWidth="9.140625" defaultRowHeight="12.75"/>
  <cols>
    <col min="1" max="1" width="8.85546875" style="90" customWidth="1"/>
    <col min="2" max="2" width="45.28515625" style="90" customWidth="1"/>
    <col min="3" max="3" width="14.7109375" style="90" bestFit="1" customWidth="1"/>
    <col min="4" max="4" width="7.28515625" style="90" customWidth="1"/>
    <col min="5" max="5" width="37.42578125" style="90" customWidth="1"/>
    <col min="6" max="6" width="12.42578125" style="90" customWidth="1"/>
    <col min="7" max="254" width="9.140625" style="90"/>
    <col min="255" max="255" width="8.85546875" style="90" customWidth="1"/>
    <col min="256" max="256" width="45.28515625" style="90" customWidth="1"/>
    <col min="257" max="257" width="8.140625" style="90" customWidth="1"/>
    <col min="258" max="258" width="14.7109375" style="90" bestFit="1" customWidth="1"/>
    <col min="259" max="259" width="7.28515625" style="90" customWidth="1"/>
    <col min="260" max="260" width="37.42578125" style="90" customWidth="1"/>
    <col min="261" max="261" width="11.42578125" style="90" customWidth="1"/>
    <col min="262" max="262" width="12.42578125" style="90" customWidth="1"/>
    <col min="263" max="510" width="9.140625" style="90"/>
    <col min="511" max="511" width="8.85546875" style="90" customWidth="1"/>
    <col min="512" max="512" width="45.28515625" style="90" customWidth="1"/>
    <col min="513" max="513" width="8.140625" style="90" customWidth="1"/>
    <col min="514" max="514" width="14.7109375" style="90" bestFit="1" customWidth="1"/>
    <col min="515" max="515" width="7.28515625" style="90" customWidth="1"/>
    <col min="516" max="516" width="37.42578125" style="90" customWidth="1"/>
    <col min="517" max="517" width="11.42578125" style="90" customWidth="1"/>
    <col min="518" max="518" width="12.42578125" style="90" customWidth="1"/>
    <col min="519" max="766" width="9.140625" style="90"/>
    <col min="767" max="767" width="8.85546875" style="90" customWidth="1"/>
    <col min="768" max="768" width="45.28515625" style="90" customWidth="1"/>
    <col min="769" max="769" width="8.140625" style="90" customWidth="1"/>
    <col min="770" max="770" width="14.7109375" style="90" bestFit="1" customWidth="1"/>
    <col min="771" max="771" width="7.28515625" style="90" customWidth="1"/>
    <col min="772" max="772" width="37.42578125" style="90" customWidth="1"/>
    <col min="773" max="773" width="11.42578125" style="90" customWidth="1"/>
    <col min="774" max="774" width="12.42578125" style="90" customWidth="1"/>
    <col min="775" max="1022" width="9.140625" style="90"/>
    <col min="1023" max="1023" width="8.85546875" style="90" customWidth="1"/>
    <col min="1024" max="1024" width="45.28515625" style="90" customWidth="1"/>
    <col min="1025" max="1025" width="8.140625" style="90" customWidth="1"/>
    <col min="1026" max="1026" width="14.7109375" style="90" bestFit="1" customWidth="1"/>
    <col min="1027" max="1027" width="7.28515625" style="90" customWidth="1"/>
    <col min="1028" max="1028" width="37.42578125" style="90" customWidth="1"/>
    <col min="1029" max="1029" width="11.42578125" style="90" customWidth="1"/>
    <col min="1030" max="1030" width="12.42578125" style="90" customWidth="1"/>
    <col min="1031" max="1278" width="9.140625" style="90"/>
    <col min="1279" max="1279" width="8.85546875" style="90" customWidth="1"/>
    <col min="1280" max="1280" width="45.28515625" style="90" customWidth="1"/>
    <col min="1281" max="1281" width="8.140625" style="90" customWidth="1"/>
    <col min="1282" max="1282" width="14.7109375" style="90" bestFit="1" customWidth="1"/>
    <col min="1283" max="1283" width="7.28515625" style="90" customWidth="1"/>
    <col min="1284" max="1284" width="37.42578125" style="90" customWidth="1"/>
    <col min="1285" max="1285" width="11.42578125" style="90" customWidth="1"/>
    <col min="1286" max="1286" width="12.42578125" style="90" customWidth="1"/>
    <col min="1287" max="1534" width="9.140625" style="90"/>
    <col min="1535" max="1535" width="8.85546875" style="90" customWidth="1"/>
    <col min="1536" max="1536" width="45.28515625" style="90" customWidth="1"/>
    <col min="1537" max="1537" width="8.140625" style="90" customWidth="1"/>
    <col min="1538" max="1538" width="14.7109375" style="90" bestFit="1" customWidth="1"/>
    <col min="1539" max="1539" width="7.28515625" style="90" customWidth="1"/>
    <col min="1540" max="1540" width="37.42578125" style="90" customWidth="1"/>
    <col min="1541" max="1541" width="11.42578125" style="90" customWidth="1"/>
    <col min="1542" max="1542" width="12.42578125" style="90" customWidth="1"/>
    <col min="1543" max="1790" width="9.140625" style="90"/>
    <col min="1791" max="1791" width="8.85546875" style="90" customWidth="1"/>
    <col min="1792" max="1792" width="45.28515625" style="90" customWidth="1"/>
    <col min="1793" max="1793" width="8.140625" style="90" customWidth="1"/>
    <col min="1794" max="1794" width="14.7109375" style="90" bestFit="1" customWidth="1"/>
    <col min="1795" max="1795" width="7.28515625" style="90" customWidth="1"/>
    <col min="1796" max="1796" width="37.42578125" style="90" customWidth="1"/>
    <col min="1797" max="1797" width="11.42578125" style="90" customWidth="1"/>
    <col min="1798" max="1798" width="12.42578125" style="90" customWidth="1"/>
    <col min="1799" max="2046" width="9.140625" style="90"/>
    <col min="2047" max="2047" width="8.85546875" style="90" customWidth="1"/>
    <col min="2048" max="2048" width="45.28515625" style="90" customWidth="1"/>
    <col min="2049" max="2049" width="8.140625" style="90" customWidth="1"/>
    <col min="2050" max="2050" width="14.7109375" style="90" bestFit="1" customWidth="1"/>
    <col min="2051" max="2051" width="7.28515625" style="90" customWidth="1"/>
    <col min="2052" max="2052" width="37.42578125" style="90" customWidth="1"/>
    <col min="2053" max="2053" width="11.42578125" style="90" customWidth="1"/>
    <col min="2054" max="2054" width="12.42578125" style="90" customWidth="1"/>
    <col min="2055" max="2302" width="9.140625" style="90"/>
    <col min="2303" max="2303" width="8.85546875" style="90" customWidth="1"/>
    <col min="2304" max="2304" width="45.28515625" style="90" customWidth="1"/>
    <col min="2305" max="2305" width="8.140625" style="90" customWidth="1"/>
    <col min="2306" max="2306" width="14.7109375" style="90" bestFit="1" customWidth="1"/>
    <col min="2307" max="2307" width="7.28515625" style="90" customWidth="1"/>
    <col min="2308" max="2308" width="37.42578125" style="90" customWidth="1"/>
    <col min="2309" max="2309" width="11.42578125" style="90" customWidth="1"/>
    <col min="2310" max="2310" width="12.42578125" style="90" customWidth="1"/>
    <col min="2311" max="2558" width="9.140625" style="90"/>
    <col min="2559" max="2559" width="8.85546875" style="90" customWidth="1"/>
    <col min="2560" max="2560" width="45.28515625" style="90" customWidth="1"/>
    <col min="2561" max="2561" width="8.140625" style="90" customWidth="1"/>
    <col min="2562" max="2562" width="14.7109375" style="90" bestFit="1" customWidth="1"/>
    <col min="2563" max="2563" width="7.28515625" style="90" customWidth="1"/>
    <col min="2564" max="2564" width="37.42578125" style="90" customWidth="1"/>
    <col min="2565" max="2565" width="11.42578125" style="90" customWidth="1"/>
    <col min="2566" max="2566" width="12.42578125" style="90" customWidth="1"/>
    <col min="2567" max="2814" width="9.140625" style="90"/>
    <col min="2815" max="2815" width="8.85546875" style="90" customWidth="1"/>
    <col min="2816" max="2816" width="45.28515625" style="90" customWidth="1"/>
    <col min="2817" max="2817" width="8.140625" style="90" customWidth="1"/>
    <col min="2818" max="2818" width="14.7109375" style="90" bestFit="1" customWidth="1"/>
    <col min="2819" max="2819" width="7.28515625" style="90" customWidth="1"/>
    <col min="2820" max="2820" width="37.42578125" style="90" customWidth="1"/>
    <col min="2821" max="2821" width="11.42578125" style="90" customWidth="1"/>
    <col min="2822" max="2822" width="12.42578125" style="90" customWidth="1"/>
    <col min="2823" max="3070" width="9.140625" style="90"/>
    <col min="3071" max="3071" width="8.85546875" style="90" customWidth="1"/>
    <col min="3072" max="3072" width="45.28515625" style="90" customWidth="1"/>
    <col min="3073" max="3073" width="8.140625" style="90" customWidth="1"/>
    <col min="3074" max="3074" width="14.7109375" style="90" bestFit="1" customWidth="1"/>
    <col min="3075" max="3075" width="7.28515625" style="90" customWidth="1"/>
    <col min="3076" max="3076" width="37.42578125" style="90" customWidth="1"/>
    <col min="3077" max="3077" width="11.42578125" style="90" customWidth="1"/>
    <col min="3078" max="3078" width="12.42578125" style="90" customWidth="1"/>
    <col min="3079" max="3326" width="9.140625" style="90"/>
    <col min="3327" max="3327" width="8.85546875" style="90" customWidth="1"/>
    <col min="3328" max="3328" width="45.28515625" style="90" customWidth="1"/>
    <col min="3329" max="3329" width="8.140625" style="90" customWidth="1"/>
    <col min="3330" max="3330" width="14.7109375" style="90" bestFit="1" customWidth="1"/>
    <col min="3331" max="3331" width="7.28515625" style="90" customWidth="1"/>
    <col min="3332" max="3332" width="37.42578125" style="90" customWidth="1"/>
    <col min="3333" max="3333" width="11.42578125" style="90" customWidth="1"/>
    <col min="3334" max="3334" width="12.42578125" style="90" customWidth="1"/>
    <col min="3335" max="3582" width="9.140625" style="90"/>
    <col min="3583" max="3583" width="8.85546875" style="90" customWidth="1"/>
    <col min="3584" max="3584" width="45.28515625" style="90" customWidth="1"/>
    <col min="3585" max="3585" width="8.140625" style="90" customWidth="1"/>
    <col min="3586" max="3586" width="14.7109375" style="90" bestFit="1" customWidth="1"/>
    <col min="3587" max="3587" width="7.28515625" style="90" customWidth="1"/>
    <col min="3588" max="3588" width="37.42578125" style="90" customWidth="1"/>
    <col min="3589" max="3589" width="11.42578125" style="90" customWidth="1"/>
    <col min="3590" max="3590" width="12.42578125" style="90" customWidth="1"/>
    <col min="3591" max="3838" width="9.140625" style="90"/>
    <col min="3839" max="3839" width="8.85546875" style="90" customWidth="1"/>
    <col min="3840" max="3840" width="45.28515625" style="90" customWidth="1"/>
    <col min="3841" max="3841" width="8.140625" style="90" customWidth="1"/>
    <col min="3842" max="3842" width="14.7109375" style="90" bestFit="1" customWidth="1"/>
    <col min="3843" max="3843" width="7.28515625" style="90" customWidth="1"/>
    <col min="3844" max="3844" width="37.42578125" style="90" customWidth="1"/>
    <col min="3845" max="3845" width="11.42578125" style="90" customWidth="1"/>
    <col min="3846" max="3846" width="12.42578125" style="90" customWidth="1"/>
    <col min="3847" max="4094" width="9.140625" style="90"/>
    <col min="4095" max="4095" width="8.85546875" style="90" customWidth="1"/>
    <col min="4096" max="4096" width="45.28515625" style="90" customWidth="1"/>
    <col min="4097" max="4097" width="8.140625" style="90" customWidth="1"/>
    <col min="4098" max="4098" width="14.7109375" style="90" bestFit="1" customWidth="1"/>
    <col min="4099" max="4099" width="7.28515625" style="90" customWidth="1"/>
    <col min="4100" max="4100" width="37.42578125" style="90" customWidth="1"/>
    <col min="4101" max="4101" width="11.42578125" style="90" customWidth="1"/>
    <col min="4102" max="4102" width="12.42578125" style="90" customWidth="1"/>
    <col min="4103" max="4350" width="9.140625" style="90"/>
    <col min="4351" max="4351" width="8.85546875" style="90" customWidth="1"/>
    <col min="4352" max="4352" width="45.28515625" style="90" customWidth="1"/>
    <col min="4353" max="4353" width="8.140625" style="90" customWidth="1"/>
    <col min="4354" max="4354" width="14.7109375" style="90" bestFit="1" customWidth="1"/>
    <col min="4355" max="4355" width="7.28515625" style="90" customWidth="1"/>
    <col min="4356" max="4356" width="37.42578125" style="90" customWidth="1"/>
    <col min="4357" max="4357" width="11.42578125" style="90" customWidth="1"/>
    <col min="4358" max="4358" width="12.42578125" style="90" customWidth="1"/>
    <col min="4359" max="4606" width="9.140625" style="90"/>
    <col min="4607" max="4607" width="8.85546875" style="90" customWidth="1"/>
    <col min="4608" max="4608" width="45.28515625" style="90" customWidth="1"/>
    <col min="4609" max="4609" width="8.140625" style="90" customWidth="1"/>
    <col min="4610" max="4610" width="14.7109375" style="90" bestFit="1" customWidth="1"/>
    <col min="4611" max="4611" width="7.28515625" style="90" customWidth="1"/>
    <col min="4612" max="4612" width="37.42578125" style="90" customWidth="1"/>
    <col min="4613" max="4613" width="11.42578125" style="90" customWidth="1"/>
    <col min="4614" max="4614" width="12.42578125" style="90" customWidth="1"/>
    <col min="4615" max="4862" width="9.140625" style="90"/>
    <col min="4863" max="4863" width="8.85546875" style="90" customWidth="1"/>
    <col min="4864" max="4864" width="45.28515625" style="90" customWidth="1"/>
    <col min="4865" max="4865" width="8.140625" style="90" customWidth="1"/>
    <col min="4866" max="4866" width="14.7109375" style="90" bestFit="1" customWidth="1"/>
    <col min="4867" max="4867" width="7.28515625" style="90" customWidth="1"/>
    <col min="4868" max="4868" width="37.42578125" style="90" customWidth="1"/>
    <col min="4869" max="4869" width="11.42578125" style="90" customWidth="1"/>
    <col min="4870" max="4870" width="12.42578125" style="90" customWidth="1"/>
    <col min="4871" max="5118" width="9.140625" style="90"/>
    <col min="5119" max="5119" width="8.85546875" style="90" customWidth="1"/>
    <col min="5120" max="5120" width="45.28515625" style="90" customWidth="1"/>
    <col min="5121" max="5121" width="8.140625" style="90" customWidth="1"/>
    <col min="5122" max="5122" width="14.7109375" style="90" bestFit="1" customWidth="1"/>
    <col min="5123" max="5123" width="7.28515625" style="90" customWidth="1"/>
    <col min="5124" max="5124" width="37.42578125" style="90" customWidth="1"/>
    <col min="5125" max="5125" width="11.42578125" style="90" customWidth="1"/>
    <col min="5126" max="5126" width="12.42578125" style="90" customWidth="1"/>
    <col min="5127" max="5374" width="9.140625" style="90"/>
    <col min="5375" max="5375" width="8.85546875" style="90" customWidth="1"/>
    <col min="5376" max="5376" width="45.28515625" style="90" customWidth="1"/>
    <col min="5377" max="5377" width="8.140625" style="90" customWidth="1"/>
    <col min="5378" max="5378" width="14.7109375" style="90" bestFit="1" customWidth="1"/>
    <col min="5379" max="5379" width="7.28515625" style="90" customWidth="1"/>
    <col min="5380" max="5380" width="37.42578125" style="90" customWidth="1"/>
    <col min="5381" max="5381" width="11.42578125" style="90" customWidth="1"/>
    <col min="5382" max="5382" width="12.42578125" style="90" customWidth="1"/>
    <col min="5383" max="5630" width="9.140625" style="90"/>
    <col min="5631" max="5631" width="8.85546875" style="90" customWidth="1"/>
    <col min="5632" max="5632" width="45.28515625" style="90" customWidth="1"/>
    <col min="5633" max="5633" width="8.140625" style="90" customWidth="1"/>
    <col min="5634" max="5634" width="14.7109375" style="90" bestFit="1" customWidth="1"/>
    <col min="5635" max="5635" width="7.28515625" style="90" customWidth="1"/>
    <col min="5636" max="5636" width="37.42578125" style="90" customWidth="1"/>
    <col min="5637" max="5637" width="11.42578125" style="90" customWidth="1"/>
    <col min="5638" max="5638" width="12.42578125" style="90" customWidth="1"/>
    <col min="5639" max="5886" width="9.140625" style="90"/>
    <col min="5887" max="5887" width="8.85546875" style="90" customWidth="1"/>
    <col min="5888" max="5888" width="45.28515625" style="90" customWidth="1"/>
    <col min="5889" max="5889" width="8.140625" style="90" customWidth="1"/>
    <col min="5890" max="5890" width="14.7109375" style="90" bestFit="1" customWidth="1"/>
    <col min="5891" max="5891" width="7.28515625" style="90" customWidth="1"/>
    <col min="5892" max="5892" width="37.42578125" style="90" customWidth="1"/>
    <col min="5893" max="5893" width="11.42578125" style="90" customWidth="1"/>
    <col min="5894" max="5894" width="12.42578125" style="90" customWidth="1"/>
    <col min="5895" max="6142" width="9.140625" style="90"/>
    <col min="6143" max="6143" width="8.85546875" style="90" customWidth="1"/>
    <col min="6144" max="6144" width="45.28515625" style="90" customWidth="1"/>
    <col min="6145" max="6145" width="8.140625" style="90" customWidth="1"/>
    <col min="6146" max="6146" width="14.7109375" style="90" bestFit="1" customWidth="1"/>
    <col min="6147" max="6147" width="7.28515625" style="90" customWidth="1"/>
    <col min="6148" max="6148" width="37.42578125" style="90" customWidth="1"/>
    <col min="6149" max="6149" width="11.42578125" style="90" customWidth="1"/>
    <col min="6150" max="6150" width="12.42578125" style="90" customWidth="1"/>
    <col min="6151" max="6398" width="9.140625" style="90"/>
    <col min="6399" max="6399" width="8.85546875" style="90" customWidth="1"/>
    <col min="6400" max="6400" width="45.28515625" style="90" customWidth="1"/>
    <col min="6401" max="6401" width="8.140625" style="90" customWidth="1"/>
    <col min="6402" max="6402" width="14.7109375" style="90" bestFit="1" customWidth="1"/>
    <col min="6403" max="6403" width="7.28515625" style="90" customWidth="1"/>
    <col min="6404" max="6404" width="37.42578125" style="90" customWidth="1"/>
    <col min="6405" max="6405" width="11.42578125" style="90" customWidth="1"/>
    <col min="6406" max="6406" width="12.42578125" style="90" customWidth="1"/>
    <col min="6407" max="6654" width="9.140625" style="90"/>
    <col min="6655" max="6655" width="8.85546875" style="90" customWidth="1"/>
    <col min="6656" max="6656" width="45.28515625" style="90" customWidth="1"/>
    <col min="6657" max="6657" width="8.140625" style="90" customWidth="1"/>
    <col min="6658" max="6658" width="14.7109375" style="90" bestFit="1" customWidth="1"/>
    <col min="6659" max="6659" width="7.28515625" style="90" customWidth="1"/>
    <col min="6660" max="6660" width="37.42578125" style="90" customWidth="1"/>
    <col min="6661" max="6661" width="11.42578125" style="90" customWidth="1"/>
    <col min="6662" max="6662" width="12.42578125" style="90" customWidth="1"/>
    <col min="6663" max="6910" width="9.140625" style="90"/>
    <col min="6911" max="6911" width="8.85546875" style="90" customWidth="1"/>
    <col min="6912" max="6912" width="45.28515625" style="90" customWidth="1"/>
    <col min="6913" max="6913" width="8.140625" style="90" customWidth="1"/>
    <col min="6914" max="6914" width="14.7109375" style="90" bestFit="1" customWidth="1"/>
    <col min="6915" max="6915" width="7.28515625" style="90" customWidth="1"/>
    <col min="6916" max="6916" width="37.42578125" style="90" customWidth="1"/>
    <col min="6917" max="6917" width="11.42578125" style="90" customWidth="1"/>
    <col min="6918" max="6918" width="12.42578125" style="90" customWidth="1"/>
    <col min="6919" max="7166" width="9.140625" style="90"/>
    <col min="7167" max="7167" width="8.85546875" style="90" customWidth="1"/>
    <col min="7168" max="7168" width="45.28515625" style="90" customWidth="1"/>
    <col min="7169" max="7169" width="8.140625" style="90" customWidth="1"/>
    <col min="7170" max="7170" width="14.7109375" style="90" bestFit="1" customWidth="1"/>
    <col min="7171" max="7171" width="7.28515625" style="90" customWidth="1"/>
    <col min="7172" max="7172" width="37.42578125" style="90" customWidth="1"/>
    <col min="7173" max="7173" width="11.42578125" style="90" customWidth="1"/>
    <col min="7174" max="7174" width="12.42578125" style="90" customWidth="1"/>
    <col min="7175" max="7422" width="9.140625" style="90"/>
    <col min="7423" max="7423" width="8.85546875" style="90" customWidth="1"/>
    <col min="7424" max="7424" width="45.28515625" style="90" customWidth="1"/>
    <col min="7425" max="7425" width="8.140625" style="90" customWidth="1"/>
    <col min="7426" max="7426" width="14.7109375" style="90" bestFit="1" customWidth="1"/>
    <col min="7427" max="7427" width="7.28515625" style="90" customWidth="1"/>
    <col min="7428" max="7428" width="37.42578125" style="90" customWidth="1"/>
    <col min="7429" max="7429" width="11.42578125" style="90" customWidth="1"/>
    <col min="7430" max="7430" width="12.42578125" style="90" customWidth="1"/>
    <col min="7431" max="7678" width="9.140625" style="90"/>
    <col min="7679" max="7679" width="8.85546875" style="90" customWidth="1"/>
    <col min="7680" max="7680" width="45.28515625" style="90" customWidth="1"/>
    <col min="7681" max="7681" width="8.140625" style="90" customWidth="1"/>
    <col min="7682" max="7682" width="14.7109375" style="90" bestFit="1" customWidth="1"/>
    <col min="7683" max="7683" width="7.28515625" style="90" customWidth="1"/>
    <col min="7684" max="7684" width="37.42578125" style="90" customWidth="1"/>
    <col min="7685" max="7685" width="11.42578125" style="90" customWidth="1"/>
    <col min="7686" max="7686" width="12.42578125" style="90" customWidth="1"/>
    <col min="7687" max="7934" width="9.140625" style="90"/>
    <col min="7935" max="7935" width="8.85546875" style="90" customWidth="1"/>
    <col min="7936" max="7936" width="45.28515625" style="90" customWidth="1"/>
    <col min="7937" max="7937" width="8.140625" style="90" customWidth="1"/>
    <col min="7938" max="7938" width="14.7109375" style="90" bestFit="1" customWidth="1"/>
    <col min="7939" max="7939" width="7.28515625" style="90" customWidth="1"/>
    <col min="7940" max="7940" width="37.42578125" style="90" customWidth="1"/>
    <col min="7941" max="7941" width="11.42578125" style="90" customWidth="1"/>
    <col min="7942" max="7942" width="12.42578125" style="90" customWidth="1"/>
    <col min="7943" max="8190" width="9.140625" style="90"/>
    <col min="8191" max="8191" width="8.85546875" style="90" customWidth="1"/>
    <col min="8192" max="8192" width="45.28515625" style="90" customWidth="1"/>
    <col min="8193" max="8193" width="8.140625" style="90" customWidth="1"/>
    <col min="8194" max="8194" width="14.7109375" style="90" bestFit="1" customWidth="1"/>
    <col min="8195" max="8195" width="7.28515625" style="90" customWidth="1"/>
    <col min="8196" max="8196" width="37.42578125" style="90" customWidth="1"/>
    <col min="8197" max="8197" width="11.42578125" style="90" customWidth="1"/>
    <col min="8198" max="8198" width="12.42578125" style="90" customWidth="1"/>
    <col min="8199" max="8446" width="9.140625" style="90"/>
    <col min="8447" max="8447" width="8.85546875" style="90" customWidth="1"/>
    <col min="8448" max="8448" width="45.28515625" style="90" customWidth="1"/>
    <col min="8449" max="8449" width="8.140625" style="90" customWidth="1"/>
    <col min="8450" max="8450" width="14.7109375" style="90" bestFit="1" customWidth="1"/>
    <col min="8451" max="8451" width="7.28515625" style="90" customWidth="1"/>
    <col min="8452" max="8452" width="37.42578125" style="90" customWidth="1"/>
    <col min="8453" max="8453" width="11.42578125" style="90" customWidth="1"/>
    <col min="8454" max="8454" width="12.42578125" style="90" customWidth="1"/>
    <col min="8455" max="8702" width="9.140625" style="90"/>
    <col min="8703" max="8703" width="8.85546875" style="90" customWidth="1"/>
    <col min="8704" max="8704" width="45.28515625" style="90" customWidth="1"/>
    <col min="8705" max="8705" width="8.140625" style="90" customWidth="1"/>
    <col min="8706" max="8706" width="14.7109375" style="90" bestFit="1" customWidth="1"/>
    <col min="8707" max="8707" width="7.28515625" style="90" customWidth="1"/>
    <col min="8708" max="8708" width="37.42578125" style="90" customWidth="1"/>
    <col min="8709" max="8709" width="11.42578125" style="90" customWidth="1"/>
    <col min="8710" max="8710" width="12.42578125" style="90" customWidth="1"/>
    <col min="8711" max="8958" width="9.140625" style="90"/>
    <col min="8959" max="8959" width="8.85546875" style="90" customWidth="1"/>
    <col min="8960" max="8960" width="45.28515625" style="90" customWidth="1"/>
    <col min="8961" max="8961" width="8.140625" style="90" customWidth="1"/>
    <col min="8962" max="8962" width="14.7109375" style="90" bestFit="1" customWidth="1"/>
    <col min="8963" max="8963" width="7.28515625" style="90" customWidth="1"/>
    <col min="8964" max="8964" width="37.42578125" style="90" customWidth="1"/>
    <col min="8965" max="8965" width="11.42578125" style="90" customWidth="1"/>
    <col min="8966" max="8966" width="12.42578125" style="90" customWidth="1"/>
    <col min="8967" max="9214" width="9.140625" style="90"/>
    <col min="9215" max="9215" width="8.85546875" style="90" customWidth="1"/>
    <col min="9216" max="9216" width="45.28515625" style="90" customWidth="1"/>
    <col min="9217" max="9217" width="8.140625" style="90" customWidth="1"/>
    <col min="9218" max="9218" width="14.7109375" style="90" bestFit="1" customWidth="1"/>
    <col min="9219" max="9219" width="7.28515625" style="90" customWidth="1"/>
    <col min="9220" max="9220" width="37.42578125" style="90" customWidth="1"/>
    <col min="9221" max="9221" width="11.42578125" style="90" customWidth="1"/>
    <col min="9222" max="9222" width="12.42578125" style="90" customWidth="1"/>
    <col min="9223" max="9470" width="9.140625" style="90"/>
    <col min="9471" max="9471" width="8.85546875" style="90" customWidth="1"/>
    <col min="9472" max="9472" width="45.28515625" style="90" customWidth="1"/>
    <col min="9473" max="9473" width="8.140625" style="90" customWidth="1"/>
    <col min="9474" max="9474" width="14.7109375" style="90" bestFit="1" customWidth="1"/>
    <col min="9475" max="9475" width="7.28515625" style="90" customWidth="1"/>
    <col min="9476" max="9476" width="37.42578125" style="90" customWidth="1"/>
    <col min="9477" max="9477" width="11.42578125" style="90" customWidth="1"/>
    <col min="9478" max="9478" width="12.42578125" style="90" customWidth="1"/>
    <col min="9479" max="9726" width="9.140625" style="90"/>
    <col min="9727" max="9727" width="8.85546875" style="90" customWidth="1"/>
    <col min="9728" max="9728" width="45.28515625" style="90" customWidth="1"/>
    <col min="9729" max="9729" width="8.140625" style="90" customWidth="1"/>
    <col min="9730" max="9730" width="14.7109375" style="90" bestFit="1" customWidth="1"/>
    <col min="9731" max="9731" width="7.28515625" style="90" customWidth="1"/>
    <col min="9732" max="9732" width="37.42578125" style="90" customWidth="1"/>
    <col min="9733" max="9733" width="11.42578125" style="90" customWidth="1"/>
    <col min="9734" max="9734" width="12.42578125" style="90" customWidth="1"/>
    <col min="9735" max="9982" width="9.140625" style="90"/>
    <col min="9983" max="9983" width="8.85546875" style="90" customWidth="1"/>
    <col min="9984" max="9984" width="45.28515625" style="90" customWidth="1"/>
    <col min="9985" max="9985" width="8.140625" style="90" customWidth="1"/>
    <col min="9986" max="9986" width="14.7109375" style="90" bestFit="1" customWidth="1"/>
    <col min="9987" max="9987" width="7.28515625" style="90" customWidth="1"/>
    <col min="9988" max="9988" width="37.42578125" style="90" customWidth="1"/>
    <col min="9989" max="9989" width="11.42578125" style="90" customWidth="1"/>
    <col min="9990" max="9990" width="12.42578125" style="90" customWidth="1"/>
    <col min="9991" max="10238" width="9.140625" style="90"/>
    <col min="10239" max="10239" width="8.85546875" style="90" customWidth="1"/>
    <col min="10240" max="10240" width="45.28515625" style="90" customWidth="1"/>
    <col min="10241" max="10241" width="8.140625" style="90" customWidth="1"/>
    <col min="10242" max="10242" width="14.7109375" style="90" bestFit="1" customWidth="1"/>
    <col min="10243" max="10243" width="7.28515625" style="90" customWidth="1"/>
    <col min="10244" max="10244" width="37.42578125" style="90" customWidth="1"/>
    <col min="10245" max="10245" width="11.42578125" style="90" customWidth="1"/>
    <col min="10246" max="10246" width="12.42578125" style="90" customWidth="1"/>
    <col min="10247" max="10494" width="9.140625" style="90"/>
    <col min="10495" max="10495" width="8.85546875" style="90" customWidth="1"/>
    <col min="10496" max="10496" width="45.28515625" style="90" customWidth="1"/>
    <col min="10497" max="10497" width="8.140625" style="90" customWidth="1"/>
    <col min="10498" max="10498" width="14.7109375" style="90" bestFit="1" customWidth="1"/>
    <col min="10499" max="10499" width="7.28515625" style="90" customWidth="1"/>
    <col min="10500" max="10500" width="37.42578125" style="90" customWidth="1"/>
    <col min="10501" max="10501" width="11.42578125" style="90" customWidth="1"/>
    <col min="10502" max="10502" width="12.42578125" style="90" customWidth="1"/>
    <col min="10503" max="10750" width="9.140625" style="90"/>
    <col min="10751" max="10751" width="8.85546875" style="90" customWidth="1"/>
    <col min="10752" max="10752" width="45.28515625" style="90" customWidth="1"/>
    <col min="10753" max="10753" width="8.140625" style="90" customWidth="1"/>
    <col min="10754" max="10754" width="14.7109375" style="90" bestFit="1" customWidth="1"/>
    <col min="10755" max="10755" width="7.28515625" style="90" customWidth="1"/>
    <col min="10756" max="10756" width="37.42578125" style="90" customWidth="1"/>
    <col min="10757" max="10757" width="11.42578125" style="90" customWidth="1"/>
    <col min="10758" max="10758" width="12.42578125" style="90" customWidth="1"/>
    <col min="10759" max="11006" width="9.140625" style="90"/>
    <col min="11007" max="11007" width="8.85546875" style="90" customWidth="1"/>
    <col min="11008" max="11008" width="45.28515625" style="90" customWidth="1"/>
    <col min="11009" max="11009" width="8.140625" style="90" customWidth="1"/>
    <col min="11010" max="11010" width="14.7109375" style="90" bestFit="1" customWidth="1"/>
    <col min="11011" max="11011" width="7.28515625" style="90" customWidth="1"/>
    <col min="11012" max="11012" width="37.42578125" style="90" customWidth="1"/>
    <col min="11013" max="11013" width="11.42578125" style="90" customWidth="1"/>
    <col min="11014" max="11014" width="12.42578125" style="90" customWidth="1"/>
    <col min="11015" max="11262" width="9.140625" style="90"/>
    <col min="11263" max="11263" width="8.85546875" style="90" customWidth="1"/>
    <col min="11264" max="11264" width="45.28515625" style="90" customWidth="1"/>
    <col min="11265" max="11265" width="8.140625" style="90" customWidth="1"/>
    <col min="11266" max="11266" width="14.7109375" style="90" bestFit="1" customWidth="1"/>
    <col min="11267" max="11267" width="7.28515625" style="90" customWidth="1"/>
    <col min="11268" max="11268" width="37.42578125" style="90" customWidth="1"/>
    <col min="11269" max="11269" width="11.42578125" style="90" customWidth="1"/>
    <col min="11270" max="11270" width="12.42578125" style="90" customWidth="1"/>
    <col min="11271" max="11518" width="9.140625" style="90"/>
    <col min="11519" max="11519" width="8.85546875" style="90" customWidth="1"/>
    <col min="11520" max="11520" width="45.28515625" style="90" customWidth="1"/>
    <col min="11521" max="11521" width="8.140625" style="90" customWidth="1"/>
    <col min="11522" max="11522" width="14.7109375" style="90" bestFit="1" customWidth="1"/>
    <col min="11523" max="11523" width="7.28515625" style="90" customWidth="1"/>
    <col min="11524" max="11524" width="37.42578125" style="90" customWidth="1"/>
    <col min="11525" max="11525" width="11.42578125" style="90" customWidth="1"/>
    <col min="11526" max="11526" width="12.42578125" style="90" customWidth="1"/>
    <col min="11527" max="11774" width="9.140625" style="90"/>
    <col min="11775" max="11775" width="8.85546875" style="90" customWidth="1"/>
    <col min="11776" max="11776" width="45.28515625" style="90" customWidth="1"/>
    <col min="11777" max="11777" width="8.140625" style="90" customWidth="1"/>
    <col min="11778" max="11778" width="14.7109375" style="90" bestFit="1" customWidth="1"/>
    <col min="11779" max="11779" width="7.28515625" style="90" customWidth="1"/>
    <col min="11780" max="11780" width="37.42578125" style="90" customWidth="1"/>
    <col min="11781" max="11781" width="11.42578125" style="90" customWidth="1"/>
    <col min="11782" max="11782" width="12.42578125" style="90" customWidth="1"/>
    <col min="11783" max="12030" width="9.140625" style="90"/>
    <col min="12031" max="12031" width="8.85546875" style="90" customWidth="1"/>
    <col min="12032" max="12032" width="45.28515625" style="90" customWidth="1"/>
    <col min="12033" max="12033" width="8.140625" style="90" customWidth="1"/>
    <col min="12034" max="12034" width="14.7109375" style="90" bestFit="1" customWidth="1"/>
    <col min="12035" max="12035" width="7.28515625" style="90" customWidth="1"/>
    <col min="12036" max="12036" width="37.42578125" style="90" customWidth="1"/>
    <col min="12037" max="12037" width="11.42578125" style="90" customWidth="1"/>
    <col min="12038" max="12038" width="12.42578125" style="90" customWidth="1"/>
    <col min="12039" max="12286" width="9.140625" style="90"/>
    <col min="12287" max="12287" width="8.85546875" style="90" customWidth="1"/>
    <col min="12288" max="12288" width="45.28515625" style="90" customWidth="1"/>
    <col min="12289" max="12289" width="8.140625" style="90" customWidth="1"/>
    <col min="12290" max="12290" width="14.7109375" style="90" bestFit="1" customWidth="1"/>
    <col min="12291" max="12291" width="7.28515625" style="90" customWidth="1"/>
    <col min="12292" max="12292" width="37.42578125" style="90" customWidth="1"/>
    <col min="12293" max="12293" width="11.42578125" style="90" customWidth="1"/>
    <col min="12294" max="12294" width="12.42578125" style="90" customWidth="1"/>
    <col min="12295" max="12542" width="9.140625" style="90"/>
    <col min="12543" max="12543" width="8.85546875" style="90" customWidth="1"/>
    <col min="12544" max="12544" width="45.28515625" style="90" customWidth="1"/>
    <col min="12545" max="12545" width="8.140625" style="90" customWidth="1"/>
    <col min="12546" max="12546" width="14.7109375" style="90" bestFit="1" customWidth="1"/>
    <col min="12547" max="12547" width="7.28515625" style="90" customWidth="1"/>
    <col min="12548" max="12548" width="37.42578125" style="90" customWidth="1"/>
    <col min="12549" max="12549" width="11.42578125" style="90" customWidth="1"/>
    <col min="12550" max="12550" width="12.42578125" style="90" customWidth="1"/>
    <col min="12551" max="12798" width="9.140625" style="90"/>
    <col min="12799" max="12799" width="8.85546875" style="90" customWidth="1"/>
    <col min="12800" max="12800" width="45.28515625" style="90" customWidth="1"/>
    <col min="12801" max="12801" width="8.140625" style="90" customWidth="1"/>
    <col min="12802" max="12802" width="14.7109375" style="90" bestFit="1" customWidth="1"/>
    <col min="12803" max="12803" width="7.28515625" style="90" customWidth="1"/>
    <col min="12804" max="12804" width="37.42578125" style="90" customWidth="1"/>
    <col min="12805" max="12805" width="11.42578125" style="90" customWidth="1"/>
    <col min="12806" max="12806" width="12.42578125" style="90" customWidth="1"/>
    <col min="12807" max="13054" width="9.140625" style="90"/>
    <col min="13055" max="13055" width="8.85546875" style="90" customWidth="1"/>
    <col min="13056" max="13056" width="45.28515625" style="90" customWidth="1"/>
    <col min="13057" max="13057" width="8.140625" style="90" customWidth="1"/>
    <col min="13058" max="13058" width="14.7109375" style="90" bestFit="1" customWidth="1"/>
    <col min="13059" max="13059" width="7.28515625" style="90" customWidth="1"/>
    <col min="13060" max="13060" width="37.42578125" style="90" customWidth="1"/>
    <col min="13061" max="13061" width="11.42578125" style="90" customWidth="1"/>
    <col min="13062" max="13062" width="12.42578125" style="90" customWidth="1"/>
    <col min="13063" max="13310" width="9.140625" style="90"/>
    <col min="13311" max="13311" width="8.85546875" style="90" customWidth="1"/>
    <col min="13312" max="13312" width="45.28515625" style="90" customWidth="1"/>
    <col min="13313" max="13313" width="8.140625" style="90" customWidth="1"/>
    <col min="13314" max="13314" width="14.7109375" style="90" bestFit="1" customWidth="1"/>
    <col min="13315" max="13315" width="7.28515625" style="90" customWidth="1"/>
    <col min="13316" max="13316" width="37.42578125" style="90" customWidth="1"/>
    <col min="13317" max="13317" width="11.42578125" style="90" customWidth="1"/>
    <col min="13318" max="13318" width="12.42578125" style="90" customWidth="1"/>
    <col min="13319" max="13566" width="9.140625" style="90"/>
    <col min="13567" max="13567" width="8.85546875" style="90" customWidth="1"/>
    <col min="13568" max="13568" width="45.28515625" style="90" customWidth="1"/>
    <col min="13569" max="13569" width="8.140625" style="90" customWidth="1"/>
    <col min="13570" max="13570" width="14.7109375" style="90" bestFit="1" customWidth="1"/>
    <col min="13571" max="13571" width="7.28515625" style="90" customWidth="1"/>
    <col min="13572" max="13572" width="37.42578125" style="90" customWidth="1"/>
    <col min="13573" max="13573" width="11.42578125" style="90" customWidth="1"/>
    <col min="13574" max="13574" width="12.42578125" style="90" customWidth="1"/>
    <col min="13575" max="13822" width="9.140625" style="90"/>
    <col min="13823" max="13823" width="8.85546875" style="90" customWidth="1"/>
    <col min="13824" max="13824" width="45.28515625" style="90" customWidth="1"/>
    <col min="13825" max="13825" width="8.140625" style="90" customWidth="1"/>
    <col min="13826" max="13826" width="14.7109375" style="90" bestFit="1" customWidth="1"/>
    <col min="13827" max="13827" width="7.28515625" style="90" customWidth="1"/>
    <col min="13828" max="13828" width="37.42578125" style="90" customWidth="1"/>
    <col min="13829" max="13829" width="11.42578125" style="90" customWidth="1"/>
    <col min="13830" max="13830" width="12.42578125" style="90" customWidth="1"/>
    <col min="13831" max="14078" width="9.140625" style="90"/>
    <col min="14079" max="14079" width="8.85546875" style="90" customWidth="1"/>
    <col min="14080" max="14080" width="45.28515625" style="90" customWidth="1"/>
    <col min="14081" max="14081" width="8.140625" style="90" customWidth="1"/>
    <col min="14082" max="14082" width="14.7109375" style="90" bestFit="1" customWidth="1"/>
    <col min="14083" max="14083" width="7.28515625" style="90" customWidth="1"/>
    <col min="14084" max="14084" width="37.42578125" style="90" customWidth="1"/>
    <col min="14085" max="14085" width="11.42578125" style="90" customWidth="1"/>
    <col min="14086" max="14086" width="12.42578125" style="90" customWidth="1"/>
    <col min="14087" max="14334" width="9.140625" style="90"/>
    <col min="14335" max="14335" width="8.85546875" style="90" customWidth="1"/>
    <col min="14336" max="14336" width="45.28515625" style="90" customWidth="1"/>
    <col min="14337" max="14337" width="8.140625" style="90" customWidth="1"/>
    <col min="14338" max="14338" width="14.7109375" style="90" bestFit="1" customWidth="1"/>
    <col min="14339" max="14339" width="7.28515625" style="90" customWidth="1"/>
    <col min="14340" max="14340" width="37.42578125" style="90" customWidth="1"/>
    <col min="14341" max="14341" width="11.42578125" style="90" customWidth="1"/>
    <col min="14342" max="14342" width="12.42578125" style="90" customWidth="1"/>
    <col min="14343" max="14590" width="9.140625" style="90"/>
    <col min="14591" max="14591" width="8.85546875" style="90" customWidth="1"/>
    <col min="14592" max="14592" width="45.28515625" style="90" customWidth="1"/>
    <col min="14593" max="14593" width="8.140625" style="90" customWidth="1"/>
    <col min="14594" max="14594" width="14.7109375" style="90" bestFit="1" customWidth="1"/>
    <col min="14595" max="14595" width="7.28515625" style="90" customWidth="1"/>
    <col min="14596" max="14596" width="37.42578125" style="90" customWidth="1"/>
    <col min="14597" max="14597" width="11.42578125" style="90" customWidth="1"/>
    <col min="14598" max="14598" width="12.42578125" style="90" customWidth="1"/>
    <col min="14599" max="14846" width="9.140625" style="90"/>
    <col min="14847" max="14847" width="8.85546875" style="90" customWidth="1"/>
    <col min="14848" max="14848" width="45.28515625" style="90" customWidth="1"/>
    <col min="14849" max="14849" width="8.140625" style="90" customWidth="1"/>
    <col min="14850" max="14850" width="14.7109375" style="90" bestFit="1" customWidth="1"/>
    <col min="14851" max="14851" width="7.28515625" style="90" customWidth="1"/>
    <col min="14852" max="14852" width="37.42578125" style="90" customWidth="1"/>
    <col min="14853" max="14853" width="11.42578125" style="90" customWidth="1"/>
    <col min="14854" max="14854" width="12.42578125" style="90" customWidth="1"/>
    <col min="14855" max="15102" width="9.140625" style="90"/>
    <col min="15103" max="15103" width="8.85546875" style="90" customWidth="1"/>
    <col min="15104" max="15104" width="45.28515625" style="90" customWidth="1"/>
    <col min="15105" max="15105" width="8.140625" style="90" customWidth="1"/>
    <col min="15106" max="15106" width="14.7109375" style="90" bestFit="1" customWidth="1"/>
    <col min="15107" max="15107" width="7.28515625" style="90" customWidth="1"/>
    <col min="15108" max="15108" width="37.42578125" style="90" customWidth="1"/>
    <col min="15109" max="15109" width="11.42578125" style="90" customWidth="1"/>
    <col min="15110" max="15110" width="12.42578125" style="90" customWidth="1"/>
    <col min="15111" max="15358" width="9.140625" style="90"/>
    <col min="15359" max="15359" width="8.85546875" style="90" customWidth="1"/>
    <col min="15360" max="15360" width="45.28515625" style="90" customWidth="1"/>
    <col min="15361" max="15361" width="8.140625" style="90" customWidth="1"/>
    <col min="15362" max="15362" width="14.7109375" style="90" bestFit="1" customWidth="1"/>
    <col min="15363" max="15363" width="7.28515625" style="90" customWidth="1"/>
    <col min="15364" max="15364" width="37.42578125" style="90" customWidth="1"/>
    <col min="15365" max="15365" width="11.42578125" style="90" customWidth="1"/>
    <col min="15366" max="15366" width="12.42578125" style="90" customWidth="1"/>
    <col min="15367" max="15614" width="9.140625" style="90"/>
    <col min="15615" max="15615" width="8.85546875" style="90" customWidth="1"/>
    <col min="15616" max="15616" width="45.28515625" style="90" customWidth="1"/>
    <col min="15617" max="15617" width="8.140625" style="90" customWidth="1"/>
    <col min="15618" max="15618" width="14.7109375" style="90" bestFit="1" customWidth="1"/>
    <col min="15619" max="15619" width="7.28515625" style="90" customWidth="1"/>
    <col min="15620" max="15620" width="37.42578125" style="90" customWidth="1"/>
    <col min="15621" max="15621" width="11.42578125" style="90" customWidth="1"/>
    <col min="15622" max="15622" width="12.42578125" style="90" customWidth="1"/>
    <col min="15623" max="15870" width="9.140625" style="90"/>
    <col min="15871" max="15871" width="8.85546875" style="90" customWidth="1"/>
    <col min="15872" max="15872" width="45.28515625" style="90" customWidth="1"/>
    <col min="15873" max="15873" width="8.140625" style="90" customWidth="1"/>
    <col min="15874" max="15874" width="14.7109375" style="90" bestFit="1" customWidth="1"/>
    <col min="15875" max="15875" width="7.28515625" style="90" customWidth="1"/>
    <col min="15876" max="15876" width="37.42578125" style="90" customWidth="1"/>
    <col min="15877" max="15877" width="11.42578125" style="90" customWidth="1"/>
    <col min="15878" max="15878" width="12.42578125" style="90" customWidth="1"/>
    <col min="15879" max="16126" width="9.140625" style="90"/>
    <col min="16127" max="16127" width="8.85546875" style="90" customWidth="1"/>
    <col min="16128" max="16128" width="45.28515625" style="90" customWidth="1"/>
    <col min="16129" max="16129" width="8.140625" style="90" customWidth="1"/>
    <col min="16130" max="16130" width="14.7109375" style="90" bestFit="1" customWidth="1"/>
    <col min="16131" max="16131" width="7.28515625" style="90" customWidth="1"/>
    <col min="16132" max="16132" width="37.42578125" style="90" customWidth="1"/>
    <col min="16133" max="16133" width="11.42578125" style="90" customWidth="1"/>
    <col min="16134" max="16134" width="12.42578125" style="90" customWidth="1"/>
    <col min="16135" max="16384" width="9.140625" style="90"/>
  </cols>
  <sheetData>
    <row r="1" spans="2:7" ht="18">
      <c r="B1" s="119" t="s">
        <v>2175</v>
      </c>
      <c r="C1" s="119"/>
      <c r="D1" s="119"/>
      <c r="E1" s="119"/>
      <c r="F1" s="119"/>
    </row>
    <row r="2" spans="2:7" ht="18">
      <c r="B2" s="119" t="s">
        <v>2176</v>
      </c>
      <c r="C2" s="119"/>
      <c r="D2" s="119"/>
      <c r="E2" s="119"/>
      <c r="F2" s="119"/>
    </row>
    <row r="3" spans="2:7" ht="18">
      <c r="B3" s="119" t="s">
        <v>2179</v>
      </c>
      <c r="C3" s="119"/>
      <c r="D3" s="119"/>
      <c r="E3" s="119"/>
      <c r="F3" s="119"/>
    </row>
    <row r="4" spans="2:7" ht="13.5" thickBot="1">
      <c r="E4" s="73" t="s">
        <v>2273</v>
      </c>
      <c r="F4" s="91" t="s">
        <v>2052</v>
      </c>
    </row>
    <row r="5" spans="2:7" ht="19.5" customHeight="1">
      <c r="B5" s="92" t="s">
        <v>0</v>
      </c>
      <c r="C5" s="94" t="s">
        <v>2177</v>
      </c>
      <c r="D5" s="93"/>
      <c r="E5" s="95" t="s">
        <v>0</v>
      </c>
      <c r="F5" s="96" t="s">
        <v>2177</v>
      </c>
    </row>
    <row r="6" spans="2:7">
      <c r="B6" s="97" t="s">
        <v>2184</v>
      </c>
      <c r="C6" s="99">
        <v>7049250</v>
      </c>
      <c r="D6" s="98"/>
      <c r="E6" s="100" t="s">
        <v>2235</v>
      </c>
      <c r="F6" s="101">
        <v>100000</v>
      </c>
    </row>
    <row r="7" spans="2:7">
      <c r="B7" s="97" t="s">
        <v>2185</v>
      </c>
      <c r="C7" s="99">
        <v>200000</v>
      </c>
      <c r="D7" s="98"/>
      <c r="E7" s="100" t="s">
        <v>2236</v>
      </c>
      <c r="F7" s="101">
        <v>50000</v>
      </c>
    </row>
    <row r="8" spans="2:7">
      <c r="B8" s="97" t="s">
        <v>2186</v>
      </c>
      <c r="C8" s="99">
        <v>100000</v>
      </c>
      <c r="D8" s="98"/>
      <c r="E8" s="102" t="s">
        <v>2237</v>
      </c>
      <c r="F8" s="101">
        <v>60000</v>
      </c>
    </row>
    <row r="9" spans="2:7">
      <c r="B9" s="97" t="s">
        <v>2187</v>
      </c>
      <c r="C9" s="99">
        <v>50000</v>
      </c>
      <c r="D9" s="98"/>
      <c r="E9" s="102" t="s">
        <v>2238</v>
      </c>
      <c r="F9" s="101">
        <v>40000</v>
      </c>
    </row>
    <row r="10" spans="2:7">
      <c r="B10" s="97" t="s">
        <v>2188</v>
      </c>
      <c r="C10" s="99">
        <v>40000</v>
      </c>
      <c r="D10" s="98"/>
      <c r="E10" s="102" t="s">
        <v>2239</v>
      </c>
      <c r="F10" s="101">
        <v>20000</v>
      </c>
      <c r="G10" s="103"/>
    </row>
    <row r="11" spans="2:7">
      <c r="B11" s="97" t="s">
        <v>2189</v>
      </c>
      <c r="C11" s="99">
        <v>100000</v>
      </c>
      <c r="D11" s="99"/>
      <c r="E11" s="102" t="s">
        <v>2240</v>
      </c>
      <c r="F11" s="101">
        <v>80000</v>
      </c>
    </row>
    <row r="12" spans="2:7">
      <c r="B12" s="104" t="s">
        <v>2190</v>
      </c>
      <c r="C12" s="99">
        <v>1679600</v>
      </c>
      <c r="D12" s="98"/>
      <c r="E12" s="102" t="s">
        <v>2241</v>
      </c>
      <c r="F12" s="101">
        <v>120000</v>
      </c>
    </row>
    <row r="13" spans="2:7">
      <c r="B13" s="104" t="s">
        <v>2191</v>
      </c>
      <c r="C13" s="99">
        <v>5695000</v>
      </c>
      <c r="D13" s="98"/>
      <c r="E13" s="102" t="s">
        <v>2242</v>
      </c>
      <c r="F13" s="101">
        <v>80000</v>
      </c>
      <c r="G13" s="105"/>
    </row>
    <row r="14" spans="2:7">
      <c r="B14" s="104" t="s">
        <v>2192</v>
      </c>
      <c r="C14" s="99">
        <v>150000</v>
      </c>
      <c r="D14" s="98"/>
      <c r="E14" s="102" t="s">
        <v>2243</v>
      </c>
      <c r="F14" s="101">
        <v>70000</v>
      </c>
      <c r="G14" s="105"/>
    </row>
    <row r="15" spans="2:7">
      <c r="B15" s="104" t="s">
        <v>2193</v>
      </c>
      <c r="C15" s="99">
        <v>30000</v>
      </c>
      <c r="D15" s="98"/>
      <c r="E15" s="102" t="s">
        <v>2244</v>
      </c>
      <c r="F15" s="101">
        <v>100000</v>
      </c>
    </row>
    <row r="16" spans="2:7">
      <c r="B16" s="104" t="s">
        <v>2194</v>
      </c>
      <c r="C16" s="99">
        <v>200000</v>
      </c>
      <c r="D16" s="98"/>
      <c r="E16" s="102" t="s">
        <v>2245</v>
      </c>
      <c r="F16" s="101">
        <v>100000</v>
      </c>
    </row>
    <row r="17" spans="1:7">
      <c r="B17" s="104" t="s">
        <v>2195</v>
      </c>
      <c r="C17" s="99">
        <v>40000</v>
      </c>
      <c r="D17" s="98"/>
      <c r="E17" s="102" t="s">
        <v>2246</v>
      </c>
      <c r="F17" s="101">
        <v>400000</v>
      </c>
    </row>
    <row r="18" spans="1:7">
      <c r="A18" s="103"/>
      <c r="B18" s="104" t="s">
        <v>2196</v>
      </c>
      <c r="C18" s="99">
        <v>500000</v>
      </c>
      <c r="D18" s="98"/>
      <c r="E18" s="102" t="s">
        <v>2247</v>
      </c>
      <c r="F18" s="101">
        <v>2582500</v>
      </c>
    </row>
    <row r="19" spans="1:7">
      <c r="B19" s="104" t="s">
        <v>2197</v>
      </c>
      <c r="C19" s="99">
        <v>1260000</v>
      </c>
      <c r="D19" s="98"/>
      <c r="E19" s="102" t="s">
        <v>2248</v>
      </c>
      <c r="F19" s="101">
        <v>638000</v>
      </c>
      <c r="G19" s="105"/>
    </row>
    <row r="20" spans="1:7">
      <c r="B20" s="104" t="s">
        <v>2198</v>
      </c>
      <c r="C20" s="99">
        <v>200000</v>
      </c>
      <c r="D20" s="98"/>
      <c r="E20" s="102" t="s">
        <v>2249</v>
      </c>
      <c r="F20" s="101">
        <v>20000</v>
      </c>
      <c r="G20" s="105"/>
    </row>
    <row r="21" spans="1:7">
      <c r="B21" s="104" t="s">
        <v>2199</v>
      </c>
      <c r="C21" s="99">
        <v>733600</v>
      </c>
      <c r="D21" s="98"/>
      <c r="E21" s="102" t="s">
        <v>2250</v>
      </c>
      <c r="F21" s="101">
        <v>100000</v>
      </c>
    </row>
    <row r="22" spans="1:7">
      <c r="A22" s="103"/>
      <c r="B22" s="107" t="s">
        <v>2200</v>
      </c>
      <c r="C22" s="99">
        <v>15275750</v>
      </c>
      <c r="D22" s="98"/>
      <c r="E22" s="102" t="s">
        <v>2251</v>
      </c>
      <c r="F22" s="101">
        <v>120000</v>
      </c>
    </row>
    <row r="23" spans="1:7">
      <c r="B23" s="106" t="s">
        <v>2201</v>
      </c>
      <c r="C23" s="99">
        <v>7500000</v>
      </c>
      <c r="D23" s="98"/>
      <c r="E23" s="102" t="s">
        <v>2252</v>
      </c>
      <c r="F23" s="101">
        <v>100000</v>
      </c>
    </row>
    <row r="24" spans="1:7">
      <c r="B24" s="106" t="s">
        <v>2202</v>
      </c>
      <c r="C24" s="99">
        <v>200000</v>
      </c>
      <c r="D24" s="98"/>
      <c r="E24" s="102" t="s">
        <v>2253</v>
      </c>
      <c r="F24" s="101">
        <v>400000</v>
      </c>
    </row>
    <row r="25" spans="1:7">
      <c r="B25" s="106" t="s">
        <v>2203</v>
      </c>
      <c r="C25" s="99">
        <v>500000</v>
      </c>
      <c r="D25" s="98"/>
      <c r="E25" s="102" t="s">
        <v>2254</v>
      </c>
      <c r="F25" s="101">
        <v>30000</v>
      </c>
    </row>
    <row r="26" spans="1:7">
      <c r="B26" s="106" t="s">
        <v>2204</v>
      </c>
      <c r="C26" s="99">
        <v>1010000</v>
      </c>
      <c r="D26" s="98"/>
      <c r="E26" s="102" t="s">
        <v>2255</v>
      </c>
      <c r="F26" s="101">
        <v>250000</v>
      </c>
      <c r="G26" s="105"/>
    </row>
    <row r="27" spans="1:7">
      <c r="B27" s="106" t="s">
        <v>2205</v>
      </c>
      <c r="C27" s="99">
        <v>410000</v>
      </c>
      <c r="D27" s="98"/>
      <c r="E27" s="102" t="s">
        <v>2256</v>
      </c>
      <c r="F27" s="101">
        <v>20000</v>
      </c>
    </row>
    <row r="28" spans="1:7">
      <c r="B28" s="107" t="s">
        <v>2206</v>
      </c>
      <c r="C28" s="99">
        <v>90000</v>
      </c>
      <c r="D28" s="98"/>
      <c r="E28" s="108" t="s">
        <v>2257</v>
      </c>
      <c r="F28" s="101">
        <v>50000</v>
      </c>
    </row>
    <row r="29" spans="1:7">
      <c r="B29" s="106" t="s">
        <v>2207</v>
      </c>
      <c r="C29" s="99">
        <v>2500000</v>
      </c>
      <c r="D29" s="98"/>
      <c r="E29" s="108" t="s">
        <v>2258</v>
      </c>
      <c r="F29" s="101">
        <v>90000</v>
      </c>
    </row>
    <row r="30" spans="1:7">
      <c r="B30" s="109" t="s">
        <v>2208</v>
      </c>
      <c r="C30" s="99">
        <v>300000</v>
      </c>
      <c r="D30" s="98"/>
      <c r="E30" s="108" t="s">
        <v>2259</v>
      </c>
      <c r="F30" s="101">
        <v>50000</v>
      </c>
    </row>
    <row r="31" spans="1:7">
      <c r="B31" s="106" t="s">
        <v>2209</v>
      </c>
      <c r="C31" s="99">
        <v>200000</v>
      </c>
      <c r="D31" s="98"/>
      <c r="E31" s="108" t="s">
        <v>2260</v>
      </c>
      <c r="F31" s="101">
        <v>30000</v>
      </c>
      <c r="G31" s="105"/>
    </row>
    <row r="32" spans="1:7">
      <c r="B32" s="106" t="s">
        <v>2210</v>
      </c>
      <c r="C32" s="99">
        <v>200000</v>
      </c>
      <c r="D32" s="98"/>
      <c r="E32" s="108" t="s">
        <v>2261</v>
      </c>
      <c r="F32" s="101">
        <v>60000</v>
      </c>
    </row>
    <row r="33" spans="2:6">
      <c r="B33" s="106" t="s">
        <v>2211</v>
      </c>
      <c r="C33" s="99">
        <v>300000</v>
      </c>
      <c r="D33" s="98"/>
      <c r="E33" s="102" t="s">
        <v>2262</v>
      </c>
      <c r="F33" s="101">
        <v>20000</v>
      </c>
    </row>
    <row r="34" spans="2:6">
      <c r="B34" s="106" t="s">
        <v>2212</v>
      </c>
      <c r="C34" s="99">
        <v>1500000</v>
      </c>
      <c r="D34" s="98"/>
      <c r="E34" s="102" t="s">
        <v>2263</v>
      </c>
      <c r="F34" s="101">
        <v>100000</v>
      </c>
    </row>
    <row r="35" spans="2:6">
      <c r="B35" s="110" t="s">
        <v>2213</v>
      </c>
      <c r="C35" s="99">
        <v>200000</v>
      </c>
      <c r="D35" s="98"/>
      <c r="E35" s="102" t="s">
        <v>2264</v>
      </c>
      <c r="F35" s="101">
        <v>80000</v>
      </c>
    </row>
    <row r="36" spans="2:6">
      <c r="B36" s="106" t="s">
        <v>2214</v>
      </c>
      <c r="C36" s="99">
        <v>90000</v>
      </c>
      <c r="D36" s="98"/>
      <c r="E36" s="102" t="s">
        <v>2265</v>
      </c>
      <c r="F36" s="101">
        <v>50000</v>
      </c>
    </row>
    <row r="37" spans="2:6">
      <c r="B37" s="106" t="s">
        <v>2215</v>
      </c>
      <c r="C37" s="99">
        <v>80000</v>
      </c>
      <c r="D37" s="98"/>
      <c r="E37" s="102" t="s">
        <v>2266</v>
      </c>
      <c r="F37" s="101">
        <v>40000</v>
      </c>
    </row>
    <row r="38" spans="2:6">
      <c r="B38" s="106" t="s">
        <v>2216</v>
      </c>
      <c r="C38" s="99">
        <v>8791000</v>
      </c>
      <c r="D38" s="98"/>
      <c r="E38" s="102" t="s">
        <v>2267</v>
      </c>
      <c r="F38" s="101">
        <v>20000</v>
      </c>
    </row>
    <row r="39" spans="2:6">
      <c r="B39" s="106" t="s">
        <v>2217</v>
      </c>
      <c r="C39" s="99">
        <v>80000</v>
      </c>
      <c r="D39" s="98"/>
      <c r="E39" s="102" t="s">
        <v>2268</v>
      </c>
      <c r="F39" s="101">
        <v>40000</v>
      </c>
    </row>
    <row r="40" spans="2:6">
      <c r="B40" s="106" t="s">
        <v>2218</v>
      </c>
      <c r="C40" s="99">
        <v>47175</v>
      </c>
      <c r="D40" s="98"/>
      <c r="E40" s="102" t="s">
        <v>2269</v>
      </c>
      <c r="F40" s="101">
        <v>60000</v>
      </c>
    </row>
    <row r="41" spans="2:6">
      <c r="B41" s="110" t="s">
        <v>2219</v>
      </c>
      <c r="C41" s="99">
        <v>60000</v>
      </c>
      <c r="D41" s="98"/>
      <c r="E41" s="102" t="s">
        <v>2270</v>
      </c>
      <c r="F41" s="101">
        <v>2300000</v>
      </c>
    </row>
    <row r="42" spans="2:6">
      <c r="B42" s="110" t="s">
        <v>2220</v>
      </c>
      <c r="C42" s="99">
        <v>21000000</v>
      </c>
      <c r="D42" s="98"/>
      <c r="E42" s="102"/>
      <c r="F42" s="101"/>
    </row>
    <row r="43" spans="2:6">
      <c r="B43" s="106" t="s">
        <v>2221</v>
      </c>
      <c r="C43" s="99">
        <v>60000</v>
      </c>
      <c r="D43" s="98"/>
      <c r="E43" s="102"/>
      <c r="F43" s="101"/>
    </row>
    <row r="44" spans="2:6">
      <c r="B44" s="110" t="s">
        <v>2222</v>
      </c>
      <c r="C44" s="99">
        <v>65000</v>
      </c>
      <c r="D44" s="98"/>
      <c r="E44" s="102"/>
      <c r="F44" s="101"/>
    </row>
    <row r="45" spans="2:6">
      <c r="B45" s="110" t="s">
        <v>2223</v>
      </c>
      <c r="C45" s="99">
        <v>30000</v>
      </c>
      <c r="D45" s="98"/>
      <c r="E45" s="102"/>
      <c r="F45" s="101"/>
    </row>
    <row r="46" spans="2:6">
      <c r="B46" s="110" t="s">
        <v>2224</v>
      </c>
      <c r="C46" s="99">
        <v>100000</v>
      </c>
      <c r="D46" s="98"/>
      <c r="E46" s="102"/>
      <c r="F46" s="101"/>
    </row>
    <row r="47" spans="2:6">
      <c r="B47" s="106" t="s">
        <v>2225</v>
      </c>
      <c r="C47" s="99">
        <v>999000</v>
      </c>
      <c r="D47" s="98"/>
      <c r="E47" s="102"/>
      <c r="F47" s="101"/>
    </row>
    <row r="48" spans="2:6">
      <c r="B48" s="110" t="s">
        <v>2226</v>
      </c>
      <c r="C48" s="99">
        <v>170000</v>
      </c>
      <c r="D48" s="98"/>
      <c r="E48" s="102"/>
      <c r="F48" s="101"/>
    </row>
    <row r="49" spans="2:6">
      <c r="B49" s="109" t="s">
        <v>2227</v>
      </c>
      <c r="C49" s="99">
        <v>70000</v>
      </c>
      <c r="D49" s="98"/>
      <c r="E49" s="102"/>
      <c r="F49" s="101"/>
    </row>
    <row r="50" spans="2:6">
      <c r="B50" s="110" t="s">
        <v>2228</v>
      </c>
      <c r="C50" s="99">
        <v>2180000</v>
      </c>
      <c r="D50" s="98"/>
      <c r="E50" s="102"/>
      <c r="F50" s="101"/>
    </row>
    <row r="51" spans="2:6">
      <c r="B51" s="110" t="s">
        <v>2229</v>
      </c>
      <c r="C51" s="99">
        <v>40000</v>
      </c>
      <c r="D51" s="98"/>
      <c r="E51" s="102"/>
      <c r="F51" s="101"/>
    </row>
    <row r="52" spans="2:6">
      <c r="B52" s="110" t="s">
        <v>2230</v>
      </c>
      <c r="C52" s="99">
        <v>30000</v>
      </c>
      <c r="D52" s="98"/>
      <c r="E52" s="102"/>
      <c r="F52" s="101"/>
    </row>
    <row r="53" spans="2:6">
      <c r="B53" s="110" t="s">
        <v>2231</v>
      </c>
      <c r="C53" s="99">
        <v>70000</v>
      </c>
      <c r="D53" s="98"/>
      <c r="E53" s="102"/>
      <c r="F53" s="101"/>
    </row>
    <row r="54" spans="2:6">
      <c r="B54" s="110" t="s">
        <v>2232</v>
      </c>
      <c r="C54" s="99">
        <v>2062000</v>
      </c>
      <c r="D54" s="98"/>
      <c r="E54" s="102"/>
      <c r="F54" s="101"/>
    </row>
    <row r="55" spans="2:6">
      <c r="B55" s="110" t="s">
        <v>2233</v>
      </c>
      <c r="C55" s="99">
        <v>500000</v>
      </c>
      <c r="D55" s="98"/>
      <c r="E55" s="102"/>
      <c r="F55" s="101"/>
    </row>
    <row r="56" spans="2:6">
      <c r="B56" s="110" t="s">
        <v>2234</v>
      </c>
      <c r="C56" s="99">
        <v>60000</v>
      </c>
      <c r="D56" s="98"/>
      <c r="E56" s="102"/>
      <c r="F56" s="101"/>
    </row>
    <row r="57" spans="2:6" ht="13.5" thickBot="1">
      <c r="B57" s="111" t="s">
        <v>2178</v>
      </c>
      <c r="C57" s="112"/>
      <c r="D57" s="112"/>
      <c r="E57" s="112"/>
      <c r="F57" s="113">
        <f>SUM(F6:F56)+SUM(C6:C56)</f>
        <v>93267875</v>
      </c>
    </row>
    <row r="60" spans="2:6">
      <c r="C60" s="105"/>
      <c r="E60" s="105"/>
    </row>
    <row r="61" spans="2:6">
      <c r="E61" s="105"/>
      <c r="F61" s="105"/>
    </row>
    <row r="62" spans="2:6">
      <c r="B62" s="91"/>
      <c r="C62" s="114"/>
      <c r="D62" s="91"/>
      <c r="E62" s="105"/>
    </row>
    <row r="63" spans="2:6">
      <c r="B63" s="91"/>
      <c r="C63" s="114"/>
    </row>
    <row r="64" spans="2:6">
      <c r="B64" s="91"/>
      <c r="C64" s="114"/>
      <c r="D64" s="91"/>
    </row>
    <row r="65" spans="2:4">
      <c r="B65" s="91"/>
      <c r="C65" s="114"/>
    </row>
    <row r="66" spans="2:4">
      <c r="B66" s="91"/>
      <c r="C66" s="114"/>
    </row>
    <row r="67" spans="2:4">
      <c r="B67" s="91"/>
      <c r="C67" s="114"/>
      <c r="D67" s="91"/>
    </row>
    <row r="68" spans="2:4">
      <c r="C68" s="115"/>
    </row>
    <row r="70" spans="2:4">
      <c r="C70" s="115"/>
    </row>
    <row r="72" spans="2:4">
      <c r="C72" s="105"/>
    </row>
    <row r="82" spans="3:4">
      <c r="C82" s="105"/>
    </row>
    <row r="87" spans="3:4">
      <c r="D87" s="105"/>
    </row>
    <row r="89" spans="3:4">
      <c r="D89" s="105"/>
    </row>
  </sheetData>
  <mergeCells count="3">
    <mergeCell ref="B1:F1"/>
    <mergeCell ref="B2:F2"/>
    <mergeCell ref="B3:F3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2" firstPageNumber="122" orientation="landscape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Fő</vt:lpstr>
      <vt:lpstr>Részesedések</vt:lpstr>
      <vt:lpstr>Könyvtár</vt:lpstr>
      <vt:lpstr>2017. évi támogatások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Szikora Péter</dc:creator>
  <cp:lastModifiedBy>majert</cp:lastModifiedBy>
  <cp:lastPrinted>2018-04-20T12:21:42Z</cp:lastPrinted>
  <dcterms:created xsi:type="dcterms:W3CDTF">2018-04-17T09:57:18Z</dcterms:created>
  <dcterms:modified xsi:type="dcterms:W3CDTF">2018-04-20T12:22:51Z</dcterms:modified>
</cp:coreProperties>
</file>